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evan/Downloads/"/>
    </mc:Choice>
  </mc:AlternateContent>
  <xr:revisionPtr revIDLastSave="0" documentId="8_{EB40D6B6-3BBE-9141-A911-8226CCBBF612}" xr6:coauthVersionLast="47" xr6:coauthVersionMax="47" xr10:uidLastSave="{00000000-0000-0000-0000-000000000000}"/>
  <bookViews>
    <workbookView xWindow="-1640" yWindow="760" windowWidth="30240" windowHeight="18880" activeTab="2" xr2:uid="{00000000-000D-0000-FFFF-FFFF00000000}"/>
  </bookViews>
  <sheets>
    <sheet name="Master" sheetId="4" r:id="rId1"/>
    <sheet name="Main" sheetId="2" r:id="rId2"/>
    <sheet name="Model" sheetId="1" r:id="rId3"/>
    <sheet name="Humira" sheetId="3" r:id="rId4"/>
    <sheet name="Rinvoq" sheetId="5" r:id="rId5"/>
    <sheet name="Skyriz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6" i="1" l="1"/>
  <c r="BN6" i="1"/>
  <c r="BN42" i="1" s="1"/>
  <c r="BO6" i="1"/>
  <c r="BP6" i="1"/>
  <c r="BQ6" i="1"/>
  <c r="BR6" i="1"/>
  <c r="BR42" i="1" s="1"/>
  <c r="BS6" i="1"/>
  <c r="BT6" i="1"/>
  <c r="BM42" i="1"/>
  <c r="BO42" i="1"/>
  <c r="BP42" i="1"/>
  <c r="BQ42" i="1"/>
  <c r="BS42" i="1"/>
  <c r="BT42" i="1"/>
  <c r="BL42" i="1"/>
  <c r="BL6" i="1"/>
  <c r="BT3" i="1"/>
  <c r="BQ5" i="1"/>
  <c r="BP5" i="1"/>
  <c r="BO5" i="1"/>
  <c r="BN5" i="1"/>
  <c r="BM5" i="1"/>
  <c r="BM3" i="1"/>
  <c r="BL3" i="1"/>
  <c r="BK3" i="1"/>
  <c r="BJ3" i="1"/>
  <c r="AS42" i="1"/>
  <c r="AR49" i="1"/>
  <c r="AK62" i="1"/>
  <c r="AL62" i="1"/>
  <c r="AM62" i="1"/>
  <c r="AN62" i="1"/>
  <c r="AO62" i="1"/>
  <c r="AP62" i="1"/>
  <c r="AQ62" i="1"/>
  <c r="AR62" i="1"/>
  <c r="AS62" i="1"/>
  <c r="AS61" i="1"/>
  <c r="AS60" i="1"/>
  <c r="AS59" i="1"/>
  <c r="AS58" i="1"/>
  <c r="AS57" i="1"/>
  <c r="BL20" i="1"/>
  <c r="BM20" i="1" s="1"/>
  <c r="BN20" i="1" s="1"/>
  <c r="BO20" i="1" s="1"/>
  <c r="BP20" i="1" s="1"/>
  <c r="BQ20" i="1" s="1"/>
  <c r="BR20" i="1" s="1"/>
  <c r="BS20" i="1" s="1"/>
  <c r="BT20" i="1" s="1"/>
  <c r="BJ9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8" i="1"/>
  <c r="BJ7" i="1"/>
  <c r="BJ5" i="1"/>
  <c r="AX42" i="1"/>
  <c r="AW42" i="1"/>
  <c r="AV42" i="1"/>
  <c r="AU42" i="1"/>
  <c r="AC49" i="1"/>
  <c r="AG49" i="1"/>
  <c r="AK59" i="1"/>
  <c r="AK58" i="1"/>
  <c r="AK57" i="1"/>
  <c r="AC47" i="1"/>
  <c r="AC44" i="1"/>
  <c r="AG41" i="1"/>
  <c r="AG42" i="1" s="1"/>
  <c r="AG47" i="1"/>
  <c r="AD49" i="1"/>
  <c r="AH49" i="1"/>
  <c r="AD47" i="1"/>
  <c r="AD44" i="1"/>
  <c r="AL59" i="1"/>
  <c r="AL58" i="1"/>
  <c r="AL57" i="1"/>
  <c r="AH47" i="1"/>
  <c r="AH41" i="1"/>
  <c r="AH42" i="1" s="1"/>
  <c r="AH44" i="1" s="1"/>
  <c r="AH64" i="1" s="1"/>
  <c r="AE47" i="1"/>
  <c r="AE44" i="1"/>
  <c r="AI49" i="1"/>
  <c r="AM59" i="1"/>
  <c r="AM58" i="1"/>
  <c r="AM57" i="1"/>
  <c r="AI47" i="1"/>
  <c r="AI41" i="1"/>
  <c r="AI42" i="1" s="1"/>
  <c r="AF49" i="1"/>
  <c r="AF47" i="1"/>
  <c r="AF44" i="1"/>
  <c r="AJ49" i="1"/>
  <c r="AN61" i="1"/>
  <c r="AN60" i="1"/>
  <c r="AN59" i="1"/>
  <c r="AN58" i="1"/>
  <c r="AN57" i="1"/>
  <c r="AJ47" i="1"/>
  <c r="AJ41" i="1"/>
  <c r="AJ42" i="1"/>
  <c r="AJ44" i="1" s="1"/>
  <c r="AJ64" i="1" s="1"/>
  <c r="AR77" i="1"/>
  <c r="AR82" i="1" s="1"/>
  <c r="AR73" i="1"/>
  <c r="AR68" i="1"/>
  <c r="BK54" i="1"/>
  <c r="BK49" i="1"/>
  <c r="BK46" i="1"/>
  <c r="BK45" i="1"/>
  <c r="BK43" i="1"/>
  <c r="BK40" i="1"/>
  <c r="BK39" i="1"/>
  <c r="BK38" i="1"/>
  <c r="BK30" i="1"/>
  <c r="BK37" i="1"/>
  <c r="BK29" i="1"/>
  <c r="BK35" i="1"/>
  <c r="BK34" i="1"/>
  <c r="BK33" i="1"/>
  <c r="BK32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5" i="1"/>
  <c r="BL40" i="1"/>
  <c r="BL39" i="1"/>
  <c r="BL38" i="1"/>
  <c r="BL30" i="1"/>
  <c r="BL37" i="1"/>
  <c r="BL29" i="1"/>
  <c r="BL35" i="1"/>
  <c r="BL34" i="1"/>
  <c r="BL33" i="1"/>
  <c r="BL32" i="1"/>
  <c r="AT26" i="1"/>
  <c r="BL26" i="1" s="1"/>
  <c r="BM26" i="1" s="1"/>
  <c r="BN26" i="1" s="1"/>
  <c r="BO26" i="1" s="1"/>
  <c r="BP26" i="1" s="1"/>
  <c r="BQ26" i="1" s="1"/>
  <c r="BR26" i="1" s="1"/>
  <c r="BS26" i="1" s="1"/>
  <c r="BT26" i="1" s="1"/>
  <c r="AT25" i="1"/>
  <c r="AT24" i="1"/>
  <c r="AT22" i="1"/>
  <c r="BL22" i="1"/>
  <c r="BM22" i="1" s="1"/>
  <c r="BN22" i="1" s="1"/>
  <c r="BO22" i="1" s="1"/>
  <c r="BP22" i="1" s="1"/>
  <c r="BQ22" i="1" s="1"/>
  <c r="BR22" i="1" s="1"/>
  <c r="BS22" i="1" s="1"/>
  <c r="BT22" i="1" s="1"/>
  <c r="AT21" i="1"/>
  <c r="AT20" i="1"/>
  <c r="AT19" i="1"/>
  <c r="BL19" i="1" s="1"/>
  <c r="BM19" i="1" s="1"/>
  <c r="BN19" i="1" s="1"/>
  <c r="BO19" i="1" s="1"/>
  <c r="BP19" i="1" s="1"/>
  <c r="BQ19" i="1" s="1"/>
  <c r="BR19" i="1" s="1"/>
  <c r="BS19" i="1" s="1"/>
  <c r="BT19" i="1" s="1"/>
  <c r="AT18" i="1"/>
  <c r="BL18" i="1" s="1"/>
  <c r="BM18" i="1" s="1"/>
  <c r="BN18" i="1" s="1"/>
  <c r="BO18" i="1" s="1"/>
  <c r="BP18" i="1" s="1"/>
  <c r="BQ18" i="1" s="1"/>
  <c r="BR18" i="1" s="1"/>
  <c r="BS18" i="1" s="1"/>
  <c r="BT18" i="1" s="1"/>
  <c r="AT17" i="1"/>
  <c r="BL17" i="1"/>
  <c r="BM17" i="1" s="1"/>
  <c r="BN17" i="1" s="1"/>
  <c r="BO17" i="1" s="1"/>
  <c r="BP17" i="1" s="1"/>
  <c r="BQ17" i="1" s="1"/>
  <c r="BR17" i="1" s="1"/>
  <c r="BS17" i="1" s="1"/>
  <c r="BT17" i="1" s="1"/>
  <c r="AT16" i="1"/>
  <c r="AT15" i="1"/>
  <c r="AT14" i="1"/>
  <c r="AT13" i="1"/>
  <c r="BL13" i="1"/>
  <c r="BM13" i="1" s="1"/>
  <c r="BN13" i="1" s="1"/>
  <c r="BO13" i="1" s="1"/>
  <c r="BP13" i="1" s="1"/>
  <c r="BQ13" i="1" s="1"/>
  <c r="BR13" i="1" s="1"/>
  <c r="BS13" i="1" s="1"/>
  <c r="BT13" i="1" s="1"/>
  <c r="AT12" i="1"/>
  <c r="AT62" i="1" s="1"/>
  <c r="AT11" i="1"/>
  <c r="AS49" i="1"/>
  <c r="AT49" i="1" s="1"/>
  <c r="AT46" i="1"/>
  <c r="AS46" i="1"/>
  <c r="BL46" i="1" s="1"/>
  <c r="AT45" i="1"/>
  <c r="AS45" i="1"/>
  <c r="AS54" i="1"/>
  <c r="AT54" i="1" s="1"/>
  <c r="AQ61" i="1"/>
  <c r="AP61" i="1"/>
  <c r="AO61" i="1"/>
  <c r="AQ60" i="1"/>
  <c r="AP60" i="1"/>
  <c r="AO60" i="1"/>
  <c r="AR61" i="1"/>
  <c r="AR60" i="1"/>
  <c r="AT10" i="1"/>
  <c r="AT61" i="1" s="1"/>
  <c r="AT9" i="1"/>
  <c r="AT60" i="1" s="1"/>
  <c r="AT8" i="1"/>
  <c r="AT59" i="1" s="1"/>
  <c r="AT7" i="1"/>
  <c r="AT58" i="1" s="1"/>
  <c r="AT5" i="1"/>
  <c r="AT57" i="1" s="1"/>
  <c r="AR59" i="1"/>
  <c r="AR58" i="1"/>
  <c r="AR57" i="1"/>
  <c r="AR47" i="1"/>
  <c r="AR41" i="1"/>
  <c r="AR42" i="1" s="1"/>
  <c r="AR44" i="1" s="1"/>
  <c r="AR64" i="1" s="1"/>
  <c r="AO59" i="1"/>
  <c r="AO58" i="1"/>
  <c r="AO57" i="1"/>
  <c r="AK47" i="1"/>
  <c r="AK41" i="1"/>
  <c r="AK42" i="1" s="1"/>
  <c r="AP59" i="1"/>
  <c r="AP58" i="1"/>
  <c r="AQ58" i="1"/>
  <c r="AQ59" i="1"/>
  <c r="AP57" i="1"/>
  <c r="AL47" i="1"/>
  <c r="AL41" i="1"/>
  <c r="AL42" i="1" s="1"/>
  <c r="AL44" i="1" s="1"/>
  <c r="AM41" i="1"/>
  <c r="AQ57" i="1"/>
  <c r="AN51" i="1"/>
  <c r="AN47" i="1"/>
  <c r="AN41" i="1"/>
  <c r="AN42" i="1" s="1"/>
  <c r="AF48" i="1" l="1"/>
  <c r="AF50" i="1" s="1"/>
  <c r="AF52" i="1" s="1"/>
  <c r="AF53" i="1" s="1"/>
  <c r="AL56" i="1"/>
  <c r="AJ56" i="1"/>
  <c r="AH56" i="1"/>
  <c r="AG44" i="1"/>
  <c r="AG56" i="1"/>
  <c r="AK56" i="1"/>
  <c r="AI44" i="1"/>
  <c r="AI64" i="1" s="1"/>
  <c r="AI56" i="1"/>
  <c r="BL45" i="1"/>
  <c r="BL47" i="1" s="1"/>
  <c r="BL21" i="1"/>
  <c r="BM21" i="1" s="1"/>
  <c r="BN21" i="1" s="1"/>
  <c r="BO21" i="1" s="1"/>
  <c r="BP21" i="1" s="1"/>
  <c r="BQ21" i="1" s="1"/>
  <c r="BR21" i="1" s="1"/>
  <c r="BS21" i="1" s="1"/>
  <c r="BT21" i="1" s="1"/>
  <c r="AC48" i="1"/>
  <c r="AC50" i="1" s="1"/>
  <c r="AC52" i="1" s="1"/>
  <c r="AC53" i="1" s="1"/>
  <c r="AG48" i="1"/>
  <c r="AG50" i="1" s="1"/>
  <c r="AG52" i="1" s="1"/>
  <c r="AG53" i="1" s="1"/>
  <c r="AH48" i="1"/>
  <c r="AH50" i="1" s="1"/>
  <c r="AD48" i="1"/>
  <c r="AD50" i="1" s="1"/>
  <c r="AD52" i="1" s="1"/>
  <c r="AD53" i="1" s="1"/>
  <c r="AE48" i="1"/>
  <c r="AE50" i="1" s="1"/>
  <c r="AE52" i="1" s="1"/>
  <c r="AE53" i="1" s="1"/>
  <c r="AN44" i="1"/>
  <c r="AN64" i="1" s="1"/>
  <c r="AN56" i="1"/>
  <c r="AR67" i="1"/>
  <c r="BL11" i="1"/>
  <c r="BM11" i="1" s="1"/>
  <c r="BN11" i="1" s="1"/>
  <c r="BO11" i="1" s="1"/>
  <c r="BP11" i="1" s="1"/>
  <c r="BQ11" i="1" s="1"/>
  <c r="BR11" i="1" s="1"/>
  <c r="BS11" i="1" s="1"/>
  <c r="BT11" i="1" s="1"/>
  <c r="BL24" i="1"/>
  <c r="BM24" i="1" s="1"/>
  <c r="BN24" i="1" s="1"/>
  <c r="BO24" i="1" s="1"/>
  <c r="BP24" i="1" s="1"/>
  <c r="BQ24" i="1" s="1"/>
  <c r="BR24" i="1" s="1"/>
  <c r="BS24" i="1" s="1"/>
  <c r="BT24" i="1" s="1"/>
  <c r="AJ48" i="1"/>
  <c r="AJ50" i="1" s="1"/>
  <c r="BL12" i="1"/>
  <c r="BM12" i="1" s="1"/>
  <c r="BN12" i="1" s="1"/>
  <c r="BO12" i="1" s="1"/>
  <c r="BP12" i="1" s="1"/>
  <c r="BQ12" i="1" s="1"/>
  <c r="BR12" i="1" s="1"/>
  <c r="BS12" i="1" s="1"/>
  <c r="BT12" i="1" s="1"/>
  <c r="BL14" i="1"/>
  <c r="BM14" i="1" s="1"/>
  <c r="BN14" i="1" s="1"/>
  <c r="BO14" i="1" s="1"/>
  <c r="BP14" i="1" s="1"/>
  <c r="BQ14" i="1" s="1"/>
  <c r="BR14" i="1" s="1"/>
  <c r="BS14" i="1" s="1"/>
  <c r="BT14" i="1" s="1"/>
  <c r="BK47" i="1"/>
  <c r="AT47" i="1"/>
  <c r="BL15" i="1"/>
  <c r="BM15" i="1" s="1"/>
  <c r="BN15" i="1" s="1"/>
  <c r="BO15" i="1" s="1"/>
  <c r="BP15" i="1" s="1"/>
  <c r="BQ15" i="1" s="1"/>
  <c r="BR15" i="1" s="1"/>
  <c r="BS15" i="1" s="1"/>
  <c r="BT15" i="1" s="1"/>
  <c r="BL16" i="1"/>
  <c r="BM16" i="1" s="1"/>
  <c r="BN16" i="1" s="1"/>
  <c r="BO16" i="1" s="1"/>
  <c r="BP16" i="1" s="1"/>
  <c r="BQ16" i="1" s="1"/>
  <c r="BR16" i="1" s="1"/>
  <c r="BS16" i="1" s="1"/>
  <c r="BT16" i="1" s="1"/>
  <c r="BL54" i="1"/>
  <c r="BM54" i="1" s="1"/>
  <c r="BN54" i="1" s="1"/>
  <c r="BO54" i="1" s="1"/>
  <c r="BP54" i="1" s="1"/>
  <c r="BL7" i="1"/>
  <c r="BM7" i="1" s="1"/>
  <c r="BN7" i="1" s="1"/>
  <c r="BO7" i="1" s="1"/>
  <c r="BP7" i="1" s="1"/>
  <c r="BQ7" i="1" s="1"/>
  <c r="BR7" i="1" s="1"/>
  <c r="BS7" i="1" s="1"/>
  <c r="BT7" i="1" s="1"/>
  <c r="AS47" i="1"/>
  <c r="AL48" i="1"/>
  <c r="AL50" i="1" s="1"/>
  <c r="AL64" i="1"/>
  <c r="BL8" i="1"/>
  <c r="BM8" i="1" s="1"/>
  <c r="BN8" i="1" s="1"/>
  <c r="BO8" i="1" s="1"/>
  <c r="BP8" i="1" s="1"/>
  <c r="BQ8" i="1" s="1"/>
  <c r="BR8" i="1" s="1"/>
  <c r="BS8" i="1" s="1"/>
  <c r="BT8" i="1" s="1"/>
  <c r="BL10" i="1"/>
  <c r="BM10" i="1" s="1"/>
  <c r="BN10" i="1" s="1"/>
  <c r="BL9" i="1"/>
  <c r="BM9" i="1" s="1"/>
  <c r="BN9" i="1" s="1"/>
  <c r="BO9" i="1" s="1"/>
  <c r="BP9" i="1" s="1"/>
  <c r="BQ9" i="1" s="1"/>
  <c r="BR9" i="1" s="1"/>
  <c r="BS9" i="1" s="1"/>
  <c r="BT9" i="1" s="1"/>
  <c r="AT23" i="1"/>
  <c r="BL23" i="1" s="1"/>
  <c r="BM23" i="1" s="1"/>
  <c r="BN23" i="1" s="1"/>
  <c r="BO23" i="1" s="1"/>
  <c r="BP23" i="1" s="1"/>
  <c r="BQ23" i="1" s="1"/>
  <c r="BR23" i="1" s="1"/>
  <c r="BS23" i="1" s="1"/>
  <c r="BT23" i="1" s="1"/>
  <c r="BL25" i="1"/>
  <c r="BM25" i="1" s="1"/>
  <c r="BN25" i="1" s="1"/>
  <c r="BO25" i="1" s="1"/>
  <c r="BP25" i="1" s="1"/>
  <c r="BQ25" i="1" s="1"/>
  <c r="BR25" i="1" s="1"/>
  <c r="BS25" i="1" s="1"/>
  <c r="BT25" i="1" s="1"/>
  <c r="AR75" i="1"/>
  <c r="BL5" i="1"/>
  <c r="AR56" i="1"/>
  <c r="AR48" i="1"/>
  <c r="AR50" i="1" s="1"/>
  <c r="AK44" i="1"/>
  <c r="AN48" i="1"/>
  <c r="AN50" i="1" s="1"/>
  <c r="AO51" i="1"/>
  <c r="AO47" i="1"/>
  <c r="AO41" i="1"/>
  <c r="AP51" i="1"/>
  <c r="AP47" i="1"/>
  <c r="AM47" i="1"/>
  <c r="AP41" i="1"/>
  <c r="AT41" i="1" s="1"/>
  <c r="AP42" i="1"/>
  <c r="AQ77" i="1"/>
  <c r="AQ82" i="1" s="1"/>
  <c r="AQ73" i="1"/>
  <c r="AQ68" i="1"/>
  <c r="AM42" i="1"/>
  <c r="AQ49" i="1"/>
  <c r="BL49" i="1" s="1"/>
  <c r="BM49" i="1" s="1"/>
  <c r="BN49" i="1" s="1"/>
  <c r="BO49" i="1" s="1"/>
  <c r="BP49" i="1" s="1"/>
  <c r="BQ49" i="1" s="1"/>
  <c r="BR49" i="1" s="1"/>
  <c r="BS49" i="1" s="1"/>
  <c r="BT49" i="1" s="1"/>
  <c r="AQ47" i="1"/>
  <c r="AQ41" i="1"/>
  <c r="L45" i="1"/>
  <c r="L43" i="1"/>
  <c r="L46" i="1"/>
  <c r="L49" i="1"/>
  <c r="L40" i="1"/>
  <c r="L41" i="1" s="1"/>
  <c r="BD2" i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N3" i="1" l="1"/>
  <c r="AI48" i="1"/>
  <c r="AI50" i="1" s="1"/>
  <c r="BQ54" i="1"/>
  <c r="BO10" i="1"/>
  <c r="AM44" i="1"/>
  <c r="AM64" i="1" s="1"/>
  <c r="AM56" i="1"/>
  <c r="AH52" i="1"/>
  <c r="AH53" i="1" s="1"/>
  <c r="AH65" i="1"/>
  <c r="AI52" i="1"/>
  <c r="AI53" i="1" s="1"/>
  <c r="AI65" i="1"/>
  <c r="AJ52" i="1"/>
  <c r="AJ53" i="1" s="1"/>
  <c r="AJ65" i="1"/>
  <c r="AO42" i="1"/>
  <c r="AO44" i="1" s="1"/>
  <c r="AO64" i="1" s="1"/>
  <c r="AR52" i="1"/>
  <c r="AR53" i="1" s="1"/>
  <c r="AR65" i="1"/>
  <c r="AN52" i="1"/>
  <c r="AN53" i="1" s="1"/>
  <c r="AN65" i="1"/>
  <c r="BK51" i="1"/>
  <c r="BK41" i="1"/>
  <c r="BK42" i="1" s="1"/>
  <c r="BK44" i="1" s="1"/>
  <c r="AL52" i="1"/>
  <c r="AL53" i="1" s="1"/>
  <c r="AL65" i="1"/>
  <c r="AQ42" i="1"/>
  <c r="AQ44" i="1" s="1"/>
  <c r="BL41" i="1"/>
  <c r="AT42" i="1"/>
  <c r="AT44" i="1" s="1"/>
  <c r="AT43" i="1" s="1"/>
  <c r="AK48" i="1"/>
  <c r="AK50" i="1" s="1"/>
  <c r="AK64" i="1"/>
  <c r="AS44" i="1"/>
  <c r="AQ75" i="1"/>
  <c r="AP44" i="1"/>
  <c r="AP64" i="1" s="1"/>
  <c r="AP56" i="1"/>
  <c r="AQ67" i="1"/>
  <c r="AM48" i="1"/>
  <c r="AM50" i="1" s="1"/>
  <c r="L47" i="1"/>
  <c r="L42" i="1"/>
  <c r="L44" i="1" s="1"/>
  <c r="BO3" i="1" l="1"/>
  <c r="AS56" i="1"/>
  <c r="BK48" i="1"/>
  <c r="BK50" i="1" s="1"/>
  <c r="BK52" i="1" s="1"/>
  <c r="BK53" i="1" s="1"/>
  <c r="BK64" i="1"/>
  <c r="BL56" i="1"/>
  <c r="BM41" i="1"/>
  <c r="BR54" i="1"/>
  <c r="BP10" i="1"/>
  <c r="AO56" i="1"/>
  <c r="AO48" i="1"/>
  <c r="AO50" i="1" s="1"/>
  <c r="AO52" i="1" s="1"/>
  <c r="AO53" i="1" s="1"/>
  <c r="AO65" i="1"/>
  <c r="AQ64" i="1"/>
  <c r="AQ48" i="1"/>
  <c r="AQ50" i="1" s="1"/>
  <c r="AP48" i="1"/>
  <c r="AP50" i="1" s="1"/>
  <c r="AT56" i="1"/>
  <c r="AM52" i="1"/>
  <c r="AM53" i="1" s="1"/>
  <c r="AM65" i="1"/>
  <c r="AK52" i="1"/>
  <c r="AK53" i="1" s="1"/>
  <c r="AK65" i="1"/>
  <c r="AQ56" i="1"/>
  <c r="AS64" i="1"/>
  <c r="AS48" i="1"/>
  <c r="AS50" i="1" s="1"/>
  <c r="AS43" i="1"/>
  <c r="BL43" i="1" s="1"/>
  <c r="AT64" i="1"/>
  <c r="AT48" i="1"/>
  <c r="AT50" i="1" s="1"/>
  <c r="L48" i="1"/>
  <c r="L50" i="1" s="1"/>
  <c r="L52" i="1" s="1"/>
  <c r="L53" i="1" s="1"/>
  <c r="I49" i="1"/>
  <c r="I47" i="1"/>
  <c r="E40" i="1"/>
  <c r="E42" i="1" s="1"/>
  <c r="I40" i="1"/>
  <c r="I42" i="1" s="1"/>
  <c r="I44" i="1" s="1"/>
  <c r="BP3" i="1" l="1"/>
  <c r="BL44" i="1"/>
  <c r="BL48" i="1" s="1"/>
  <c r="BL50" i="1" s="1"/>
  <c r="BN41" i="1"/>
  <c r="BS54" i="1"/>
  <c r="BQ10" i="1"/>
  <c r="AQ52" i="1"/>
  <c r="AQ53" i="1" s="1"/>
  <c r="AQ65" i="1"/>
  <c r="AP52" i="1"/>
  <c r="AP53" i="1" s="1"/>
  <c r="AP65" i="1"/>
  <c r="AT51" i="1"/>
  <c r="AT65" i="1" s="1"/>
  <c r="AS51" i="1"/>
  <c r="I48" i="1"/>
  <c r="I50" i="1" s="1"/>
  <c r="I52" i="1" s="1"/>
  <c r="I53" i="1" s="1"/>
  <c r="K4" i="2"/>
  <c r="K7" i="2" s="1"/>
  <c r="BR5" i="1" l="1"/>
  <c r="BQ3" i="1"/>
  <c r="BL64" i="1"/>
  <c r="BO41" i="1"/>
  <c r="BM45" i="1"/>
  <c r="BM47" i="1" s="1"/>
  <c r="BM44" i="1"/>
  <c r="BM56" i="1"/>
  <c r="BT54" i="1"/>
  <c r="BR10" i="1"/>
  <c r="AS65" i="1"/>
  <c r="BL51" i="1"/>
  <c r="BL52" i="1" s="1"/>
  <c r="BL53" i="1" s="1"/>
  <c r="AT52" i="1"/>
  <c r="AT53" i="1" s="1"/>
  <c r="AS52" i="1"/>
  <c r="AS53" i="1" s="1"/>
  <c r="G49" i="1"/>
  <c r="G47" i="1"/>
  <c r="G44" i="1"/>
  <c r="G40" i="1"/>
  <c r="G41" i="1" s="1"/>
  <c r="BS5" i="1" l="1"/>
  <c r="BR3" i="1"/>
  <c r="BP41" i="1"/>
  <c r="BM43" i="1"/>
  <c r="BM48" i="1"/>
  <c r="BM50" i="1" s="1"/>
  <c r="BM51" i="1" s="1"/>
  <c r="BM52" i="1" s="1"/>
  <c r="BM53" i="1" s="1"/>
  <c r="BN45" i="1"/>
  <c r="BN47" i="1" s="1"/>
  <c r="BN56" i="1"/>
  <c r="BN44" i="1"/>
  <c r="BS10" i="1"/>
  <c r="G48" i="1"/>
  <c r="G50" i="1" s="1"/>
  <c r="G52" i="1" s="1"/>
  <c r="G53" i="1" s="1"/>
  <c r="BT5" i="1" l="1"/>
  <c r="BS3" i="1"/>
  <c r="BN43" i="1"/>
  <c r="BN48" i="1"/>
  <c r="BN50" i="1" s="1"/>
  <c r="BN51" i="1" s="1"/>
  <c r="BN52" i="1" s="1"/>
  <c r="BN53" i="1" s="1"/>
  <c r="BO56" i="1"/>
  <c r="BO45" i="1"/>
  <c r="BO47" i="1" s="1"/>
  <c r="BO44" i="1"/>
  <c r="BQ41" i="1"/>
  <c r="BT10" i="1"/>
  <c r="BP56" i="1" l="1"/>
  <c r="BP44" i="1"/>
  <c r="BP45" i="1"/>
  <c r="BP47" i="1" s="1"/>
  <c r="BR41" i="1"/>
  <c r="BO43" i="1"/>
  <c r="BO48" i="1"/>
  <c r="BO50" i="1" s="1"/>
  <c r="BO51" i="1" s="1"/>
  <c r="BO52" i="1" s="1"/>
  <c r="BO53" i="1" s="1"/>
  <c r="BQ45" i="1" l="1"/>
  <c r="BQ47" i="1" s="1"/>
  <c r="BQ44" i="1"/>
  <c r="BQ56" i="1"/>
  <c r="BS41" i="1"/>
  <c r="BP43" i="1"/>
  <c r="BP48" i="1"/>
  <c r="BP50" i="1" s="1"/>
  <c r="BP51" i="1" s="1"/>
  <c r="BP52" i="1" s="1"/>
  <c r="BP53" i="1" s="1"/>
  <c r="BT41" i="1" l="1"/>
  <c r="BR56" i="1"/>
  <c r="BR45" i="1"/>
  <c r="BR47" i="1" s="1"/>
  <c r="BR44" i="1"/>
  <c r="BQ43" i="1"/>
  <c r="BQ48" i="1"/>
  <c r="BQ50" i="1" s="1"/>
  <c r="BQ51" i="1" s="1"/>
  <c r="BQ52" i="1" s="1"/>
  <c r="BQ53" i="1" s="1"/>
  <c r="BR43" i="1" l="1"/>
  <c r="BR48" i="1"/>
  <c r="BR50" i="1" s="1"/>
  <c r="BR51" i="1" s="1"/>
  <c r="BR52" i="1" s="1"/>
  <c r="BR53" i="1" s="1"/>
  <c r="BS45" i="1"/>
  <c r="BS47" i="1" s="1"/>
  <c r="BS44" i="1"/>
  <c r="BS56" i="1"/>
  <c r="BT45" i="1"/>
  <c r="BT47" i="1" s="1"/>
  <c r="BT44" i="1"/>
  <c r="BT56" i="1"/>
  <c r="BT43" i="1" l="1"/>
  <c r="BT48" i="1"/>
  <c r="BT50" i="1" s="1"/>
  <c r="BT51" i="1" s="1"/>
  <c r="BT52" i="1" s="1"/>
  <c r="BU52" i="1" s="1"/>
  <c r="BS43" i="1"/>
  <c r="BS48" i="1"/>
  <c r="BS50" i="1" s="1"/>
  <c r="BS51" i="1" s="1"/>
  <c r="BS52" i="1" s="1"/>
  <c r="BS53" i="1" l="1"/>
  <c r="BT53" i="1"/>
  <c r="BV52" i="1"/>
  <c r="BW52" i="1" s="1"/>
  <c r="BX52" i="1" s="1"/>
  <c r="BY52" i="1" s="1"/>
  <c r="BZ52" i="1" s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CL52" i="1" s="1"/>
  <c r="CM52" i="1" s="1"/>
  <c r="CN52" i="1" s="1"/>
  <c r="CO52" i="1" s="1"/>
  <c r="CP52" i="1" s="1"/>
  <c r="CQ52" i="1" s="1"/>
  <c r="CR52" i="1" s="1"/>
  <c r="CS52" i="1" s="1"/>
  <c r="CT52" i="1" s="1"/>
  <c r="CU52" i="1" s="1"/>
  <c r="CV52" i="1" s="1"/>
  <c r="CW52" i="1" s="1"/>
  <c r="CX52" i="1" s="1"/>
  <c r="CY52" i="1" s="1"/>
  <c r="CZ52" i="1" s="1"/>
  <c r="DA52" i="1" s="1"/>
  <c r="DB52" i="1" s="1"/>
  <c r="DC52" i="1" s="1"/>
  <c r="DD52" i="1" s="1"/>
  <c r="DE52" i="1" s="1"/>
  <c r="DF52" i="1" s="1"/>
  <c r="DG52" i="1" s="1"/>
  <c r="DH52" i="1" s="1"/>
  <c r="DI52" i="1" s="1"/>
  <c r="DJ52" i="1" s="1"/>
  <c r="DK52" i="1" s="1"/>
  <c r="DL52" i="1" s="1"/>
  <c r="DM52" i="1" s="1"/>
  <c r="DN52" i="1" s="1"/>
  <c r="DO52" i="1" s="1"/>
  <c r="DP52" i="1" s="1"/>
  <c r="DQ52" i="1" s="1"/>
  <c r="DR52" i="1" s="1"/>
  <c r="DS52" i="1" s="1"/>
  <c r="DT52" i="1" s="1"/>
  <c r="DU52" i="1" s="1"/>
  <c r="DV52" i="1" s="1"/>
  <c r="DW52" i="1" s="1"/>
  <c r="DX52" i="1" s="1"/>
  <c r="DY52" i="1" s="1"/>
  <c r="DZ52" i="1" s="1"/>
  <c r="EA52" i="1" s="1"/>
  <c r="EB52" i="1" s="1"/>
  <c r="EC52" i="1" s="1"/>
  <c r="ED52" i="1" s="1"/>
  <c r="EE52" i="1" s="1"/>
  <c r="EF52" i="1" s="1"/>
  <c r="EG52" i="1" s="1"/>
  <c r="EH52" i="1" s="1"/>
  <c r="EI52" i="1" s="1"/>
  <c r="EJ52" i="1" s="1"/>
  <c r="EK52" i="1" s="1"/>
  <c r="EL52" i="1" s="1"/>
  <c r="EM52" i="1" s="1"/>
  <c r="EN52" i="1" s="1"/>
  <c r="EO52" i="1" s="1"/>
  <c r="EP52" i="1" s="1"/>
  <c r="EQ52" i="1" s="1"/>
  <c r="ER52" i="1" s="1"/>
  <c r="ES52" i="1" s="1"/>
  <c r="ET52" i="1" s="1"/>
  <c r="EU52" i="1" s="1"/>
  <c r="EV52" i="1" s="1"/>
  <c r="EW52" i="1" s="1"/>
  <c r="EX52" i="1" s="1"/>
  <c r="EY52" i="1" s="1"/>
  <c r="EZ52" i="1" s="1"/>
  <c r="FA52" i="1" s="1"/>
  <c r="FB52" i="1" s="1"/>
  <c r="FC52" i="1" s="1"/>
  <c r="FD52" i="1" s="1"/>
  <c r="FE52" i="1" s="1"/>
  <c r="FF52" i="1" s="1"/>
  <c r="FG52" i="1" s="1"/>
  <c r="FH52" i="1" s="1"/>
  <c r="FI52" i="1" s="1"/>
  <c r="FJ52" i="1" s="1"/>
  <c r="FK52" i="1" s="1"/>
  <c r="FL52" i="1" s="1"/>
  <c r="FM52" i="1" s="1"/>
  <c r="FN52" i="1" s="1"/>
  <c r="FO52" i="1" s="1"/>
  <c r="FP52" i="1" s="1"/>
  <c r="FQ52" i="1" s="1"/>
  <c r="FR52" i="1" s="1"/>
  <c r="FS52" i="1" s="1"/>
  <c r="FT52" i="1" s="1"/>
  <c r="FU52" i="1" s="1"/>
  <c r="FV52" i="1" s="1"/>
  <c r="FW52" i="1" s="1"/>
  <c r="FX52" i="1" s="1"/>
  <c r="FY52" i="1" s="1"/>
  <c r="FZ52" i="1" s="1"/>
  <c r="GA52" i="1" s="1"/>
  <c r="GB52" i="1" s="1"/>
  <c r="GC52" i="1" s="1"/>
  <c r="GD52" i="1" s="1"/>
  <c r="GE52" i="1" s="1"/>
  <c r="GF52" i="1" s="1"/>
  <c r="GG52" i="1" s="1"/>
  <c r="GH52" i="1" s="1"/>
  <c r="GI52" i="1" s="1"/>
  <c r="GJ52" i="1" s="1"/>
  <c r="GK52" i="1" s="1"/>
  <c r="GL52" i="1" s="1"/>
  <c r="GM52" i="1" s="1"/>
  <c r="GN52" i="1" s="1"/>
  <c r="GO52" i="1" s="1"/>
  <c r="GP52" i="1" s="1"/>
  <c r="GQ52" i="1" s="1"/>
  <c r="BW57" i="1" l="1"/>
  <c r="BW5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tc={664741F6-5634-463A-B649-C44AD48AAA09}</author>
  </authors>
  <commentList>
    <comment ref="BL53" authorId="0" shapeId="0" xr:uid="{664741F6-5634-463A-B649-C44AD48AAA09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13.78-13.98 reaffirmed</t>
      </text>
    </comment>
  </commentList>
</comments>
</file>

<file path=xl/sharedStrings.xml><?xml version="1.0" encoding="utf-8"?>
<sst xmlns="http://schemas.openxmlformats.org/spreadsheetml/2006/main" count="351" uniqueCount="270">
  <si>
    <t>Humira</t>
  </si>
  <si>
    <t>Q113</t>
  </si>
  <si>
    <t>Synagis</t>
  </si>
  <si>
    <t>AndroGel</t>
  </si>
  <si>
    <t>Duodopa</t>
  </si>
  <si>
    <t>Zemplar</t>
  </si>
  <si>
    <t>Creon</t>
  </si>
  <si>
    <t>Synthroid</t>
  </si>
  <si>
    <t>TriCor</t>
  </si>
  <si>
    <t>Lupron</t>
  </si>
  <si>
    <t>Niaspan</t>
  </si>
  <si>
    <t>Kaletra</t>
  </si>
  <si>
    <t>Other</t>
  </si>
  <si>
    <t>Main Products</t>
  </si>
  <si>
    <t>Shares</t>
  </si>
  <si>
    <t>EPS</t>
  </si>
  <si>
    <t>Net Income</t>
  </si>
  <si>
    <t>Taxes</t>
  </si>
  <si>
    <t>Pretax Income</t>
  </si>
  <si>
    <t>Interest Income</t>
  </si>
  <si>
    <t>Operating Expenses</t>
  </si>
  <si>
    <t>Operating Income</t>
  </si>
  <si>
    <t>R&amp;D</t>
  </si>
  <si>
    <t>SG&amp;A</t>
  </si>
  <si>
    <t>Gross Profit</t>
  </si>
  <si>
    <t>COGS</t>
  </si>
  <si>
    <t>Name</t>
  </si>
  <si>
    <t>Indication</t>
  </si>
  <si>
    <t>atrasentan</t>
  </si>
  <si>
    <t>ABT-126</t>
  </si>
  <si>
    <t>elagolix</t>
  </si>
  <si>
    <t>AKI</t>
  </si>
  <si>
    <t>BCL-2</t>
  </si>
  <si>
    <t>TNF</t>
  </si>
  <si>
    <t>MOA</t>
  </si>
  <si>
    <t>Pancreatic</t>
  </si>
  <si>
    <t>Uterine Fibroids</t>
  </si>
  <si>
    <t>NBIX</t>
  </si>
  <si>
    <t>Economics</t>
  </si>
  <si>
    <t>AZN</t>
  </si>
  <si>
    <t>ABT-267</t>
  </si>
  <si>
    <t>ABT-333</t>
  </si>
  <si>
    <t>HCV</t>
  </si>
  <si>
    <t>ABT-414</t>
  </si>
  <si>
    <t>GBM</t>
  </si>
  <si>
    <t>ABT-888 (veliparib)</t>
  </si>
  <si>
    <t>PARP</t>
  </si>
  <si>
    <t>ABT-981</t>
  </si>
  <si>
    <t>OA</t>
  </si>
  <si>
    <t>ABT-700</t>
  </si>
  <si>
    <t>Cancer</t>
  </si>
  <si>
    <t>Alzheimer's</t>
  </si>
  <si>
    <t>ABT-767</t>
  </si>
  <si>
    <t>Price</t>
  </si>
  <si>
    <t>MC</t>
  </si>
  <si>
    <t>Cash</t>
  </si>
  <si>
    <t>Debt</t>
  </si>
  <si>
    <t>EV</t>
  </si>
  <si>
    <t>IP</t>
  </si>
  <si>
    <t>Survanta</t>
  </si>
  <si>
    <t>Approved</t>
  </si>
  <si>
    <t>Phase</t>
  </si>
  <si>
    <t>Q313</t>
  </si>
  <si>
    <t>Q213</t>
  </si>
  <si>
    <t>Q112</t>
  </si>
  <si>
    <t>Q212</t>
  </si>
  <si>
    <t>Q312</t>
  </si>
  <si>
    <t>Q412</t>
  </si>
  <si>
    <t>Sevoflurane</t>
  </si>
  <si>
    <t>II</t>
  </si>
  <si>
    <t>Ovarian Cancer</t>
  </si>
  <si>
    <t>alpha7</t>
  </si>
  <si>
    <t>ABT-122</t>
  </si>
  <si>
    <t>Rheumatoid Arthritis</t>
  </si>
  <si>
    <t>ABT-165</t>
  </si>
  <si>
    <t>Discontinued</t>
  </si>
  <si>
    <t>ABT-354 for Alzheimer's. 5HT6?</t>
  </si>
  <si>
    <t>Q214</t>
  </si>
  <si>
    <t>Biologic</t>
  </si>
  <si>
    <t>Humira (adalimumab)</t>
  </si>
  <si>
    <t>Main</t>
  </si>
  <si>
    <t>Brand Name</t>
  </si>
  <si>
    <t>Generic Name</t>
  </si>
  <si>
    <t>adalimumab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</si>
  <si>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</si>
  <si>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</si>
  <si>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</si>
  <si>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</si>
  <si>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</si>
  <si>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</si>
  <si>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</si>
  <si>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</si>
  <si>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</si>
  <si>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</si>
  <si>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</si>
  <si>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</si>
  <si>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</si>
  <si>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</si>
  <si>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</si>
  <si>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</si>
  <si>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</si>
  <si>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</si>
  <si>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</si>
  <si>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</si>
  <si>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</si>
  <si>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</si>
  <si>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</si>
  <si>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</si>
  <si>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</si>
  <si>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</si>
  <si>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</si>
  <si>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</si>
  <si>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</si>
  <si>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</si>
  <si>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</si>
  <si>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</si>
  <si>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</si>
  <si>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</si>
  <si>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</si>
  <si>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</si>
  <si>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Skyrizi</t>
  </si>
  <si>
    <t>Rinvoq</t>
  </si>
  <si>
    <t>Imbruvica</t>
  </si>
  <si>
    <t>Venclexta</t>
  </si>
  <si>
    <t>Botox Cosmetic</t>
  </si>
  <si>
    <t>Juvederm</t>
  </si>
  <si>
    <t>Other Aesthetics</t>
  </si>
  <si>
    <t>Botox Therapeutic</t>
  </si>
  <si>
    <t>1,255</t>
  </si>
  <si>
    <t>Botox Total</t>
  </si>
  <si>
    <t>Vraylar</t>
  </si>
  <si>
    <t>Ubrelvy</t>
  </si>
  <si>
    <t>Qulipta</t>
  </si>
  <si>
    <t>Other CNS</t>
  </si>
  <si>
    <t>Lumigan/Ganfort</t>
  </si>
  <si>
    <t>Alphagan/Combigan</t>
  </si>
  <si>
    <t>Restasis</t>
  </si>
  <si>
    <t>Other Eye Care</t>
  </si>
  <si>
    <t>Mavyret</t>
  </si>
  <si>
    <t>Linzess</t>
  </si>
  <si>
    <t>Assets</t>
  </si>
  <si>
    <t>AR</t>
  </si>
  <si>
    <t>Inventories</t>
  </si>
  <si>
    <t>Prepaids</t>
  </si>
  <si>
    <t>PP&amp;E</t>
  </si>
  <si>
    <t>Goodwill</t>
  </si>
  <si>
    <t>AP</t>
  </si>
  <si>
    <t>DT</t>
  </si>
  <si>
    <t>OLTL</t>
  </si>
  <si>
    <t>S/E</t>
  </si>
  <si>
    <t>L+S/E</t>
  </si>
  <si>
    <t>Net Cash</t>
  </si>
  <si>
    <t>Anti-TNF mab</t>
  </si>
  <si>
    <t>Brand</t>
  </si>
  <si>
    <t>Androgel</t>
  </si>
  <si>
    <t>Tricor</t>
  </si>
  <si>
    <t>KDNY</t>
  </si>
  <si>
    <t>1,297</t>
  </si>
  <si>
    <t>1,190</t>
  </si>
  <si>
    <t>1,187</t>
  </si>
  <si>
    <t>1,009</t>
  </si>
  <si>
    <t>Skyrizi y/y</t>
  </si>
  <si>
    <t>Humira y/y</t>
  </si>
  <si>
    <t>Revenue y/y</t>
  </si>
  <si>
    <t>Imbruvica y/y</t>
  </si>
  <si>
    <t>1,060</t>
  </si>
  <si>
    <t>Imbruvica (ibrutinib)</t>
  </si>
  <si>
    <t>BTK</t>
  </si>
  <si>
    <t>CLL</t>
  </si>
  <si>
    <t>JNJ</t>
  </si>
  <si>
    <t>Skyrizi (risankizumab)</t>
  </si>
  <si>
    <t>Venclexta (venetoclax)</t>
  </si>
  <si>
    <t>CLL, AML</t>
  </si>
  <si>
    <t>Roche</t>
  </si>
  <si>
    <t>Venetoclax, ABT-199</t>
  </si>
  <si>
    <t>ABBV-154</t>
  </si>
  <si>
    <t>RA, PMR, Crohn's</t>
  </si>
  <si>
    <t>ABBV-157</t>
  </si>
  <si>
    <t>RORgammaT</t>
  </si>
  <si>
    <t>Psoriasis</t>
  </si>
  <si>
    <t>ABT-179</t>
  </si>
  <si>
    <t>DN</t>
  </si>
  <si>
    <t>modimelanotide</t>
  </si>
  <si>
    <t>MCR/alpha-MSH</t>
  </si>
  <si>
    <t>ABBV-105</t>
  </si>
  <si>
    <t>ABBV-599 (-105+Rinvoq)</t>
  </si>
  <si>
    <t>SLE</t>
  </si>
  <si>
    <t>BTK+JAK</t>
  </si>
  <si>
    <t>JAK</t>
  </si>
  <si>
    <t>Rinvoq (upadacitinib)</t>
  </si>
  <si>
    <t>Schizophrenia, Bipolar</t>
  </si>
  <si>
    <t>ABBV-668</t>
  </si>
  <si>
    <t>RIPK1</t>
  </si>
  <si>
    <t>I</t>
  </si>
  <si>
    <t>Autoimmune</t>
  </si>
  <si>
    <t>Viekira (paritaprevir, ombitasvir)</t>
  </si>
  <si>
    <t>Administration</t>
  </si>
  <si>
    <t>Subcutaneous</t>
  </si>
  <si>
    <t>Oral</t>
  </si>
  <si>
    <t>ombitasvir</t>
  </si>
  <si>
    <t>Generic</t>
  </si>
  <si>
    <t>ABT-450</t>
  </si>
  <si>
    <t>paritaprevir</t>
  </si>
  <si>
    <t>ALPN-101</t>
  </si>
  <si>
    <t>ALPN</t>
  </si>
  <si>
    <t>ASC</t>
  </si>
  <si>
    <t>CD28/ICOS</t>
  </si>
  <si>
    <t>Oncology</t>
  </si>
  <si>
    <t>VEGF/DLL4</t>
  </si>
  <si>
    <t>lutikizumab</t>
  </si>
  <si>
    <t>HS</t>
  </si>
  <si>
    <t>IL-1a/1b</t>
  </si>
  <si>
    <t>Rinvoq, fka ABT-494</t>
  </si>
  <si>
    <t>upadacitinib</t>
  </si>
  <si>
    <t>916</t>
  </si>
  <si>
    <t>1,373</t>
  </si>
  <si>
    <t>-</t>
  </si>
  <si>
    <t>Gross Margin</t>
  </si>
  <si>
    <t>Tax Rate</t>
  </si>
  <si>
    <t>CEO: Richard Gonzalez</t>
  </si>
  <si>
    <t>Parkinson's Disease</t>
  </si>
  <si>
    <t>NDA</t>
  </si>
  <si>
    <t>ABBV-951 (foscarbidopa/foslevodopa)</t>
  </si>
  <si>
    <t>Qulipta (atogepant)</t>
  </si>
  <si>
    <t>Migraine</t>
  </si>
  <si>
    <t>Botox (onabotulinumtoxinA)</t>
  </si>
  <si>
    <t>Vraylar (cariprazine)</t>
  </si>
  <si>
    <t>Vuity (pilocarpine)</t>
  </si>
  <si>
    <t>Presbyopia</t>
  </si>
  <si>
    <t>Durysta (bimatoprost)</t>
  </si>
  <si>
    <t>Glaucoma</t>
  </si>
  <si>
    <t>JAK1</t>
  </si>
  <si>
    <t xml:space="preserve">Atopic Dermatitis approved (US, EU); </t>
  </si>
  <si>
    <t>Crohn's Phase III</t>
  </si>
  <si>
    <t>GCA Phase III</t>
  </si>
  <si>
    <t>Rheumatoid Arthritis approved (US, EU)</t>
  </si>
  <si>
    <t>Ulcerative Colitis approved (US, EU)</t>
  </si>
  <si>
    <t>PsA approved (US, EU)</t>
  </si>
  <si>
    <t>risankizumab</t>
  </si>
  <si>
    <t>TNF/IL-17A</t>
  </si>
  <si>
    <t>RA</t>
  </si>
  <si>
    <t>Skyrizi, fka ABBV-006</t>
  </si>
  <si>
    <t>IL-23</t>
  </si>
  <si>
    <t>Crohn's, Psoriasis, Psoriatic Arthritis</t>
  </si>
  <si>
    <t>ABBV-0805</t>
  </si>
  <si>
    <t>alpha-synuclein</t>
  </si>
  <si>
    <t>Indications</t>
  </si>
  <si>
    <t>Rheumatoid Arthritis, Psoriasis, Crohn's, Ulcerative Colitis, Hidradenitis Suppurativa, Ankylosing Spondylitis, Non-Infection Uveitis, JIA</t>
  </si>
  <si>
    <t>Clinical Trials</t>
  </si>
  <si>
    <t>RA, PSO, CD, UC, PsA, HS, Uveitis, AS</t>
  </si>
  <si>
    <t>523</t>
  </si>
  <si>
    <t>Lo Loestrin</t>
  </si>
  <si>
    <t>Orilissa</t>
  </si>
  <si>
    <t>Other Women's</t>
  </si>
  <si>
    <t>Viekira</t>
  </si>
  <si>
    <t>Q123</t>
  </si>
  <si>
    <t>Q223</t>
  </si>
  <si>
    <t>Q323</t>
  </si>
  <si>
    <t>Q423</t>
  </si>
  <si>
    <t>2,499</t>
  </si>
  <si>
    <t>4,683</t>
  </si>
  <si>
    <t>Revenue</t>
  </si>
  <si>
    <t>Discount</t>
  </si>
  <si>
    <t>Terminal</t>
  </si>
  <si>
    <t>NPV</t>
  </si>
  <si>
    <t>ROIC</t>
  </si>
  <si>
    <t>Share</t>
  </si>
  <si>
    <t>1,336</t>
  </si>
  <si>
    <t>Rinvoq y/y</t>
  </si>
  <si>
    <t>Combined Immunology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</si>
</sst>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0">
    <xf numFmtId="0" fontId="0" fillId="0" borderId="0" xfId="0"/>
    <xf numFmtId="0" fontId="10" fillId="0" borderId="0" xfId="0" applyFont="1"/>
    <xf numFmtId="0" fontId="10" fillId="0" borderId="0" xfId="0" applyFont="1" applyAlignment="1">
      <alignment horizontal="right"/>
    </xf>
    <xf numFmtId="4" fontId="10" fillId="0" borderId="0" xfId="0" applyNumberFormat="1" applyFont="1" applyAlignment="1">
      <alignment horizontal="right"/>
    </xf>
    <xf numFmtId="0" fontId="10" fillId="0" borderId="1" xfId="0" applyFont="1" applyBorder="1"/>
    <xf numFmtId="0" fontId="10" fillId="0" borderId="3" xfId="0" applyFont="1" applyBorder="1"/>
    <xf numFmtId="0" fontId="10" fillId="0" borderId="6" xfId="0" applyFont="1" applyBorder="1"/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0" xfId="0" applyFont="1" applyAlignment="1">
      <alignment horizontal="center"/>
    </xf>
    <xf numFmtId="9" fontId="10" fillId="0" borderId="0" xfId="0" applyNumberFormat="1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" fontId="10" fillId="0" borderId="0" xfId="0" applyNumberFormat="1" applyFont="1"/>
    <xf numFmtId="3" fontId="10" fillId="0" borderId="0" xfId="0" applyNumberFormat="1" applyFont="1"/>
    <xf numFmtId="3" fontId="10" fillId="0" borderId="0" xfId="0" applyNumberFormat="1" applyFont="1" applyAlignment="1">
      <alignment horizontal="right"/>
    </xf>
    <xf numFmtId="3" fontId="11" fillId="0" borderId="0" xfId="0" applyNumberFormat="1" applyFont="1"/>
    <xf numFmtId="3" fontId="11" fillId="0" borderId="0" xfId="0" applyNumberFormat="1" applyFont="1" applyAlignment="1">
      <alignment horizontal="right"/>
    </xf>
    <xf numFmtId="14" fontId="10" fillId="0" borderId="0" xfId="0" applyNumberFormat="1" applyFont="1" applyAlignment="1">
      <alignment horizontal="center"/>
    </xf>
    <xf numFmtId="0" fontId="13" fillId="0" borderId="0" xfId="1" applyFont="1"/>
    <xf numFmtId="0" fontId="13" fillId="0" borderId="1" xfId="1" applyFont="1" applyBorder="1"/>
    <xf numFmtId="0" fontId="9" fillId="0" borderId="0" xfId="0" applyFont="1" applyAlignment="1">
      <alignment horizontal="right"/>
    </xf>
    <xf numFmtId="3" fontId="9" fillId="0" borderId="0" xfId="0" applyNumberFormat="1" applyFont="1"/>
    <xf numFmtId="3" fontId="9" fillId="0" borderId="0" xfId="0" quotePrefix="1" applyNumberFormat="1" applyFont="1" applyAlignment="1">
      <alignment horizontal="right"/>
    </xf>
    <xf numFmtId="0" fontId="9" fillId="0" borderId="0" xfId="0" applyFont="1"/>
    <xf numFmtId="0" fontId="8" fillId="0" borderId="0" xfId="0" applyFont="1"/>
    <xf numFmtId="0" fontId="7" fillId="0" borderId="0" xfId="0" applyFont="1"/>
    <xf numFmtId="0" fontId="7" fillId="0" borderId="1" xfId="0" applyFont="1" applyBorder="1"/>
    <xf numFmtId="3" fontId="7" fillId="0" borderId="0" xfId="0" quotePrefix="1" applyNumberFormat="1" applyFont="1" applyAlignment="1">
      <alignment horizontal="right"/>
    </xf>
    <xf numFmtId="9" fontId="10" fillId="0" borderId="0" xfId="0" applyNumberFormat="1" applyFont="1"/>
    <xf numFmtId="9" fontId="10" fillId="0" borderId="0" xfId="0" applyNumberFormat="1" applyFont="1" applyAlignment="1">
      <alignment horizontal="right"/>
    </xf>
    <xf numFmtId="9" fontId="7" fillId="0" borderId="0" xfId="0" applyNumberFormat="1" applyFont="1"/>
    <xf numFmtId="9" fontId="11" fillId="0" borderId="0" xfId="0" applyNumberFormat="1" applyFont="1"/>
    <xf numFmtId="9" fontId="11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1" xfId="0" applyFont="1" applyBorder="1"/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0" xfId="0" applyFont="1"/>
    <xf numFmtId="3" fontId="4" fillId="0" borderId="0" xfId="0" quotePrefix="1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9" fontId="4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3" fontId="3" fillId="0" borderId="0" xfId="0" quotePrefix="1" applyNumberFormat="1" applyFont="1" applyAlignment="1">
      <alignment horizontal="right"/>
    </xf>
    <xf numFmtId="3" fontId="3" fillId="0" borderId="0" xfId="0" applyNumberFormat="1" applyFont="1"/>
    <xf numFmtId="3" fontId="10" fillId="2" borderId="0" xfId="0" applyNumberFormat="1" applyFont="1" applyFill="1" applyAlignment="1">
      <alignment horizontal="right"/>
    </xf>
    <xf numFmtId="9" fontId="3" fillId="0" borderId="0" xfId="0" applyNumberFormat="1" applyFont="1" applyAlignment="1">
      <alignment horizontal="right"/>
    </xf>
    <xf numFmtId="9" fontId="3" fillId="0" borderId="0" xfId="0" applyNumberFormat="1" applyFont="1"/>
    <xf numFmtId="3" fontId="3" fillId="0" borderId="0" xfId="0" applyNumberFormat="1" applyFont="1" applyAlignment="1">
      <alignment horizontal="right"/>
    </xf>
    <xf numFmtId="3" fontId="2" fillId="0" borderId="0" xfId="0" quotePrefix="1" applyNumberFormat="1" applyFont="1" applyAlignment="1">
      <alignment horizontal="right"/>
    </xf>
    <xf numFmtId="9" fontId="2" fillId="0" borderId="0" xfId="0" applyNumberFormat="1" applyFont="1"/>
    <xf numFmtId="9" fontId="2" fillId="0" borderId="0" xfId="0" applyNumberFormat="1" applyFont="1" applyAlignment="1">
      <alignment horizontal="right"/>
    </xf>
    <xf numFmtId="0" fontId="1" fillId="0" borderId="0" xfId="0" applyFont="1"/>
    <xf numFmtId="3" fontId="1" fillId="0" borderId="0" xfId="0" quotePrefix="1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8335</xdr:colOff>
      <xdr:row>0</xdr:row>
      <xdr:rowOff>57150</xdr:rowOff>
    </xdr:from>
    <xdr:to>
      <xdr:col>45</xdr:col>
      <xdr:colOff>8335</xdr:colOff>
      <xdr:row>112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27934444" y="57150"/>
          <a:ext cx="0" cy="176998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9525</xdr:colOff>
      <xdr:row>0</xdr:row>
      <xdr:rowOff>0</xdr:rowOff>
    </xdr:from>
    <xdr:to>
      <xdr:col>63</xdr:col>
      <xdr:colOff>9525</xdr:colOff>
      <xdr:row>112</xdr:row>
      <xdr:rowOff>19050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81629DD-368A-4F1D-B8E6-17D93DBFDD64}"/>
            </a:ext>
          </a:extLst>
        </xdr:cNvPr>
        <xdr:cNvCxnSpPr/>
      </xdr:nvCxnSpPr>
      <xdr:spPr>
        <a:xfrm>
          <a:off x="37795200" y="0"/>
          <a:ext cx="0" cy="17021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C08182D-8126-43D2-AFE1-095FC8F8A0A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L53" dT="2022-07-29T13:57:20.53" personId="{FC08182D-8126-43D2-AFE1-095FC8F8A0A3}" id="{664741F6-5634-463A-B649-C44AD48AAA09}">
    <text>Q222 guidance: 13.78-13.98 reaffirmed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4E64-2316-40E7-ABD3-50EF24843FE0}">
  <dimension ref="A1:F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3" sqref="E23"/>
    </sheetView>
  </sheetViews>
  <sheetFormatPr baseColWidth="10" defaultColWidth="9.1640625" defaultRowHeight="13" x14ac:dyDescent="0.15"/>
  <cols>
    <col min="1" max="1" width="5" style="27" bestFit="1" customWidth="1"/>
    <col min="2" max="2" width="18.83203125" style="27" bestFit="1" customWidth="1"/>
    <col min="3" max="16384" width="9.1640625" style="27"/>
  </cols>
  <sheetData>
    <row r="1" spans="1:6" x14ac:dyDescent="0.15">
      <c r="A1" s="20" t="s">
        <v>80</v>
      </c>
    </row>
    <row r="2" spans="1:6" x14ac:dyDescent="0.15">
      <c r="A2" s="20"/>
      <c r="B2" s="27" t="s">
        <v>153</v>
      </c>
      <c r="C2" s="42" t="s">
        <v>200</v>
      </c>
      <c r="D2" s="42" t="s">
        <v>38</v>
      </c>
      <c r="E2" s="42" t="s">
        <v>27</v>
      </c>
      <c r="F2" s="42" t="s">
        <v>34</v>
      </c>
    </row>
    <row r="3" spans="1:6" x14ac:dyDescent="0.15">
      <c r="A3" s="20"/>
      <c r="B3" s="27" t="s">
        <v>154</v>
      </c>
    </row>
    <row r="4" spans="1:6" x14ac:dyDescent="0.15">
      <c r="A4" s="20"/>
      <c r="B4" s="27" t="s">
        <v>11</v>
      </c>
    </row>
    <row r="5" spans="1:6" x14ac:dyDescent="0.15">
      <c r="A5" s="20"/>
      <c r="B5" s="27" t="s">
        <v>10</v>
      </c>
    </row>
    <row r="6" spans="1:6" x14ac:dyDescent="0.15">
      <c r="A6" s="20"/>
      <c r="B6" s="42" t="s">
        <v>212</v>
      </c>
      <c r="C6" s="42" t="s">
        <v>213</v>
      </c>
      <c r="D6" s="32">
        <v>1</v>
      </c>
      <c r="E6" s="42" t="s">
        <v>73</v>
      </c>
      <c r="F6" s="42" t="s">
        <v>188</v>
      </c>
    </row>
    <row r="7" spans="1:6" x14ac:dyDescent="0.15">
      <c r="A7" s="20"/>
      <c r="B7" s="27" t="s">
        <v>59</v>
      </c>
    </row>
    <row r="8" spans="1:6" x14ac:dyDescent="0.15">
      <c r="B8" s="27" t="s">
        <v>2</v>
      </c>
      <c r="D8" s="27" t="s">
        <v>39</v>
      </c>
    </row>
    <row r="9" spans="1:6" x14ac:dyDescent="0.15">
      <c r="B9" s="27" t="s">
        <v>155</v>
      </c>
    </row>
    <row r="10" spans="1:6" x14ac:dyDescent="0.15">
      <c r="B10" s="38" t="s">
        <v>174</v>
      </c>
    </row>
    <row r="11" spans="1:6" x14ac:dyDescent="0.15">
      <c r="B11" s="27" t="s">
        <v>5</v>
      </c>
    </row>
    <row r="12" spans="1:6" x14ac:dyDescent="0.15">
      <c r="B12" s="42" t="s">
        <v>40</v>
      </c>
      <c r="C12" s="42" t="s">
        <v>199</v>
      </c>
    </row>
    <row r="13" spans="1:6" x14ac:dyDescent="0.15">
      <c r="B13" s="42" t="s">
        <v>201</v>
      </c>
      <c r="C13" s="42" t="s">
        <v>202</v>
      </c>
    </row>
    <row r="18" spans="2:6" x14ac:dyDescent="0.15">
      <c r="C18" s="27" t="s">
        <v>28</v>
      </c>
      <c r="D18" s="27" t="s">
        <v>156</v>
      </c>
      <c r="E18" s="38" t="s">
        <v>181</v>
      </c>
    </row>
    <row r="19" spans="2:6" x14ac:dyDescent="0.15">
      <c r="B19" s="38" t="s">
        <v>180</v>
      </c>
      <c r="C19" s="38" t="s">
        <v>182</v>
      </c>
      <c r="E19" s="38" t="s">
        <v>31</v>
      </c>
      <c r="F19" s="38" t="s">
        <v>183</v>
      </c>
    </row>
    <row r="20" spans="2:6" x14ac:dyDescent="0.15">
      <c r="B20" s="38" t="s">
        <v>29</v>
      </c>
      <c r="E20" s="38" t="s">
        <v>51</v>
      </c>
      <c r="F20" s="38" t="s">
        <v>71</v>
      </c>
    </row>
    <row r="21" spans="2:6" x14ac:dyDescent="0.15">
      <c r="B21" s="42" t="s">
        <v>74</v>
      </c>
      <c r="E21" s="42" t="s">
        <v>207</v>
      </c>
      <c r="F21" s="42" t="s">
        <v>208</v>
      </c>
    </row>
    <row r="22" spans="2:6" x14ac:dyDescent="0.15">
      <c r="B22" s="42" t="s">
        <v>72</v>
      </c>
      <c r="E22" s="42" t="s">
        <v>240</v>
      </c>
      <c r="F22" s="42" t="s">
        <v>239</v>
      </c>
    </row>
  </sheetData>
  <hyperlinks>
    <hyperlink ref="A1" location="Main!A1" display="Main" xr:uid="{5D1A5E3C-A702-4388-9F60-3E56090F47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8"/>
  <sheetViews>
    <sheetView topLeftCell="D1" zoomScale="160" zoomScaleNormal="160" workbookViewId="0">
      <selection activeCell="K5" sqref="K5"/>
    </sheetView>
  </sheetViews>
  <sheetFormatPr baseColWidth="10" defaultColWidth="9.1640625" defaultRowHeight="13" x14ac:dyDescent="0.15"/>
  <cols>
    <col min="1" max="1" width="2.83203125" style="1" customWidth="1"/>
    <col min="2" max="2" width="22.5" style="1" customWidth="1"/>
    <col min="3" max="3" width="31.6640625" style="1" customWidth="1"/>
    <col min="4" max="4" width="10.83203125" style="1" customWidth="1"/>
    <col min="5" max="5" width="14.83203125" style="1" customWidth="1"/>
    <col min="6" max="6" width="10.33203125" style="1" bestFit="1" customWidth="1"/>
    <col min="7" max="7" width="13.83203125" style="1" bestFit="1" customWidth="1"/>
    <col min="8" max="16384" width="9.1640625" style="1"/>
  </cols>
  <sheetData>
    <row r="2" spans="2:12" x14ac:dyDescent="0.15">
      <c r="B2" s="6" t="s">
        <v>26</v>
      </c>
      <c r="C2" s="7" t="s">
        <v>27</v>
      </c>
      <c r="D2" s="7" t="s">
        <v>60</v>
      </c>
      <c r="E2" s="7" t="s">
        <v>34</v>
      </c>
      <c r="F2" s="7" t="s">
        <v>38</v>
      </c>
      <c r="G2" s="41" t="s">
        <v>196</v>
      </c>
      <c r="H2" s="8" t="s">
        <v>58</v>
      </c>
      <c r="J2" s="1" t="s">
        <v>53</v>
      </c>
      <c r="K2" s="14">
        <v>147.61000000000001</v>
      </c>
    </row>
    <row r="3" spans="2:12" x14ac:dyDescent="0.15">
      <c r="B3" s="21" t="s">
        <v>79</v>
      </c>
      <c r="C3" s="48" t="s">
        <v>249</v>
      </c>
      <c r="D3" s="19">
        <v>37621</v>
      </c>
      <c r="E3" s="9" t="s">
        <v>33</v>
      </c>
      <c r="F3" s="10">
        <v>1</v>
      </c>
      <c r="G3" s="39" t="s">
        <v>197</v>
      </c>
      <c r="H3" s="11" t="s">
        <v>78</v>
      </c>
      <c r="J3" s="1" t="s">
        <v>14</v>
      </c>
      <c r="K3" s="15">
        <v>1768.096495</v>
      </c>
      <c r="L3" s="46" t="s">
        <v>117</v>
      </c>
    </row>
    <row r="4" spans="2:12" x14ac:dyDescent="0.15">
      <c r="B4" s="40" t="s">
        <v>225</v>
      </c>
      <c r="C4" s="9"/>
      <c r="D4" s="9"/>
      <c r="E4" s="9"/>
      <c r="F4" s="9"/>
      <c r="G4" s="9"/>
      <c r="H4" s="11"/>
      <c r="J4" s="1" t="s">
        <v>54</v>
      </c>
      <c r="K4" s="15">
        <f>+K3*K2</f>
        <v>260988.72362695003</v>
      </c>
      <c r="L4" s="2"/>
    </row>
    <row r="5" spans="2:12" x14ac:dyDescent="0.15">
      <c r="B5" s="40" t="s">
        <v>166</v>
      </c>
      <c r="C5" s="35" t="s">
        <v>168</v>
      </c>
      <c r="D5" s="9"/>
      <c r="E5" s="35" t="s">
        <v>167</v>
      </c>
      <c r="F5" s="35" t="s">
        <v>169</v>
      </c>
      <c r="G5" s="39" t="s">
        <v>198</v>
      </c>
      <c r="H5" s="11"/>
      <c r="J5" s="1" t="s">
        <v>55</v>
      </c>
      <c r="K5" s="15">
        <v>10205</v>
      </c>
      <c r="L5" s="46" t="s">
        <v>117</v>
      </c>
    </row>
    <row r="6" spans="2:12" x14ac:dyDescent="0.15">
      <c r="B6" s="21" t="s">
        <v>170</v>
      </c>
      <c r="C6" s="9"/>
      <c r="D6" s="9"/>
      <c r="E6" s="39" t="s">
        <v>242</v>
      </c>
      <c r="F6" s="9"/>
      <c r="G6" s="9"/>
      <c r="H6" s="11"/>
      <c r="J6" s="1" t="s">
        <v>56</v>
      </c>
      <c r="K6" s="15">
        <v>72932</v>
      </c>
      <c r="L6" s="46" t="s">
        <v>117</v>
      </c>
    </row>
    <row r="7" spans="2:12" x14ac:dyDescent="0.15">
      <c r="B7" s="40" t="s">
        <v>171</v>
      </c>
      <c r="C7" s="37" t="s">
        <v>172</v>
      </c>
      <c r="D7" s="9"/>
      <c r="E7" s="37" t="s">
        <v>32</v>
      </c>
      <c r="F7" s="37" t="s">
        <v>173</v>
      </c>
      <c r="G7" s="39" t="s">
        <v>198</v>
      </c>
      <c r="H7" s="11"/>
      <c r="J7" s="1" t="s">
        <v>57</v>
      </c>
      <c r="K7" s="15">
        <f>+K4-K5+K6</f>
        <v>323715.72362695006</v>
      </c>
    </row>
    <row r="8" spans="2:12" x14ac:dyDescent="0.15">
      <c r="B8" s="40" t="s">
        <v>9</v>
      </c>
      <c r="C8" s="9"/>
      <c r="D8" s="9"/>
      <c r="E8" s="9"/>
      <c r="F8" s="9"/>
      <c r="G8" s="9"/>
      <c r="H8" s="11"/>
    </row>
    <row r="9" spans="2:12" x14ac:dyDescent="0.15">
      <c r="B9" s="21" t="s">
        <v>189</v>
      </c>
      <c r="C9" s="39" t="s">
        <v>73</v>
      </c>
      <c r="D9" s="9"/>
      <c r="E9" s="39" t="s">
        <v>188</v>
      </c>
      <c r="F9" s="10">
        <v>1</v>
      </c>
      <c r="G9" s="39" t="s">
        <v>198</v>
      </c>
      <c r="H9" s="11"/>
    </row>
    <row r="10" spans="2:12" x14ac:dyDescent="0.15">
      <c r="B10" s="4" t="s">
        <v>7</v>
      </c>
      <c r="C10" s="9"/>
      <c r="D10" s="9"/>
      <c r="E10" s="9"/>
      <c r="F10" s="9"/>
      <c r="G10" s="39" t="s">
        <v>198</v>
      </c>
      <c r="H10" s="11"/>
    </row>
    <row r="11" spans="2:12" x14ac:dyDescent="0.15">
      <c r="B11" s="4" t="s">
        <v>6</v>
      </c>
      <c r="C11" s="9" t="s">
        <v>35</v>
      </c>
      <c r="D11" s="9"/>
      <c r="E11" s="9"/>
      <c r="F11" s="9"/>
      <c r="G11" s="39" t="s">
        <v>198</v>
      </c>
      <c r="H11" s="11"/>
    </row>
    <row r="12" spans="2:12" x14ac:dyDescent="0.15">
      <c r="B12" s="28" t="s">
        <v>136</v>
      </c>
      <c r="C12" s="9"/>
      <c r="D12" s="9"/>
      <c r="E12" s="9"/>
      <c r="F12" s="9"/>
      <c r="G12" s="9"/>
      <c r="H12" s="11"/>
    </row>
    <row r="13" spans="2:12" x14ac:dyDescent="0.15">
      <c r="B13" s="4" t="s">
        <v>4</v>
      </c>
      <c r="C13" s="9"/>
      <c r="D13" s="9"/>
      <c r="E13" s="9"/>
      <c r="F13" s="9"/>
      <c r="G13" s="9"/>
      <c r="H13" s="11"/>
      <c r="J13" s="42" t="s">
        <v>219</v>
      </c>
    </row>
    <row r="14" spans="2:12" x14ac:dyDescent="0.15">
      <c r="B14" s="4" t="s">
        <v>30</v>
      </c>
      <c r="C14" s="9" t="s">
        <v>36</v>
      </c>
      <c r="D14" s="9"/>
      <c r="E14" s="9"/>
      <c r="F14" s="9" t="s">
        <v>37</v>
      </c>
      <c r="G14" s="39" t="s">
        <v>198</v>
      </c>
      <c r="H14" s="11"/>
    </row>
    <row r="15" spans="2:12" x14ac:dyDescent="0.15">
      <c r="B15" s="40" t="s">
        <v>223</v>
      </c>
      <c r="C15" s="39" t="s">
        <v>224</v>
      </c>
      <c r="D15" s="9"/>
      <c r="E15" s="9"/>
      <c r="F15" s="9"/>
      <c r="G15" s="39"/>
      <c r="H15" s="11"/>
    </row>
    <row r="16" spans="2:12" x14ac:dyDescent="0.15">
      <c r="B16" s="40" t="s">
        <v>195</v>
      </c>
      <c r="C16" s="37" t="s">
        <v>42</v>
      </c>
      <c r="D16" s="9"/>
      <c r="E16" s="9"/>
      <c r="F16" s="10">
        <v>1</v>
      </c>
      <c r="G16" s="39" t="s">
        <v>198</v>
      </c>
      <c r="H16" s="11"/>
    </row>
    <row r="17" spans="2:8" x14ac:dyDescent="0.15">
      <c r="B17" s="40" t="s">
        <v>227</v>
      </c>
      <c r="C17" s="39" t="s">
        <v>228</v>
      </c>
      <c r="D17" s="9"/>
      <c r="E17" s="9"/>
      <c r="F17" s="10"/>
      <c r="G17" s="39"/>
      <c r="H17" s="11"/>
    </row>
    <row r="18" spans="2:8" x14ac:dyDescent="0.15">
      <c r="B18" s="40" t="s">
        <v>229</v>
      </c>
      <c r="C18" s="39" t="s">
        <v>230</v>
      </c>
      <c r="D18" s="9"/>
      <c r="E18" s="9"/>
      <c r="F18" s="10"/>
      <c r="G18" s="39"/>
      <c r="H18" s="11"/>
    </row>
    <row r="19" spans="2:8" x14ac:dyDescent="0.15">
      <c r="B19" s="40" t="s">
        <v>226</v>
      </c>
      <c r="C19" s="39" t="s">
        <v>190</v>
      </c>
      <c r="D19" s="9"/>
      <c r="E19" s="9"/>
      <c r="F19" s="9"/>
      <c r="G19" s="39" t="s">
        <v>198</v>
      </c>
      <c r="H19" s="11"/>
    </row>
    <row r="20" spans="2:8" x14ac:dyDescent="0.15">
      <c r="B20" s="6"/>
      <c r="C20" s="7"/>
      <c r="D20" s="7" t="s">
        <v>61</v>
      </c>
      <c r="E20" s="7"/>
      <c r="F20" s="7"/>
      <c r="G20" s="7"/>
      <c r="H20" s="8"/>
    </row>
    <row r="21" spans="2:8" x14ac:dyDescent="0.15">
      <c r="B21" s="40" t="s">
        <v>222</v>
      </c>
      <c r="C21" s="39" t="s">
        <v>220</v>
      </c>
      <c r="D21" s="39" t="s">
        <v>221</v>
      </c>
      <c r="E21" s="9"/>
      <c r="F21" s="10">
        <v>1</v>
      </c>
      <c r="G21" s="9"/>
      <c r="H21" s="11"/>
    </row>
    <row r="22" spans="2:8" x14ac:dyDescent="0.15">
      <c r="B22" s="36" t="s">
        <v>175</v>
      </c>
      <c r="C22" s="37" t="s">
        <v>176</v>
      </c>
      <c r="D22" s="37" t="s">
        <v>69</v>
      </c>
      <c r="E22" s="39" t="s">
        <v>205</v>
      </c>
      <c r="F22" s="10">
        <v>1</v>
      </c>
      <c r="G22" s="9"/>
      <c r="H22" s="11"/>
    </row>
    <row r="23" spans="2:8" x14ac:dyDescent="0.15">
      <c r="B23" s="36" t="s">
        <v>177</v>
      </c>
      <c r="C23" s="37" t="s">
        <v>179</v>
      </c>
      <c r="D23" s="37" t="s">
        <v>69</v>
      </c>
      <c r="E23" s="37" t="s">
        <v>178</v>
      </c>
      <c r="F23" s="10">
        <v>1</v>
      </c>
      <c r="G23" s="9"/>
      <c r="H23" s="11"/>
    </row>
    <row r="24" spans="2:8" x14ac:dyDescent="0.15">
      <c r="B24" s="36" t="s">
        <v>184</v>
      </c>
      <c r="C24" s="37" t="s">
        <v>186</v>
      </c>
      <c r="D24" s="37" t="s">
        <v>69</v>
      </c>
      <c r="E24" s="37" t="s">
        <v>167</v>
      </c>
      <c r="F24" s="10">
        <v>1</v>
      </c>
      <c r="G24" s="9"/>
      <c r="H24" s="11"/>
    </row>
    <row r="25" spans="2:8" x14ac:dyDescent="0.15">
      <c r="B25" s="36" t="s">
        <v>185</v>
      </c>
      <c r="C25" s="39" t="s">
        <v>186</v>
      </c>
      <c r="D25" s="39" t="s">
        <v>69</v>
      </c>
      <c r="E25" s="39" t="s">
        <v>187</v>
      </c>
      <c r="F25" s="10">
        <v>1</v>
      </c>
      <c r="G25" s="9"/>
      <c r="H25" s="11"/>
    </row>
    <row r="26" spans="2:8" x14ac:dyDescent="0.15">
      <c r="B26" s="40" t="s">
        <v>191</v>
      </c>
      <c r="C26" s="39" t="s">
        <v>194</v>
      </c>
      <c r="D26" s="39" t="s">
        <v>193</v>
      </c>
      <c r="E26" s="39" t="s">
        <v>192</v>
      </c>
      <c r="F26" s="10">
        <v>1</v>
      </c>
      <c r="G26" s="9"/>
      <c r="H26" s="11"/>
    </row>
    <row r="27" spans="2:8" x14ac:dyDescent="0.15">
      <c r="B27" s="40" t="s">
        <v>203</v>
      </c>
      <c r="C27" s="39" t="s">
        <v>186</v>
      </c>
      <c r="D27" s="39" t="s">
        <v>69</v>
      </c>
      <c r="E27" s="39" t="s">
        <v>206</v>
      </c>
      <c r="F27" s="39" t="s">
        <v>204</v>
      </c>
      <c r="G27" s="9"/>
      <c r="H27" s="11"/>
    </row>
    <row r="28" spans="2:8" x14ac:dyDescent="0.15">
      <c r="B28" s="40" t="s">
        <v>209</v>
      </c>
      <c r="C28" s="39" t="s">
        <v>210</v>
      </c>
      <c r="D28" s="39" t="s">
        <v>69</v>
      </c>
      <c r="E28" s="39" t="s">
        <v>211</v>
      </c>
      <c r="F28" s="10">
        <v>1</v>
      </c>
      <c r="G28" s="9"/>
      <c r="H28" s="11"/>
    </row>
    <row r="29" spans="2:8" x14ac:dyDescent="0.15">
      <c r="B29" s="40" t="s">
        <v>244</v>
      </c>
      <c r="C29" s="39" t="s">
        <v>220</v>
      </c>
      <c r="D29" s="39" t="s">
        <v>193</v>
      </c>
      <c r="E29" s="39" t="s">
        <v>245</v>
      </c>
      <c r="F29" s="10">
        <v>1</v>
      </c>
      <c r="G29" s="9"/>
      <c r="H29" s="11"/>
    </row>
    <row r="30" spans="2:8" x14ac:dyDescent="0.15">
      <c r="B30" s="4" t="s">
        <v>41</v>
      </c>
      <c r="C30" s="9" t="s">
        <v>42</v>
      </c>
      <c r="D30" s="9"/>
      <c r="E30" s="9"/>
      <c r="F30" s="9"/>
      <c r="G30" s="9"/>
      <c r="H30" s="11"/>
    </row>
    <row r="31" spans="2:8" x14ac:dyDescent="0.15">
      <c r="B31" s="4" t="s">
        <v>43</v>
      </c>
      <c r="C31" s="9" t="s">
        <v>44</v>
      </c>
      <c r="D31" s="9"/>
      <c r="E31" s="9"/>
      <c r="F31" s="9"/>
      <c r="G31" s="9"/>
      <c r="H31" s="11"/>
    </row>
    <row r="32" spans="2:8" x14ac:dyDescent="0.15">
      <c r="B32" s="4" t="s">
        <v>45</v>
      </c>
      <c r="C32" s="9" t="s">
        <v>70</v>
      </c>
      <c r="D32" s="9" t="s">
        <v>69</v>
      </c>
      <c r="E32" s="9" t="s">
        <v>46</v>
      </c>
      <c r="F32" s="10">
        <v>1</v>
      </c>
      <c r="G32" s="9"/>
      <c r="H32" s="11"/>
    </row>
    <row r="33" spans="2:8" x14ac:dyDescent="0.15">
      <c r="B33" s="4" t="s">
        <v>47</v>
      </c>
      <c r="C33" s="9" t="s">
        <v>48</v>
      </c>
      <c r="D33" s="9"/>
      <c r="E33" s="9"/>
      <c r="F33" s="9"/>
      <c r="G33" s="9"/>
      <c r="H33" s="11"/>
    </row>
    <row r="34" spans="2:8" x14ac:dyDescent="0.15">
      <c r="B34" s="4" t="s">
        <v>49</v>
      </c>
      <c r="C34" s="9" t="s">
        <v>50</v>
      </c>
      <c r="D34" s="9"/>
      <c r="E34" s="9"/>
      <c r="F34" s="9"/>
      <c r="G34" s="9"/>
      <c r="H34" s="11"/>
    </row>
    <row r="35" spans="2:8" x14ac:dyDescent="0.15">
      <c r="B35" s="5" t="s">
        <v>52</v>
      </c>
      <c r="C35" s="12"/>
      <c r="D35" s="12"/>
      <c r="E35" s="12"/>
      <c r="F35" s="12"/>
      <c r="G35" s="12"/>
      <c r="H35" s="13"/>
    </row>
    <row r="37" spans="2:8" x14ac:dyDescent="0.15">
      <c r="G37" s="1" t="s">
        <v>75</v>
      </c>
    </row>
    <row r="38" spans="2:8" x14ac:dyDescent="0.15">
      <c r="G38" s="1" t="s">
        <v>76</v>
      </c>
    </row>
  </sheetData>
  <hyperlinks>
    <hyperlink ref="B3" location="Humira!A1" display="Humira (adalimumab)" xr:uid="{00000000-0004-0000-0000-000000000000}"/>
    <hyperlink ref="B6" location="Skyrizi!A1" display="Skyrizi (risankizumab)" xr:uid="{EABC111F-4692-46BF-B71F-73A7DA7865C1}"/>
    <hyperlink ref="B9" location="Rinvoq!A1" display="Rinvoq (upadacitinib)" xr:uid="{72FB0F31-06D9-4FEB-A880-DE5C4D8657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Q82"/>
  <sheetViews>
    <sheetView tabSelected="1" zoomScale="190" zoomScaleNormal="190" workbookViewId="0">
      <pane xSplit="2" ySplit="2" topLeftCell="AG16" activePane="bottomRight" state="frozen"/>
      <selection pane="topRight" activeCell="C1" sqref="C1"/>
      <selection pane="bottomLeft" activeCell="A3" sqref="A3"/>
      <selection pane="bottomRight" activeCell="AK13" sqref="AK13"/>
    </sheetView>
  </sheetViews>
  <sheetFormatPr baseColWidth="10" defaultColWidth="9.1640625" defaultRowHeight="13" x14ac:dyDescent="0.15"/>
  <cols>
    <col min="1" max="1" width="9.1640625" style="1"/>
    <col min="2" max="2" width="18.1640625" style="1" bestFit="1" customWidth="1"/>
    <col min="3" max="71" width="9.1640625" style="2"/>
    <col min="72" max="74" width="9.1640625" style="1"/>
    <col min="75" max="75" width="12.33203125" style="1" bestFit="1" customWidth="1"/>
    <col min="76" max="16384" width="9.1640625" style="1"/>
  </cols>
  <sheetData>
    <row r="2" spans="2:72" x14ac:dyDescent="0.15">
      <c r="C2" s="2" t="s">
        <v>64</v>
      </c>
      <c r="D2" s="2" t="s">
        <v>65</v>
      </c>
      <c r="E2" s="2" t="s">
        <v>66</v>
      </c>
      <c r="F2" s="2" t="s">
        <v>67</v>
      </c>
      <c r="G2" s="2" t="s">
        <v>1</v>
      </c>
      <c r="H2" s="2" t="s">
        <v>63</v>
      </c>
      <c r="I2" s="2" t="s">
        <v>62</v>
      </c>
      <c r="J2" s="2" t="s">
        <v>84</v>
      </c>
      <c r="K2" s="2" t="s">
        <v>85</v>
      </c>
      <c r="L2" s="2" t="s">
        <v>77</v>
      </c>
      <c r="M2" s="2" t="s">
        <v>86</v>
      </c>
      <c r="N2" s="2" t="s">
        <v>87</v>
      </c>
      <c r="O2" s="2" t="s">
        <v>88</v>
      </c>
      <c r="P2" s="2" t="s">
        <v>89</v>
      </c>
      <c r="Q2" s="2" t="s">
        <v>90</v>
      </c>
      <c r="R2" s="2" t="s">
        <v>91</v>
      </c>
      <c r="S2" s="22" t="s">
        <v>92</v>
      </c>
      <c r="T2" s="22" t="s">
        <v>93</v>
      </c>
      <c r="U2" s="22" t="s">
        <v>94</v>
      </c>
      <c r="V2" s="22" t="s">
        <v>95</v>
      </c>
      <c r="W2" s="22" t="s">
        <v>96</v>
      </c>
      <c r="X2" s="22" t="s">
        <v>97</v>
      </c>
      <c r="Y2" s="22" t="s">
        <v>98</v>
      </c>
      <c r="Z2" s="22" t="s">
        <v>99</v>
      </c>
      <c r="AA2" s="22" t="s">
        <v>100</v>
      </c>
      <c r="AB2" s="22" t="s">
        <v>101</v>
      </c>
      <c r="AC2" s="22" t="s">
        <v>102</v>
      </c>
      <c r="AD2" s="22" t="s">
        <v>103</v>
      </c>
      <c r="AE2" s="22" t="s">
        <v>104</v>
      </c>
      <c r="AF2" s="22" t="s">
        <v>105</v>
      </c>
      <c r="AG2" s="22" t="s">
        <v>106</v>
      </c>
      <c r="AH2" s="22" t="s">
        <v>107</v>
      </c>
      <c r="AI2" s="22" t="s">
        <v>108</v>
      </c>
      <c r="AJ2" s="22" t="s">
        <v>109</v>
      </c>
      <c r="AK2" s="22" t="s">
        <v>110</v>
      </c>
      <c r="AL2" s="22" t="s">
        <v>111</v>
      </c>
      <c r="AM2" s="22" t="s">
        <v>112</v>
      </c>
      <c r="AN2" s="22" t="s">
        <v>113</v>
      </c>
      <c r="AO2" s="22" t="s">
        <v>114</v>
      </c>
      <c r="AP2" s="22" t="s">
        <v>115</v>
      </c>
      <c r="AQ2" s="22" t="s">
        <v>116</v>
      </c>
      <c r="AR2" s="22" t="s">
        <v>117</v>
      </c>
      <c r="AS2" s="22" t="s">
        <v>118</v>
      </c>
      <c r="AT2" s="22" t="s">
        <v>119</v>
      </c>
      <c r="AU2" s="46" t="s">
        <v>255</v>
      </c>
      <c r="AV2" s="46" t="s">
        <v>256</v>
      </c>
      <c r="AW2" s="46" t="s">
        <v>257</v>
      </c>
      <c r="AX2" s="46" t="s">
        <v>258</v>
      </c>
      <c r="AY2" s="46"/>
      <c r="AZ2" s="46"/>
      <c r="BA2" s="2">
        <v>2011</v>
      </c>
      <c r="BB2" s="2">
        <v>2012</v>
      </c>
      <c r="BC2" s="2">
        <v>2013</v>
      </c>
      <c r="BD2" s="2">
        <f>+BC2+1</f>
        <v>2014</v>
      </c>
      <c r="BE2" s="2">
        <f t="shared" ref="BE2:BS2" si="0">+BD2+1</f>
        <v>2015</v>
      </c>
      <c r="BF2" s="2">
        <f t="shared" si="0"/>
        <v>2016</v>
      </c>
      <c r="BG2" s="2">
        <f t="shared" si="0"/>
        <v>2017</v>
      </c>
      <c r="BH2" s="2">
        <f t="shared" si="0"/>
        <v>2018</v>
      </c>
      <c r="BI2" s="2">
        <f t="shared" si="0"/>
        <v>2019</v>
      </c>
      <c r="BJ2" s="2">
        <f t="shared" si="0"/>
        <v>2020</v>
      </c>
      <c r="BK2" s="2">
        <f t="shared" si="0"/>
        <v>2021</v>
      </c>
      <c r="BL2" s="2">
        <f t="shared" si="0"/>
        <v>2022</v>
      </c>
      <c r="BM2" s="2">
        <f t="shared" si="0"/>
        <v>2023</v>
      </c>
      <c r="BN2" s="2">
        <f t="shared" si="0"/>
        <v>2024</v>
      </c>
      <c r="BO2" s="2">
        <f t="shared" si="0"/>
        <v>2025</v>
      </c>
      <c r="BP2" s="2">
        <f t="shared" si="0"/>
        <v>2026</v>
      </c>
      <c r="BQ2" s="2">
        <f t="shared" si="0"/>
        <v>2027</v>
      </c>
      <c r="BR2" s="2">
        <f t="shared" si="0"/>
        <v>2028</v>
      </c>
      <c r="BS2" s="2">
        <f t="shared" si="0"/>
        <v>2029</v>
      </c>
      <c r="BT2" s="1">
        <f>+BS2+1</f>
        <v>2030</v>
      </c>
    </row>
    <row r="3" spans="2:72" x14ac:dyDescent="0.15">
      <c r="B3" s="58" t="s">
        <v>269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46"/>
      <c r="AV3" s="46"/>
      <c r="AW3" s="46"/>
      <c r="AX3" s="46"/>
      <c r="AY3" s="46"/>
      <c r="AZ3" s="46"/>
      <c r="BJ3" s="16">
        <f>+BJ5+BJ8+BJ12</f>
        <v>22153</v>
      </c>
      <c r="BK3" s="16">
        <f t="shared" ref="BK3:BT3" si="1">+BK5+BK8+BK12</f>
        <v>25284</v>
      </c>
      <c r="BL3" s="16">
        <f t="shared" si="1"/>
        <v>28483.49</v>
      </c>
      <c r="BM3" s="16">
        <f t="shared" si="1"/>
        <v>19551.717000000001</v>
      </c>
      <c r="BN3" s="16">
        <f t="shared" si="1"/>
        <v>20548.399659999999</v>
      </c>
      <c r="BO3" s="16">
        <f t="shared" si="1"/>
        <v>22245.200984800002</v>
      </c>
      <c r="BP3" s="16">
        <f t="shared" si="1"/>
        <v>20952.183593344002</v>
      </c>
      <c r="BQ3" s="16">
        <f t="shared" si="1"/>
        <v>20012.450364344324</v>
      </c>
      <c r="BR3" s="16">
        <f t="shared" si="1"/>
        <v>17721.699247434655</v>
      </c>
      <c r="BS3" s="16">
        <f t="shared" si="1"/>
        <v>16807.787910937692</v>
      </c>
      <c r="BT3" s="16">
        <f t="shared" si="1"/>
        <v>13875.73032605524</v>
      </c>
    </row>
    <row r="4" spans="2:72" x14ac:dyDescent="0.15"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46"/>
      <c r="AV4" s="46"/>
      <c r="AW4" s="46"/>
      <c r="AX4" s="46"/>
      <c r="AY4" s="46"/>
      <c r="AZ4" s="46"/>
    </row>
    <row r="5" spans="2:72" s="15" customFormat="1" x14ac:dyDescent="0.15">
      <c r="B5" s="15" t="s">
        <v>0</v>
      </c>
      <c r="C5" s="16"/>
      <c r="D5" s="16"/>
      <c r="E5" s="16">
        <v>2326</v>
      </c>
      <c r="F5" s="16"/>
      <c r="G5" s="16">
        <v>2244</v>
      </c>
      <c r="H5" s="16"/>
      <c r="I5" s="16">
        <v>2770</v>
      </c>
      <c r="J5" s="16"/>
      <c r="K5" s="16"/>
      <c r="L5" s="16">
        <v>3288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>
        <v>4936</v>
      </c>
      <c r="AH5" s="16">
        <v>4917</v>
      </c>
      <c r="AI5" s="16">
        <v>4703</v>
      </c>
      <c r="AJ5" s="16">
        <v>4837</v>
      </c>
      <c r="AK5" s="16">
        <v>5140</v>
      </c>
      <c r="AL5" s="16">
        <v>5152</v>
      </c>
      <c r="AM5" s="16">
        <v>4867</v>
      </c>
      <c r="AN5" s="16">
        <v>5068</v>
      </c>
      <c r="AO5" s="16">
        <v>5425</v>
      </c>
      <c r="AP5" s="16">
        <v>5334</v>
      </c>
      <c r="AQ5" s="16">
        <v>4736</v>
      </c>
      <c r="AR5" s="16">
        <v>5363</v>
      </c>
      <c r="AS5" s="16">
        <v>5559</v>
      </c>
      <c r="AT5" s="16">
        <f>+AP5*1.01</f>
        <v>5387.34</v>
      </c>
      <c r="AU5" s="16"/>
      <c r="AV5" s="54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>
        <f>SUM(AI5:AL5)</f>
        <v>19832</v>
      </c>
      <c r="BK5" s="16">
        <f>SUM(AM5:AP5)</f>
        <v>20694</v>
      </c>
      <c r="BL5" s="16">
        <f>SUM(AQ5:AT5)</f>
        <v>21045.34</v>
      </c>
      <c r="BM5" s="16">
        <f>+BL5*0.5</f>
        <v>10522.67</v>
      </c>
      <c r="BN5" s="16">
        <f>+BM5*0.9</f>
        <v>9470.4030000000002</v>
      </c>
      <c r="BO5" s="16">
        <f>+BN5*0.9</f>
        <v>8523.3626999999997</v>
      </c>
      <c r="BP5" s="16">
        <f>+BO5*0.8</f>
        <v>6818.6901600000001</v>
      </c>
      <c r="BQ5" s="16">
        <f>+BP5*0.8</f>
        <v>5454.9521280000008</v>
      </c>
      <c r="BR5" s="16">
        <f t="shared" ref="BR5:BT5" si="2">+BQ5*0.5</f>
        <v>2727.4760640000004</v>
      </c>
      <c r="BS5" s="16">
        <f t="shared" si="2"/>
        <v>1363.7380320000002</v>
      </c>
      <c r="BT5" s="16">
        <f t="shared" si="2"/>
        <v>681.8690160000001</v>
      </c>
    </row>
    <row r="6" spans="2:72" s="15" customFormat="1" x14ac:dyDescent="0.15">
      <c r="B6" s="23" t="s">
        <v>129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>
        <v>0</v>
      </c>
      <c r="AH6" s="16">
        <v>0</v>
      </c>
      <c r="AI6" s="16">
        <v>0</v>
      </c>
      <c r="AJ6" s="49" t="s">
        <v>250</v>
      </c>
      <c r="AK6" s="43" t="s">
        <v>214</v>
      </c>
      <c r="AL6" s="29" t="s">
        <v>165</v>
      </c>
      <c r="AM6" s="29" t="s">
        <v>160</v>
      </c>
      <c r="AN6" s="29" t="s">
        <v>159</v>
      </c>
      <c r="AO6" s="29" t="s">
        <v>158</v>
      </c>
      <c r="AP6" s="29" t="s">
        <v>157</v>
      </c>
      <c r="AQ6" s="24" t="s">
        <v>128</v>
      </c>
      <c r="AR6" s="43" t="s">
        <v>215</v>
      </c>
      <c r="AS6" s="55" t="s">
        <v>267</v>
      </c>
      <c r="AT6" s="44" t="s">
        <v>216</v>
      </c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49" t="s">
        <v>259</v>
      </c>
      <c r="BK6" s="59" t="s">
        <v>260</v>
      </c>
      <c r="BL6" s="49">
        <f>BL9+BL10</f>
        <v>5455.55</v>
      </c>
      <c r="BM6" s="49">
        <f t="shared" ref="BM6:BT6" si="3">BM9+BM10</f>
        <v>5728.3275000000003</v>
      </c>
      <c r="BN6" s="49">
        <f t="shared" si="3"/>
        <v>6014.7438750000001</v>
      </c>
      <c r="BO6" s="49">
        <f t="shared" si="3"/>
        <v>6315.4810687500012</v>
      </c>
      <c r="BP6" s="49">
        <f t="shared" si="3"/>
        <v>6631.255122187501</v>
      </c>
      <c r="BQ6" s="49">
        <f t="shared" si="3"/>
        <v>6962.8178782968762</v>
      </c>
      <c r="BR6" s="49">
        <f t="shared" si="3"/>
        <v>7310.9587722117194</v>
      </c>
      <c r="BS6" s="49">
        <f t="shared" si="3"/>
        <v>7676.5067108223066</v>
      </c>
      <c r="BT6" s="49">
        <f t="shared" si="3"/>
        <v>8060.3320463634218</v>
      </c>
    </row>
    <row r="7" spans="2:72" s="15" customFormat="1" x14ac:dyDescent="0.15">
      <c r="B7" s="23" t="s">
        <v>122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>
        <v>1257</v>
      </c>
      <c r="AH7" s="16">
        <v>1296</v>
      </c>
      <c r="AI7" s="16">
        <v>1232</v>
      </c>
      <c r="AJ7" s="16">
        <v>1288</v>
      </c>
      <c r="AK7" s="16">
        <v>1370</v>
      </c>
      <c r="AL7" s="16">
        <v>1424</v>
      </c>
      <c r="AM7" s="16">
        <v>1268</v>
      </c>
      <c r="AN7" s="16">
        <v>1381</v>
      </c>
      <c r="AO7" s="16">
        <v>1374</v>
      </c>
      <c r="AP7" s="16">
        <v>1385</v>
      </c>
      <c r="AQ7" s="16">
        <v>1173</v>
      </c>
      <c r="AR7" s="16">
        <v>1145</v>
      </c>
      <c r="AS7" s="16">
        <v>1135</v>
      </c>
      <c r="AT7" s="16">
        <f>+AP7*0.9</f>
        <v>1246.5</v>
      </c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>
        <f t="shared" ref="BJ7:BJ40" si="4">SUM(AI7:AL7)</f>
        <v>5314</v>
      </c>
      <c r="BK7" s="16">
        <f t="shared" ref="BK7:BK41" si="5">SUM(AM7:AP7)</f>
        <v>5408</v>
      </c>
      <c r="BL7" s="16">
        <f t="shared" ref="BL7:BL41" si="6">SUM(AQ7:AT7)</f>
        <v>4699.5</v>
      </c>
      <c r="BM7" s="16">
        <f>+BL7*0.9</f>
        <v>4229.55</v>
      </c>
      <c r="BN7" s="16">
        <f t="shared" ref="BN7:BT7" si="7">+BM7*0.9</f>
        <v>3806.5950000000003</v>
      </c>
      <c r="BO7" s="16">
        <f t="shared" si="7"/>
        <v>3425.9355000000005</v>
      </c>
      <c r="BP7" s="16">
        <f t="shared" si="7"/>
        <v>3083.3419500000005</v>
      </c>
      <c r="BQ7" s="16">
        <f t="shared" si="7"/>
        <v>2775.0077550000005</v>
      </c>
      <c r="BR7" s="16">
        <f t="shared" si="7"/>
        <v>2497.5069795000004</v>
      </c>
      <c r="BS7" s="16">
        <f t="shared" si="7"/>
        <v>2247.7562815500005</v>
      </c>
      <c r="BT7" s="16">
        <f t="shared" si="7"/>
        <v>2022.9806533950004</v>
      </c>
    </row>
    <row r="8" spans="2:72" s="15" customFormat="1" x14ac:dyDescent="0.15">
      <c r="B8" s="23" t="s">
        <v>120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>
        <v>91</v>
      </c>
      <c r="AH8" s="16">
        <v>216</v>
      </c>
      <c r="AI8" s="16">
        <v>300</v>
      </c>
      <c r="AJ8" s="16">
        <v>330</v>
      </c>
      <c r="AK8" s="16">
        <v>435</v>
      </c>
      <c r="AL8" s="16">
        <v>525</v>
      </c>
      <c r="AM8" s="16">
        <v>574</v>
      </c>
      <c r="AN8" s="16">
        <v>674</v>
      </c>
      <c r="AO8" s="16">
        <v>796</v>
      </c>
      <c r="AP8" s="16">
        <v>895</v>
      </c>
      <c r="AQ8" s="16">
        <v>940</v>
      </c>
      <c r="AR8" s="16">
        <v>1252</v>
      </c>
      <c r="AS8" s="16">
        <v>1397</v>
      </c>
      <c r="AT8" s="16">
        <f>+AP8*1.65</f>
        <v>1476.75</v>
      </c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>
        <f t="shared" si="4"/>
        <v>1590</v>
      </c>
      <c r="BK8" s="16">
        <f t="shared" si="5"/>
        <v>2939</v>
      </c>
      <c r="BL8" s="16">
        <f t="shared" si="6"/>
        <v>5065.75</v>
      </c>
      <c r="BM8" s="16">
        <f>+BL8*1.3</f>
        <v>6585.4750000000004</v>
      </c>
      <c r="BN8" s="16">
        <f>+BM8*1.3</f>
        <v>8561.1175000000003</v>
      </c>
      <c r="BO8" s="16">
        <f>+BN8*1.3</f>
        <v>11129.45275</v>
      </c>
      <c r="BP8" s="16">
        <f>+BO8*1.03</f>
        <v>11463.336332500001</v>
      </c>
      <c r="BQ8" s="16">
        <f t="shared" ref="BQ8:BT8" si="8">+BP8*1.03</f>
        <v>11807.236422475002</v>
      </c>
      <c r="BR8" s="16">
        <f t="shared" si="8"/>
        <v>12161.453515149253</v>
      </c>
      <c r="BS8" s="16">
        <f t="shared" si="8"/>
        <v>12526.297120603731</v>
      </c>
      <c r="BT8" s="16">
        <f t="shared" si="8"/>
        <v>12902.086034221844</v>
      </c>
    </row>
    <row r="9" spans="2:72" s="15" customFormat="1" x14ac:dyDescent="0.15">
      <c r="B9" s="23" t="s">
        <v>124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>
        <v>0</v>
      </c>
      <c r="AH9" s="16">
        <v>0</v>
      </c>
      <c r="AI9" s="16">
        <v>0</v>
      </c>
      <c r="AJ9" s="16">
        <v>226</v>
      </c>
      <c r="AK9" s="16">
        <v>393</v>
      </c>
      <c r="AL9" s="16">
        <v>493</v>
      </c>
      <c r="AM9" s="16">
        <v>477</v>
      </c>
      <c r="AN9" s="16">
        <v>584</v>
      </c>
      <c r="AO9" s="16">
        <v>545</v>
      </c>
      <c r="AP9" s="16">
        <v>626</v>
      </c>
      <c r="AQ9" s="16">
        <v>641</v>
      </c>
      <c r="AR9" s="16">
        <v>695</v>
      </c>
      <c r="AS9" s="16">
        <v>637</v>
      </c>
      <c r="AT9" s="16">
        <f>+AP9*1.15</f>
        <v>719.9</v>
      </c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>
        <f t="shared" si="4"/>
        <v>1112</v>
      </c>
      <c r="BK9" s="16">
        <f t="shared" si="5"/>
        <v>2232</v>
      </c>
      <c r="BL9" s="16">
        <f t="shared" si="6"/>
        <v>2692.9</v>
      </c>
      <c r="BM9" s="16">
        <f>+BL9*1.05</f>
        <v>2827.5450000000001</v>
      </c>
      <c r="BN9" s="16">
        <f t="shared" ref="BN9:BT9" si="9">+BM9*1.05</f>
        <v>2968.9222500000001</v>
      </c>
      <c r="BO9" s="16">
        <f t="shared" si="9"/>
        <v>3117.3683625000003</v>
      </c>
      <c r="BP9" s="16">
        <f t="shared" si="9"/>
        <v>3273.2367806250004</v>
      </c>
      <c r="BQ9" s="16">
        <f t="shared" si="9"/>
        <v>3436.8986196562505</v>
      </c>
      <c r="BR9" s="16">
        <f t="shared" si="9"/>
        <v>3608.743550639063</v>
      </c>
      <c r="BS9" s="16">
        <f t="shared" si="9"/>
        <v>3789.1807281710162</v>
      </c>
      <c r="BT9" s="16">
        <f t="shared" si="9"/>
        <v>3978.6397645795673</v>
      </c>
    </row>
    <row r="10" spans="2:72" s="15" customFormat="1" x14ac:dyDescent="0.15">
      <c r="B10" s="23" t="s">
        <v>127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>
        <v>0</v>
      </c>
      <c r="AH10" s="16">
        <v>0</v>
      </c>
      <c r="AI10" s="16">
        <v>0</v>
      </c>
      <c r="AJ10" s="16">
        <v>297</v>
      </c>
      <c r="AK10" s="16">
        <v>523</v>
      </c>
      <c r="AL10" s="16">
        <v>567</v>
      </c>
      <c r="AM10" s="16">
        <v>532</v>
      </c>
      <c r="AN10" s="16">
        <v>603</v>
      </c>
      <c r="AO10" s="16">
        <v>645</v>
      </c>
      <c r="AP10" s="16">
        <v>671</v>
      </c>
      <c r="AQ10" s="16">
        <v>614</v>
      </c>
      <c r="AR10" s="16">
        <v>678</v>
      </c>
      <c r="AS10" s="16">
        <v>699</v>
      </c>
      <c r="AT10" s="16">
        <f>+AP10*1.15</f>
        <v>771.65</v>
      </c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>
        <f t="shared" si="4"/>
        <v>1387</v>
      </c>
      <c r="BK10" s="16">
        <f t="shared" si="5"/>
        <v>2451</v>
      </c>
      <c r="BL10" s="16">
        <f t="shared" si="6"/>
        <v>2762.65</v>
      </c>
      <c r="BM10" s="16">
        <f t="shared" ref="BM10:BT10" si="10">+BL10*1.05</f>
        <v>2900.7825000000003</v>
      </c>
      <c r="BN10" s="16">
        <f t="shared" si="10"/>
        <v>3045.8216250000005</v>
      </c>
      <c r="BO10" s="16">
        <f t="shared" si="10"/>
        <v>3198.1127062500004</v>
      </c>
      <c r="BP10" s="16">
        <f t="shared" si="10"/>
        <v>3358.0183415625006</v>
      </c>
      <c r="BQ10" s="16">
        <f t="shared" si="10"/>
        <v>3525.9192586406257</v>
      </c>
      <c r="BR10" s="16">
        <f t="shared" si="10"/>
        <v>3702.2152215726569</v>
      </c>
      <c r="BS10" s="16">
        <f t="shared" si="10"/>
        <v>3887.3259826512899</v>
      </c>
      <c r="BT10" s="16">
        <f t="shared" si="10"/>
        <v>4081.6922817838545</v>
      </c>
    </row>
    <row r="11" spans="2:72" s="15" customFormat="1" x14ac:dyDescent="0.15">
      <c r="B11" s="23" t="s">
        <v>123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>
        <v>221</v>
      </c>
      <c r="AH11" s="16">
        <v>251</v>
      </c>
      <c r="AI11" s="16">
        <v>317</v>
      </c>
      <c r="AJ11" s="16">
        <v>303</v>
      </c>
      <c r="AK11" s="16">
        <v>352</v>
      </c>
      <c r="AL11" s="16">
        <v>365</v>
      </c>
      <c r="AM11" s="16">
        <v>405</v>
      </c>
      <c r="AN11" s="16">
        <v>435</v>
      </c>
      <c r="AO11" s="16">
        <v>492</v>
      </c>
      <c r="AP11" s="16">
        <v>488</v>
      </c>
      <c r="AQ11" s="16">
        <v>473</v>
      </c>
      <c r="AR11" s="16">
        <v>505</v>
      </c>
      <c r="AS11" s="16">
        <v>515</v>
      </c>
      <c r="AT11" s="16">
        <f>+AP11*1.05</f>
        <v>512.4</v>
      </c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>
        <f t="shared" si="4"/>
        <v>1337</v>
      </c>
      <c r="BK11" s="16">
        <f t="shared" si="5"/>
        <v>1820</v>
      </c>
      <c r="BL11" s="16">
        <f t="shared" si="6"/>
        <v>2005.4</v>
      </c>
      <c r="BM11" s="16">
        <f>+BL11*1.03</f>
        <v>2065.5620000000004</v>
      </c>
      <c r="BN11" s="16">
        <f t="shared" ref="BN11:BS11" si="11">+BM11*1.03</f>
        <v>2127.5288600000003</v>
      </c>
      <c r="BO11" s="16">
        <f t="shared" si="11"/>
        <v>2191.3547258000003</v>
      </c>
      <c r="BP11" s="16">
        <f t="shared" si="11"/>
        <v>2257.0953675740002</v>
      </c>
      <c r="BQ11" s="16">
        <f t="shared" si="11"/>
        <v>2324.8082286012204</v>
      </c>
      <c r="BR11" s="16">
        <f t="shared" si="11"/>
        <v>2394.552475459257</v>
      </c>
      <c r="BS11" s="16">
        <f t="shared" si="11"/>
        <v>2466.389049723035</v>
      </c>
      <c r="BT11" s="15">
        <f>+BS11*0.1</f>
        <v>246.63890497230352</v>
      </c>
    </row>
    <row r="12" spans="2:72" s="15" customFormat="1" x14ac:dyDescent="0.15">
      <c r="B12" s="23" t="s">
        <v>121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>
        <v>14</v>
      </c>
      <c r="AH12" s="16">
        <v>33</v>
      </c>
      <c r="AI12" s="16">
        <v>86</v>
      </c>
      <c r="AJ12" s="16">
        <v>149</v>
      </c>
      <c r="AK12" s="16">
        <v>215</v>
      </c>
      <c r="AL12" s="16">
        <v>281</v>
      </c>
      <c r="AM12" s="16">
        <v>303</v>
      </c>
      <c r="AN12" s="16">
        <v>378</v>
      </c>
      <c r="AO12" s="16">
        <v>453</v>
      </c>
      <c r="AP12" s="16">
        <v>517</v>
      </c>
      <c r="AQ12" s="16">
        <v>465</v>
      </c>
      <c r="AR12" s="16">
        <v>592</v>
      </c>
      <c r="AS12" s="16">
        <v>695</v>
      </c>
      <c r="AT12" s="16">
        <f>+AP12*1.2</f>
        <v>620.4</v>
      </c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>
        <f t="shared" si="4"/>
        <v>731</v>
      </c>
      <c r="BK12" s="16">
        <f t="shared" si="5"/>
        <v>1651</v>
      </c>
      <c r="BL12" s="16">
        <f t="shared" si="6"/>
        <v>2372.4</v>
      </c>
      <c r="BM12" s="16">
        <f t="shared" ref="BM12:BS12" si="12">+BL12*1.03</f>
        <v>2443.5720000000001</v>
      </c>
      <c r="BN12" s="16">
        <f t="shared" si="12"/>
        <v>2516.8791600000004</v>
      </c>
      <c r="BO12" s="16">
        <f t="shared" si="12"/>
        <v>2592.3855348000006</v>
      </c>
      <c r="BP12" s="16">
        <f t="shared" si="12"/>
        <v>2670.1571008440005</v>
      </c>
      <c r="BQ12" s="16">
        <f t="shared" si="12"/>
        <v>2750.2618138693206</v>
      </c>
      <c r="BR12" s="16">
        <f t="shared" si="12"/>
        <v>2832.7696682854003</v>
      </c>
      <c r="BS12" s="16">
        <f t="shared" si="12"/>
        <v>2917.7527583339624</v>
      </c>
      <c r="BT12" s="15">
        <f t="shared" ref="BT12:BT13" si="13">+BS12*0.1</f>
        <v>291.77527583339628</v>
      </c>
    </row>
    <row r="13" spans="2:72" s="15" customFormat="1" x14ac:dyDescent="0.15">
      <c r="B13" s="23" t="s">
        <v>130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>
        <v>0</v>
      </c>
      <c r="AH13" s="16">
        <v>0</v>
      </c>
      <c r="AI13" s="16">
        <v>0</v>
      </c>
      <c r="AJ13" s="16">
        <v>192</v>
      </c>
      <c r="AK13" s="16">
        <v>358</v>
      </c>
      <c r="AL13" s="16">
        <v>401</v>
      </c>
      <c r="AM13" s="16">
        <v>346</v>
      </c>
      <c r="AN13" s="16">
        <v>432</v>
      </c>
      <c r="AO13" s="16">
        <v>461</v>
      </c>
      <c r="AP13" s="16">
        <v>489</v>
      </c>
      <c r="AQ13" s="16">
        <v>427</v>
      </c>
      <c r="AR13" s="16">
        <v>492</v>
      </c>
      <c r="AS13" s="16">
        <v>554</v>
      </c>
      <c r="AT13" s="16">
        <f>+AP13*1.01</f>
        <v>493.89</v>
      </c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>
        <f t="shared" si="4"/>
        <v>951</v>
      </c>
      <c r="BK13" s="16">
        <f t="shared" si="5"/>
        <v>1728</v>
      </c>
      <c r="BL13" s="16">
        <f t="shared" si="6"/>
        <v>1966.8899999999999</v>
      </c>
      <c r="BM13" s="16">
        <f t="shared" ref="BM13:BS13" si="14">+BL13*1.03</f>
        <v>2025.8967</v>
      </c>
      <c r="BN13" s="16">
        <f t="shared" si="14"/>
        <v>2086.673601</v>
      </c>
      <c r="BO13" s="16">
        <f t="shared" si="14"/>
        <v>2149.2738090299999</v>
      </c>
      <c r="BP13" s="16">
        <f t="shared" si="14"/>
        <v>2213.7520233009</v>
      </c>
      <c r="BQ13" s="16">
        <f t="shared" si="14"/>
        <v>2280.1645839999269</v>
      </c>
      <c r="BR13" s="16">
        <f t="shared" si="14"/>
        <v>2348.5695215199248</v>
      </c>
      <c r="BS13" s="16">
        <f t="shared" si="14"/>
        <v>2419.0266071655228</v>
      </c>
      <c r="BT13" s="15">
        <f t="shared" si="13"/>
        <v>241.9026607165523</v>
      </c>
    </row>
    <row r="14" spans="2:72" s="15" customFormat="1" x14ac:dyDescent="0.15">
      <c r="B14" s="23" t="s">
        <v>125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>
        <v>0</v>
      </c>
      <c r="AH14" s="16">
        <v>0</v>
      </c>
      <c r="AI14" s="16">
        <v>0</v>
      </c>
      <c r="AJ14" s="16">
        <v>113</v>
      </c>
      <c r="AK14" s="16">
        <v>274</v>
      </c>
      <c r="AL14" s="16">
        <v>331</v>
      </c>
      <c r="AM14" s="16">
        <v>321</v>
      </c>
      <c r="AN14" s="16">
        <v>428</v>
      </c>
      <c r="AO14" s="16">
        <v>354</v>
      </c>
      <c r="AP14" s="16">
        <v>252</v>
      </c>
      <c r="AQ14" s="16">
        <v>410</v>
      </c>
      <c r="AR14" s="16">
        <v>344</v>
      </c>
      <c r="AS14" s="16">
        <v>352</v>
      </c>
      <c r="AT14" s="16">
        <f>+AP14*1.01</f>
        <v>254.52</v>
      </c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>
        <f t="shared" si="4"/>
        <v>718</v>
      </c>
      <c r="BK14" s="16">
        <f t="shared" si="5"/>
        <v>1355</v>
      </c>
      <c r="BL14" s="16">
        <f t="shared" si="6"/>
        <v>1360.52</v>
      </c>
      <c r="BM14" s="16">
        <f>+BL14*1.05</f>
        <v>1428.546</v>
      </c>
      <c r="BN14" s="16">
        <f t="shared" ref="BN14:BT14" si="15">+BM14*1.05</f>
        <v>1499.9733000000001</v>
      </c>
      <c r="BO14" s="16">
        <f t="shared" si="15"/>
        <v>1574.9719650000002</v>
      </c>
      <c r="BP14" s="16">
        <f t="shared" si="15"/>
        <v>1653.7205632500002</v>
      </c>
      <c r="BQ14" s="16">
        <f t="shared" si="15"/>
        <v>1736.4065914125003</v>
      </c>
      <c r="BR14" s="16">
        <f t="shared" si="15"/>
        <v>1823.2269209831254</v>
      </c>
      <c r="BS14" s="16">
        <f t="shared" si="15"/>
        <v>1914.3882670322819</v>
      </c>
      <c r="BT14" s="16">
        <f t="shared" si="15"/>
        <v>2010.107680383896</v>
      </c>
    </row>
    <row r="15" spans="2:72" s="15" customFormat="1" x14ac:dyDescent="0.15">
      <c r="B15" s="23" t="s">
        <v>138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>
        <v>695</v>
      </c>
      <c r="AH15" s="16">
        <v>628</v>
      </c>
      <c r="AI15" s="16">
        <v>559</v>
      </c>
      <c r="AJ15" s="16">
        <v>376</v>
      </c>
      <c r="AK15" s="16">
        <v>414</v>
      </c>
      <c r="AL15" s="16">
        <v>481</v>
      </c>
      <c r="AM15" s="16">
        <v>415</v>
      </c>
      <c r="AN15" s="16">
        <v>442</v>
      </c>
      <c r="AO15" s="16">
        <v>426</v>
      </c>
      <c r="AP15" s="16">
        <v>427</v>
      </c>
      <c r="AQ15" s="16">
        <v>380</v>
      </c>
      <c r="AR15" s="16">
        <v>398</v>
      </c>
      <c r="AS15" s="16">
        <v>383</v>
      </c>
      <c r="AT15" s="16">
        <f>+AP15*0.9</f>
        <v>384.3</v>
      </c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>
        <f t="shared" si="4"/>
        <v>1830</v>
      </c>
      <c r="BK15" s="16">
        <f t="shared" si="5"/>
        <v>1710</v>
      </c>
      <c r="BL15" s="16">
        <f t="shared" si="6"/>
        <v>1545.3</v>
      </c>
      <c r="BM15" s="16">
        <f>+BL15*0.7</f>
        <v>1081.7099999999998</v>
      </c>
      <c r="BN15" s="16">
        <f t="shared" ref="BN15:BT15" si="16">+BM15*0.7</f>
        <v>757.19699999999978</v>
      </c>
      <c r="BO15" s="16">
        <f t="shared" si="16"/>
        <v>530.03789999999981</v>
      </c>
      <c r="BP15" s="16">
        <f t="shared" si="16"/>
        <v>371.02652999999987</v>
      </c>
      <c r="BQ15" s="16">
        <f t="shared" si="16"/>
        <v>259.71857099999988</v>
      </c>
      <c r="BR15" s="16">
        <f t="shared" si="16"/>
        <v>181.8029996999999</v>
      </c>
      <c r="BS15" s="16">
        <f t="shared" si="16"/>
        <v>127.26209978999992</v>
      </c>
      <c r="BT15" s="16">
        <f t="shared" si="16"/>
        <v>89.08346985299994</v>
      </c>
    </row>
    <row r="16" spans="2:72" s="15" customFormat="1" x14ac:dyDescent="0.15">
      <c r="B16" s="23" t="s">
        <v>126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>
        <v>0</v>
      </c>
      <c r="AH16" s="16">
        <v>0</v>
      </c>
      <c r="AI16" s="16">
        <v>0</v>
      </c>
      <c r="AJ16" s="16">
        <v>142</v>
      </c>
      <c r="AK16" s="16">
        <v>300</v>
      </c>
      <c r="AL16" s="16">
        <v>318</v>
      </c>
      <c r="AM16" s="16">
        <v>343</v>
      </c>
      <c r="AN16" s="16">
        <v>422</v>
      </c>
      <c r="AO16" s="16">
        <v>352</v>
      </c>
      <c r="AP16" s="16">
        <v>349</v>
      </c>
      <c r="AQ16" s="16">
        <v>323</v>
      </c>
      <c r="AR16" s="16">
        <v>332</v>
      </c>
      <c r="AS16" s="16">
        <v>312</v>
      </c>
      <c r="AT16" s="16">
        <f>+AP16*0.95</f>
        <v>331.55</v>
      </c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>
        <f t="shared" si="4"/>
        <v>760</v>
      </c>
      <c r="BK16" s="16">
        <f t="shared" si="5"/>
        <v>1466</v>
      </c>
      <c r="BL16" s="16">
        <f t="shared" si="6"/>
        <v>1298.55</v>
      </c>
      <c r="BM16" s="16">
        <f>+BL16*0.9</f>
        <v>1168.6949999999999</v>
      </c>
      <c r="BN16" s="16">
        <f t="shared" ref="BN16:BT16" si="17">+BM16*0.9</f>
        <v>1051.8254999999999</v>
      </c>
      <c r="BO16" s="16">
        <f t="shared" si="17"/>
        <v>946.64294999999993</v>
      </c>
      <c r="BP16" s="16">
        <f t="shared" si="17"/>
        <v>851.978655</v>
      </c>
      <c r="BQ16" s="16">
        <f t="shared" si="17"/>
        <v>766.78078949999997</v>
      </c>
      <c r="BR16" s="16">
        <f t="shared" si="17"/>
        <v>690.10271054999998</v>
      </c>
      <c r="BS16" s="16">
        <f t="shared" si="17"/>
        <v>621.09243949500001</v>
      </c>
      <c r="BT16" s="16">
        <f t="shared" si="17"/>
        <v>558.98319554550005</v>
      </c>
    </row>
    <row r="17" spans="2:72" s="15" customFormat="1" x14ac:dyDescent="0.15">
      <c r="B17" s="15" t="s">
        <v>6</v>
      </c>
      <c r="C17" s="16"/>
      <c r="D17" s="16"/>
      <c r="E17" s="16">
        <v>92</v>
      </c>
      <c r="F17" s="16"/>
      <c r="G17" s="16">
        <v>90</v>
      </c>
      <c r="H17" s="16"/>
      <c r="I17" s="16">
        <v>101</v>
      </c>
      <c r="J17" s="16"/>
      <c r="K17" s="16"/>
      <c r="L17" s="16">
        <v>110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>
        <v>265</v>
      </c>
      <c r="AH17" s="16">
        <v>292</v>
      </c>
      <c r="AI17" s="16">
        <v>276</v>
      </c>
      <c r="AJ17" s="16">
        <v>252</v>
      </c>
      <c r="AK17" s="16">
        <v>282</v>
      </c>
      <c r="AL17" s="16">
        <v>304</v>
      </c>
      <c r="AM17" s="16">
        <v>274</v>
      </c>
      <c r="AN17" s="16">
        <v>280</v>
      </c>
      <c r="AO17" s="16">
        <v>310</v>
      </c>
      <c r="AP17" s="16">
        <v>327</v>
      </c>
      <c r="AQ17" s="16">
        <v>287</v>
      </c>
      <c r="AR17" s="16">
        <v>318</v>
      </c>
      <c r="AS17" s="16">
        <v>336</v>
      </c>
      <c r="AT17" s="16">
        <f>+AP17</f>
        <v>327</v>
      </c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>
        <f t="shared" si="4"/>
        <v>1114</v>
      </c>
      <c r="BK17" s="16">
        <f t="shared" si="5"/>
        <v>1191</v>
      </c>
      <c r="BL17" s="16">
        <f t="shared" si="6"/>
        <v>1268</v>
      </c>
      <c r="BM17" s="16">
        <f>+BL17*1.03</f>
        <v>1306.04</v>
      </c>
      <c r="BN17" s="16">
        <f t="shared" ref="BN17:BT17" si="18">+BM17*1.03</f>
        <v>1345.2212</v>
      </c>
      <c r="BO17" s="16">
        <f t="shared" si="18"/>
        <v>1385.5778359999999</v>
      </c>
      <c r="BP17" s="16">
        <f t="shared" si="18"/>
        <v>1427.14517108</v>
      </c>
      <c r="BQ17" s="16">
        <f t="shared" si="18"/>
        <v>1469.9595262124001</v>
      </c>
      <c r="BR17" s="16">
        <f t="shared" si="18"/>
        <v>1514.0583119987721</v>
      </c>
      <c r="BS17" s="16">
        <f t="shared" si="18"/>
        <v>1559.4800613587354</v>
      </c>
      <c r="BT17" s="16">
        <f t="shared" si="18"/>
        <v>1606.2644631994974</v>
      </c>
    </row>
    <row r="18" spans="2:72" s="15" customFormat="1" x14ac:dyDescent="0.15">
      <c r="B18" s="23" t="s">
        <v>137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>
        <v>0</v>
      </c>
      <c r="AH18" s="16">
        <v>0</v>
      </c>
      <c r="AI18" s="16">
        <v>0</v>
      </c>
      <c r="AJ18" s="16">
        <v>128</v>
      </c>
      <c r="AK18" s="16">
        <v>269</v>
      </c>
      <c r="AL18" s="16">
        <v>296</v>
      </c>
      <c r="AM18" s="16">
        <v>276</v>
      </c>
      <c r="AN18" s="16">
        <v>301</v>
      </c>
      <c r="AO18" s="16">
        <v>286</v>
      </c>
      <c r="AP18" s="16">
        <v>306</v>
      </c>
      <c r="AQ18" s="16">
        <v>278</v>
      </c>
      <c r="AR18" s="16">
        <v>327</v>
      </c>
      <c r="AS18" s="16">
        <v>287</v>
      </c>
      <c r="AT18" s="16">
        <f>+AP18*0.95</f>
        <v>290.7</v>
      </c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>
        <f t="shared" si="4"/>
        <v>693</v>
      </c>
      <c r="BK18" s="16">
        <f t="shared" si="5"/>
        <v>1169</v>
      </c>
      <c r="BL18" s="16">
        <f t="shared" si="6"/>
        <v>1182.7</v>
      </c>
      <c r="BM18" s="16">
        <f>+BL18*0.9</f>
        <v>1064.43</v>
      </c>
      <c r="BN18" s="16">
        <f t="shared" ref="BN18:BT18" si="19">+BM18*0.9</f>
        <v>957.98700000000008</v>
      </c>
      <c r="BO18" s="16">
        <f t="shared" si="19"/>
        <v>862.18830000000014</v>
      </c>
      <c r="BP18" s="16">
        <f t="shared" si="19"/>
        <v>775.96947000000011</v>
      </c>
      <c r="BQ18" s="16">
        <f t="shared" si="19"/>
        <v>698.37252300000011</v>
      </c>
      <c r="BR18" s="16">
        <f t="shared" si="19"/>
        <v>628.53527070000007</v>
      </c>
      <c r="BS18" s="16">
        <f t="shared" si="19"/>
        <v>565.68174363000003</v>
      </c>
      <c r="BT18" s="16">
        <f t="shared" si="19"/>
        <v>509.11356926700006</v>
      </c>
    </row>
    <row r="19" spans="2:72" s="15" customFormat="1" x14ac:dyDescent="0.15">
      <c r="B19" s="23" t="s">
        <v>136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>
        <v>0</v>
      </c>
      <c r="AH19" s="16">
        <v>0</v>
      </c>
      <c r="AI19" s="16">
        <v>0</v>
      </c>
      <c r="AJ19" s="16">
        <v>144</v>
      </c>
      <c r="AK19" s="16">
        <v>299</v>
      </c>
      <c r="AL19" s="16">
        <v>344</v>
      </c>
      <c r="AM19" s="16">
        <v>280</v>
      </c>
      <c r="AN19" s="16">
        <v>327</v>
      </c>
      <c r="AO19" s="16">
        <v>319</v>
      </c>
      <c r="AP19" s="16">
        <v>364</v>
      </c>
      <c r="AQ19" s="16">
        <v>246</v>
      </c>
      <c r="AR19" s="16">
        <v>168</v>
      </c>
      <c r="AS19" s="16">
        <v>142</v>
      </c>
      <c r="AT19" s="16">
        <f>+AS19-10</f>
        <v>132</v>
      </c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>
        <f t="shared" si="4"/>
        <v>787</v>
      </c>
      <c r="BK19" s="16">
        <f t="shared" si="5"/>
        <v>1290</v>
      </c>
      <c r="BL19" s="16">
        <f t="shared" si="6"/>
        <v>688</v>
      </c>
      <c r="BM19" s="16">
        <f t="shared" ref="BM19:BT19" si="20">+BL19*0.9</f>
        <v>619.20000000000005</v>
      </c>
      <c r="BN19" s="16">
        <f t="shared" si="20"/>
        <v>557.28000000000009</v>
      </c>
      <c r="BO19" s="16">
        <f t="shared" si="20"/>
        <v>501.55200000000008</v>
      </c>
      <c r="BP19" s="16">
        <f t="shared" si="20"/>
        <v>451.3968000000001</v>
      </c>
      <c r="BQ19" s="16">
        <f t="shared" si="20"/>
        <v>406.2571200000001</v>
      </c>
      <c r="BR19" s="16">
        <f t="shared" si="20"/>
        <v>365.63140800000008</v>
      </c>
      <c r="BS19" s="16">
        <f t="shared" si="20"/>
        <v>329.06826720000009</v>
      </c>
      <c r="BT19" s="16">
        <f t="shared" si="20"/>
        <v>296.16144048000007</v>
      </c>
    </row>
    <row r="20" spans="2:72" s="15" customFormat="1" x14ac:dyDescent="0.15">
      <c r="B20" s="23" t="s">
        <v>139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>
        <v>0</v>
      </c>
      <c r="AH20" s="16">
        <v>0</v>
      </c>
      <c r="AI20" s="16">
        <v>0</v>
      </c>
      <c r="AJ20" s="16">
        <v>133</v>
      </c>
      <c r="AK20" s="16">
        <v>248</v>
      </c>
      <c r="AL20" s="16">
        <v>286</v>
      </c>
      <c r="AM20" s="16">
        <v>222</v>
      </c>
      <c r="AN20" s="16">
        <v>268</v>
      </c>
      <c r="AO20" s="16">
        <v>261</v>
      </c>
      <c r="AP20" s="16">
        <v>287</v>
      </c>
      <c r="AQ20" s="16">
        <v>240</v>
      </c>
      <c r="AR20" s="16">
        <v>255</v>
      </c>
      <c r="AS20" s="16">
        <v>271</v>
      </c>
      <c r="AT20" s="16">
        <f>+AP20*0.95</f>
        <v>272.64999999999998</v>
      </c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>
        <f t="shared" si="4"/>
        <v>667</v>
      </c>
      <c r="BK20" s="16">
        <f t="shared" si="5"/>
        <v>1038</v>
      </c>
      <c r="BL20" s="16">
        <f t="shared" si="6"/>
        <v>1038.6500000000001</v>
      </c>
      <c r="BM20" s="16">
        <f>+BL20*0.5</f>
        <v>519.32500000000005</v>
      </c>
      <c r="BN20" s="16">
        <f t="shared" ref="BN20:BT20" si="21">+BM20*0.5</f>
        <v>259.66250000000002</v>
      </c>
      <c r="BO20" s="16">
        <f t="shared" si="21"/>
        <v>129.83125000000001</v>
      </c>
      <c r="BP20" s="16">
        <f t="shared" si="21"/>
        <v>64.915625000000006</v>
      </c>
      <c r="BQ20" s="16">
        <f t="shared" si="21"/>
        <v>32.457812500000003</v>
      </c>
      <c r="BR20" s="16">
        <f t="shared" si="21"/>
        <v>16.228906250000001</v>
      </c>
      <c r="BS20" s="16">
        <f t="shared" si="21"/>
        <v>8.1144531250000007</v>
      </c>
      <c r="BT20" s="16">
        <f t="shared" si="21"/>
        <v>4.0572265625000004</v>
      </c>
    </row>
    <row r="21" spans="2:72" s="15" customFormat="1" x14ac:dyDescent="0.15">
      <c r="B21" s="23" t="s">
        <v>133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>
        <v>0</v>
      </c>
      <c r="AH21" s="16">
        <v>0</v>
      </c>
      <c r="AI21" s="16">
        <v>0</v>
      </c>
      <c r="AJ21" s="16">
        <v>105</v>
      </c>
      <c r="AK21" s="16">
        <v>207</v>
      </c>
      <c r="AL21" s="16">
        <v>227</v>
      </c>
      <c r="AM21" s="16">
        <v>160</v>
      </c>
      <c r="AN21" s="16">
        <v>171</v>
      </c>
      <c r="AO21" s="16">
        <v>171</v>
      </c>
      <c r="AP21" s="16">
        <v>183</v>
      </c>
      <c r="AQ21" s="16">
        <v>177</v>
      </c>
      <c r="AR21" s="16">
        <v>150</v>
      </c>
      <c r="AS21" s="16">
        <v>87</v>
      </c>
      <c r="AT21" s="16">
        <f>+AP21*0.95</f>
        <v>173.85</v>
      </c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>
        <f t="shared" si="4"/>
        <v>539</v>
      </c>
      <c r="BK21" s="16">
        <f t="shared" si="5"/>
        <v>685</v>
      </c>
      <c r="BL21" s="16">
        <f t="shared" si="6"/>
        <v>587.85</v>
      </c>
      <c r="BM21" s="16">
        <f t="shared" ref="BM21:BT21" si="22">+BL21*0.9</f>
        <v>529.06500000000005</v>
      </c>
      <c r="BN21" s="16">
        <f t="shared" si="22"/>
        <v>476.15850000000006</v>
      </c>
      <c r="BO21" s="16">
        <f t="shared" si="22"/>
        <v>428.54265000000004</v>
      </c>
      <c r="BP21" s="16">
        <f t="shared" si="22"/>
        <v>385.68838500000004</v>
      </c>
      <c r="BQ21" s="16">
        <f t="shared" si="22"/>
        <v>347.11954650000007</v>
      </c>
      <c r="BR21" s="16">
        <f t="shared" si="22"/>
        <v>312.40759185000007</v>
      </c>
      <c r="BS21" s="16">
        <f t="shared" si="22"/>
        <v>281.16683266500007</v>
      </c>
      <c r="BT21" s="16">
        <f t="shared" si="22"/>
        <v>253.05014939850008</v>
      </c>
    </row>
    <row r="22" spans="2:72" s="15" customFormat="1" x14ac:dyDescent="0.15">
      <c r="B22" s="23" t="s">
        <v>134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>
        <v>0</v>
      </c>
      <c r="AH22" s="16">
        <v>0</v>
      </c>
      <c r="AI22" s="16">
        <v>0</v>
      </c>
      <c r="AJ22" s="16">
        <v>76</v>
      </c>
      <c r="AK22" s="16">
        <v>149</v>
      </c>
      <c r="AL22" s="16">
        <v>153</v>
      </c>
      <c r="AM22" s="16">
        <v>143</v>
      </c>
      <c r="AN22" s="16">
        <v>149</v>
      </c>
      <c r="AO22" s="16">
        <v>138</v>
      </c>
      <c r="AP22" s="16">
        <v>149</v>
      </c>
      <c r="AQ22" s="16">
        <v>140</v>
      </c>
      <c r="AR22" s="16">
        <v>130</v>
      </c>
      <c r="AS22" s="16">
        <v>121</v>
      </c>
      <c r="AT22" s="16">
        <f>+AP22</f>
        <v>149</v>
      </c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>
        <f t="shared" si="4"/>
        <v>378</v>
      </c>
      <c r="BK22" s="16">
        <f t="shared" si="5"/>
        <v>579</v>
      </c>
      <c r="BL22" s="16">
        <f t="shared" si="6"/>
        <v>540</v>
      </c>
      <c r="BM22" s="16">
        <f>+BL22*0.9</f>
        <v>486</v>
      </c>
      <c r="BN22" s="16">
        <f t="shared" ref="BN22:BT22" si="23">+BM22*0.9</f>
        <v>437.40000000000003</v>
      </c>
      <c r="BO22" s="16">
        <f t="shared" si="23"/>
        <v>393.66</v>
      </c>
      <c r="BP22" s="16">
        <f t="shared" si="23"/>
        <v>354.29400000000004</v>
      </c>
      <c r="BQ22" s="16">
        <f t="shared" si="23"/>
        <v>318.86460000000005</v>
      </c>
      <c r="BR22" s="16">
        <f t="shared" si="23"/>
        <v>286.97814000000005</v>
      </c>
      <c r="BS22" s="16">
        <f t="shared" si="23"/>
        <v>258.28032600000006</v>
      </c>
      <c r="BT22" s="16">
        <f t="shared" si="23"/>
        <v>232.45229340000006</v>
      </c>
    </row>
    <row r="23" spans="2:72" s="15" customFormat="1" x14ac:dyDescent="0.15">
      <c r="B23" s="23" t="s">
        <v>131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>
        <v>0</v>
      </c>
      <c r="AH23" s="16">
        <v>0</v>
      </c>
      <c r="AI23" s="16">
        <v>0</v>
      </c>
      <c r="AJ23" s="16">
        <v>22</v>
      </c>
      <c r="AK23" s="16">
        <v>38</v>
      </c>
      <c r="AL23" s="16">
        <v>65</v>
      </c>
      <c r="AM23" s="16">
        <v>81</v>
      </c>
      <c r="AN23" s="16">
        <v>126</v>
      </c>
      <c r="AO23" s="16">
        <v>162</v>
      </c>
      <c r="AP23" s="16">
        <v>183</v>
      </c>
      <c r="AQ23" s="16">
        <v>138</v>
      </c>
      <c r="AR23" s="16">
        <v>185</v>
      </c>
      <c r="AS23" s="16">
        <v>160</v>
      </c>
      <c r="AT23" s="16">
        <f>+AS23+10</f>
        <v>170</v>
      </c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>
        <f t="shared" si="4"/>
        <v>125</v>
      </c>
      <c r="BK23" s="16">
        <f t="shared" si="5"/>
        <v>552</v>
      </c>
      <c r="BL23" s="16">
        <f t="shared" si="6"/>
        <v>653</v>
      </c>
      <c r="BM23" s="16">
        <f>+BL23*1.2</f>
        <v>783.6</v>
      </c>
      <c r="BN23" s="16">
        <f>+BM23*1.2</f>
        <v>940.31999999999994</v>
      </c>
      <c r="BO23" s="16">
        <f>+BN23*1.2</f>
        <v>1128.3839999999998</v>
      </c>
      <c r="BP23" s="16">
        <f>+BO23*1.2</f>
        <v>1354.0607999999997</v>
      </c>
      <c r="BQ23" s="16">
        <f>+BP23*1.1</f>
        <v>1489.4668799999999</v>
      </c>
      <c r="BR23" s="16">
        <f>+BQ23*1.1</f>
        <v>1638.4135680000002</v>
      </c>
      <c r="BS23" s="16">
        <f>+BR23*1.03</f>
        <v>1687.5659750400002</v>
      </c>
      <c r="BT23" s="15">
        <f>+BS23*0.1</f>
        <v>168.75659750400004</v>
      </c>
    </row>
    <row r="24" spans="2:72" s="15" customFormat="1" x14ac:dyDescent="0.15">
      <c r="B24" s="15" t="s">
        <v>4</v>
      </c>
      <c r="C24" s="16"/>
      <c r="D24" s="16"/>
      <c r="E24" s="16">
        <v>37</v>
      </c>
      <c r="F24" s="16"/>
      <c r="G24" s="16">
        <v>39</v>
      </c>
      <c r="H24" s="16"/>
      <c r="I24" s="16">
        <v>46</v>
      </c>
      <c r="J24" s="16"/>
      <c r="K24" s="16"/>
      <c r="L24" s="16">
        <v>56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>
        <v>117</v>
      </c>
      <c r="AH24" s="16">
        <v>118</v>
      </c>
      <c r="AI24" s="16">
        <v>124</v>
      </c>
      <c r="AJ24" s="16">
        <v>118</v>
      </c>
      <c r="AK24" s="16">
        <v>123</v>
      </c>
      <c r="AL24" s="16">
        <v>129</v>
      </c>
      <c r="AM24" s="16">
        <v>129</v>
      </c>
      <c r="AN24" s="16">
        <v>127</v>
      </c>
      <c r="AO24" s="16">
        <v>127</v>
      </c>
      <c r="AP24" s="16">
        <v>128</v>
      </c>
      <c r="AQ24" s="16">
        <v>121</v>
      </c>
      <c r="AR24" s="16">
        <v>120</v>
      </c>
      <c r="AS24" s="16">
        <v>110</v>
      </c>
      <c r="AT24" s="16">
        <f>+AP24</f>
        <v>128</v>
      </c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>
        <f t="shared" si="4"/>
        <v>494</v>
      </c>
      <c r="BK24" s="16">
        <f t="shared" si="5"/>
        <v>511</v>
      </c>
      <c r="BL24" s="16">
        <f t="shared" si="6"/>
        <v>479</v>
      </c>
      <c r="BM24" s="16">
        <f>+BL24*0.9</f>
        <v>431.1</v>
      </c>
      <c r="BN24" s="16">
        <f t="shared" ref="BN24:BT24" si="24">+BM24*0.9</f>
        <v>387.99</v>
      </c>
      <c r="BO24" s="16">
        <f t="shared" si="24"/>
        <v>349.19100000000003</v>
      </c>
      <c r="BP24" s="16">
        <f t="shared" si="24"/>
        <v>314.27190000000002</v>
      </c>
      <c r="BQ24" s="16">
        <f t="shared" si="24"/>
        <v>282.84471000000002</v>
      </c>
      <c r="BR24" s="16">
        <f t="shared" si="24"/>
        <v>254.56023900000002</v>
      </c>
      <c r="BS24" s="16">
        <f t="shared" si="24"/>
        <v>229.10421510000003</v>
      </c>
      <c r="BT24" s="16">
        <f t="shared" si="24"/>
        <v>206.19379359000004</v>
      </c>
    </row>
    <row r="25" spans="2:72" s="15" customFormat="1" x14ac:dyDescent="0.15">
      <c r="B25" s="23" t="s">
        <v>135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>
        <v>0</v>
      </c>
      <c r="AH25" s="16">
        <v>0</v>
      </c>
      <c r="AI25" s="16">
        <v>0</v>
      </c>
      <c r="AJ25" s="16">
        <v>69</v>
      </c>
      <c r="AK25" s="16">
        <v>123</v>
      </c>
      <c r="AL25" s="16">
        <v>134</v>
      </c>
      <c r="AM25" s="16">
        <v>118</v>
      </c>
      <c r="AN25" s="16">
        <v>142</v>
      </c>
      <c r="AO25" s="16">
        <v>128</v>
      </c>
      <c r="AP25" s="16">
        <v>141</v>
      </c>
      <c r="AQ25" s="16">
        <v>107</v>
      </c>
      <c r="AR25" s="16">
        <v>92</v>
      </c>
      <c r="AS25" s="16">
        <v>73</v>
      </c>
      <c r="AT25" s="16">
        <f>+AS25-3</f>
        <v>70</v>
      </c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>
        <f t="shared" si="4"/>
        <v>326</v>
      </c>
      <c r="BK25" s="16">
        <f t="shared" si="5"/>
        <v>529</v>
      </c>
      <c r="BL25" s="16">
        <f t="shared" si="6"/>
        <v>342</v>
      </c>
      <c r="BM25" s="16">
        <f t="shared" ref="BM25:BT25" si="25">+BL25*0.9</f>
        <v>307.8</v>
      </c>
      <c r="BN25" s="16">
        <f t="shared" si="25"/>
        <v>277.02000000000004</v>
      </c>
      <c r="BO25" s="16">
        <f t="shared" si="25"/>
        <v>249.31800000000004</v>
      </c>
      <c r="BP25" s="16">
        <f t="shared" si="25"/>
        <v>224.38620000000003</v>
      </c>
      <c r="BQ25" s="16">
        <f t="shared" si="25"/>
        <v>201.94758000000004</v>
      </c>
      <c r="BR25" s="16">
        <f t="shared" si="25"/>
        <v>181.75282200000004</v>
      </c>
      <c r="BS25" s="16">
        <f t="shared" si="25"/>
        <v>163.57753980000004</v>
      </c>
      <c r="BT25" s="16">
        <f t="shared" si="25"/>
        <v>147.21978582000003</v>
      </c>
    </row>
    <row r="26" spans="2:72" s="15" customFormat="1" x14ac:dyDescent="0.15">
      <c r="B26" s="23" t="s">
        <v>132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11</v>
      </c>
      <c r="AR26" s="16">
        <v>33</v>
      </c>
      <c r="AS26" s="16">
        <v>62</v>
      </c>
      <c r="AT26" s="16">
        <f>+AS26+10</f>
        <v>72</v>
      </c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>
        <f t="shared" si="4"/>
        <v>0</v>
      </c>
      <c r="BK26" s="16">
        <f t="shared" si="5"/>
        <v>0</v>
      </c>
      <c r="BL26" s="16">
        <f t="shared" si="6"/>
        <v>178</v>
      </c>
      <c r="BM26" s="16">
        <f>+BL26*1.2</f>
        <v>213.6</v>
      </c>
      <c r="BN26" s="16">
        <f>+BM26*1.2</f>
        <v>256.32</v>
      </c>
      <c r="BO26" s="16">
        <f>+BN26*1.2</f>
        <v>307.584</v>
      </c>
      <c r="BP26" s="16">
        <f>+BO26*1.2</f>
        <v>369.10079999999999</v>
      </c>
      <c r="BQ26" s="16">
        <f>+BP26*1.1</f>
        <v>406.01088000000004</v>
      </c>
      <c r="BR26" s="16">
        <f>+BQ26*1.1</f>
        <v>446.6119680000001</v>
      </c>
      <c r="BS26" s="16">
        <f>+BR26*1.03</f>
        <v>460.01032704000011</v>
      </c>
      <c r="BT26" s="15">
        <f>+BS26*0.1</f>
        <v>46.001032704000011</v>
      </c>
    </row>
    <row r="27" spans="2:72" s="15" customFormat="1" x14ac:dyDescent="0.15">
      <c r="B27" s="50" t="s">
        <v>251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>
        <v>0</v>
      </c>
      <c r="AH27" s="16">
        <v>0</v>
      </c>
      <c r="AI27" s="16">
        <v>0</v>
      </c>
      <c r="AJ27" s="16">
        <v>80</v>
      </c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>
        <f t="shared" si="4"/>
        <v>80</v>
      </c>
      <c r="BK27" s="16"/>
      <c r="BL27" s="16"/>
      <c r="BM27" s="16"/>
      <c r="BN27" s="16"/>
      <c r="BO27" s="16"/>
      <c r="BP27" s="16"/>
      <c r="BQ27" s="16"/>
      <c r="BR27" s="16"/>
      <c r="BS27" s="16"/>
    </row>
    <row r="28" spans="2:72" s="15" customFormat="1" x14ac:dyDescent="0.15">
      <c r="B28" s="50" t="s">
        <v>252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>
        <v>27</v>
      </c>
      <c r="AH28" s="16">
        <v>34</v>
      </c>
      <c r="AI28" s="16">
        <v>31</v>
      </c>
      <c r="AJ28" s="16">
        <v>31</v>
      </c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>
        <f t="shared" si="4"/>
        <v>62</v>
      </c>
      <c r="BK28" s="16"/>
      <c r="BL28" s="16"/>
      <c r="BM28" s="16"/>
      <c r="BN28" s="16"/>
      <c r="BO28" s="16"/>
      <c r="BP28" s="16"/>
      <c r="BQ28" s="16"/>
      <c r="BR28" s="16"/>
      <c r="BS28" s="16"/>
    </row>
    <row r="29" spans="2:72" s="15" customFormat="1" x14ac:dyDescent="0.15">
      <c r="B29" s="15" t="s">
        <v>9</v>
      </c>
      <c r="C29" s="16"/>
      <c r="D29" s="16"/>
      <c r="E29" s="16">
        <v>189</v>
      </c>
      <c r="F29" s="16"/>
      <c r="G29" s="16">
        <v>181</v>
      </c>
      <c r="H29" s="16"/>
      <c r="I29" s="16">
        <v>196</v>
      </c>
      <c r="J29" s="16"/>
      <c r="K29" s="16"/>
      <c r="L29" s="16">
        <v>186</v>
      </c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>
        <v>230</v>
      </c>
      <c r="AH29" s="16">
        <v>219</v>
      </c>
      <c r="AI29" s="16">
        <v>233</v>
      </c>
      <c r="AJ29" s="16">
        <v>205</v>
      </c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>
        <f t="shared" si="4"/>
        <v>438</v>
      </c>
      <c r="BK29" s="16">
        <f>SUM(AM29:AP29)</f>
        <v>0</v>
      </c>
      <c r="BL29" s="16">
        <f>SUM(AQ29:AT29)</f>
        <v>0</v>
      </c>
      <c r="BM29" s="16"/>
      <c r="BN29" s="16"/>
      <c r="BO29" s="16"/>
      <c r="BP29" s="16"/>
      <c r="BQ29" s="16"/>
      <c r="BR29" s="16"/>
      <c r="BS29" s="16"/>
    </row>
    <row r="30" spans="2:72" s="15" customFormat="1" x14ac:dyDescent="0.15">
      <c r="B30" s="15" t="s">
        <v>7</v>
      </c>
      <c r="C30" s="16"/>
      <c r="D30" s="16"/>
      <c r="E30" s="16">
        <v>131</v>
      </c>
      <c r="F30" s="16"/>
      <c r="G30" s="16">
        <v>119</v>
      </c>
      <c r="H30" s="16"/>
      <c r="I30" s="16">
        <v>161</v>
      </c>
      <c r="J30" s="16"/>
      <c r="K30" s="16"/>
      <c r="L30" s="16">
        <v>166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>
        <v>197</v>
      </c>
      <c r="AH30" s="16">
        <v>204</v>
      </c>
      <c r="AI30" s="16">
        <v>205</v>
      </c>
      <c r="AJ30" s="16">
        <v>183</v>
      </c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>
        <f t="shared" si="4"/>
        <v>388</v>
      </c>
      <c r="BK30" s="16">
        <f>SUM(AM30:AP30)</f>
        <v>0</v>
      </c>
      <c r="BL30" s="16">
        <f>SUM(AQ30:AT30)</f>
        <v>0</v>
      </c>
      <c r="BM30" s="16"/>
      <c r="BN30" s="16"/>
      <c r="BO30" s="16"/>
      <c r="BP30" s="16"/>
      <c r="BQ30" s="16"/>
      <c r="BR30" s="16"/>
      <c r="BS30" s="16"/>
    </row>
    <row r="31" spans="2:72" s="15" customFormat="1" x14ac:dyDescent="0.15">
      <c r="B31" s="50" t="s">
        <v>253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>
        <v>0</v>
      </c>
      <c r="AH31" s="16">
        <v>0</v>
      </c>
      <c r="AI31" s="16">
        <v>0</v>
      </c>
      <c r="AJ31" s="16">
        <v>36</v>
      </c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>
        <f t="shared" si="4"/>
        <v>36</v>
      </c>
      <c r="BK31" s="16"/>
      <c r="BL31" s="16"/>
      <c r="BM31" s="16"/>
      <c r="BN31" s="16"/>
      <c r="BO31" s="16"/>
      <c r="BP31" s="16"/>
      <c r="BQ31" s="16"/>
      <c r="BR31" s="16"/>
      <c r="BS31" s="16"/>
    </row>
    <row r="32" spans="2:72" s="15" customFormat="1" x14ac:dyDescent="0.15">
      <c r="B32" s="15" t="s">
        <v>2</v>
      </c>
      <c r="C32" s="16"/>
      <c r="D32" s="16"/>
      <c r="E32" s="16">
        <v>96</v>
      </c>
      <c r="F32" s="16"/>
      <c r="G32" s="16">
        <v>345</v>
      </c>
      <c r="H32" s="16"/>
      <c r="I32" s="16">
        <v>98</v>
      </c>
      <c r="J32" s="16"/>
      <c r="K32" s="16"/>
      <c r="L32" s="16">
        <v>74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>
        <v>132</v>
      </c>
      <c r="AH32" s="16">
        <v>261</v>
      </c>
      <c r="AI32" s="16">
        <v>270</v>
      </c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>
        <f t="shared" si="4"/>
        <v>270</v>
      </c>
      <c r="BK32" s="16">
        <f t="shared" si="5"/>
        <v>0</v>
      </c>
      <c r="BL32" s="16">
        <f t="shared" si="6"/>
        <v>0</v>
      </c>
      <c r="BM32" s="16"/>
      <c r="BN32" s="16"/>
      <c r="BO32" s="16"/>
      <c r="BP32" s="16"/>
      <c r="BQ32" s="16"/>
      <c r="BR32" s="16"/>
      <c r="BS32" s="16"/>
    </row>
    <row r="33" spans="2:72" s="15" customFormat="1" x14ac:dyDescent="0.15">
      <c r="B33" s="15" t="s">
        <v>3</v>
      </c>
      <c r="C33" s="16"/>
      <c r="D33" s="16"/>
      <c r="E33" s="16">
        <v>279</v>
      </c>
      <c r="F33" s="16"/>
      <c r="G33" s="16">
        <v>240</v>
      </c>
      <c r="H33" s="16"/>
      <c r="I33" s="16">
        <v>248</v>
      </c>
      <c r="J33" s="16"/>
      <c r="K33" s="16"/>
      <c r="L33" s="16">
        <v>218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>
        <v>53</v>
      </c>
      <c r="AH33" s="16">
        <v>23</v>
      </c>
      <c r="AI33" s="16">
        <v>8</v>
      </c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>
        <f t="shared" si="4"/>
        <v>8</v>
      </c>
      <c r="BK33" s="16">
        <f t="shared" si="5"/>
        <v>0</v>
      </c>
      <c r="BL33" s="16">
        <f t="shared" si="6"/>
        <v>0</v>
      </c>
      <c r="BM33" s="16"/>
      <c r="BN33" s="16"/>
      <c r="BO33" s="16"/>
      <c r="BP33" s="16"/>
      <c r="BQ33" s="16"/>
      <c r="BR33" s="16"/>
      <c r="BS33" s="16"/>
    </row>
    <row r="34" spans="2:72" s="15" customFormat="1" x14ac:dyDescent="0.15">
      <c r="B34" s="15" t="s">
        <v>11</v>
      </c>
      <c r="C34" s="16"/>
      <c r="D34" s="16"/>
      <c r="E34" s="16">
        <v>267</v>
      </c>
      <c r="F34" s="16"/>
      <c r="G34" s="16">
        <v>219</v>
      </c>
      <c r="H34" s="16"/>
      <c r="I34" s="16">
        <v>237</v>
      </c>
      <c r="J34" s="16"/>
      <c r="K34" s="16"/>
      <c r="L34" s="16">
        <v>216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>
        <v>74</v>
      </c>
      <c r="AH34" s="16">
        <v>54</v>
      </c>
      <c r="AI34" s="16">
        <v>86</v>
      </c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>
        <f t="shared" si="4"/>
        <v>86</v>
      </c>
      <c r="BK34" s="16">
        <f t="shared" si="5"/>
        <v>0</v>
      </c>
      <c r="BL34" s="16">
        <f t="shared" si="6"/>
        <v>0</v>
      </c>
      <c r="BM34" s="16"/>
      <c r="BN34" s="16"/>
      <c r="BO34" s="16"/>
      <c r="BP34" s="16"/>
      <c r="BQ34" s="16"/>
      <c r="BR34" s="16"/>
      <c r="BS34" s="16"/>
    </row>
    <row r="35" spans="2:72" s="15" customFormat="1" x14ac:dyDescent="0.15">
      <c r="B35" s="15" t="s">
        <v>10</v>
      </c>
      <c r="C35" s="16"/>
      <c r="D35" s="16"/>
      <c r="E35" s="16">
        <v>232</v>
      </c>
      <c r="F35" s="16"/>
      <c r="G35" s="16">
        <v>186</v>
      </c>
      <c r="H35" s="16"/>
      <c r="I35" s="16">
        <v>201</v>
      </c>
      <c r="J35" s="16"/>
      <c r="K35" s="16"/>
      <c r="L35" s="16">
        <v>21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>
        <v>0</v>
      </c>
      <c r="AH35" s="16">
        <v>0</v>
      </c>
      <c r="AI35" s="16">
        <v>0</v>
      </c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>
        <f t="shared" si="4"/>
        <v>0</v>
      </c>
      <c r="BK35" s="16">
        <f t="shared" si="5"/>
        <v>0</v>
      </c>
      <c r="BL35" s="16">
        <f t="shared" si="6"/>
        <v>0</v>
      </c>
      <c r="BM35" s="16"/>
      <c r="BN35" s="16"/>
      <c r="BO35" s="16"/>
      <c r="BP35" s="16"/>
      <c r="BQ35" s="16"/>
      <c r="BR35" s="16"/>
      <c r="BS35" s="16"/>
    </row>
    <row r="36" spans="2:72" s="15" customFormat="1" x14ac:dyDescent="0.15">
      <c r="B36" s="50" t="s">
        <v>254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>
        <v>3</v>
      </c>
      <c r="AH36" s="16">
        <v>4</v>
      </c>
      <c r="AI36" s="16">
        <v>5</v>
      </c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>
        <f t="shared" si="4"/>
        <v>5</v>
      </c>
      <c r="BK36" s="16"/>
      <c r="BL36" s="16"/>
      <c r="BM36" s="16"/>
      <c r="BN36" s="16"/>
      <c r="BO36" s="16"/>
      <c r="BP36" s="16"/>
      <c r="BQ36" s="16"/>
      <c r="BR36" s="16"/>
      <c r="BS36" s="16"/>
    </row>
    <row r="37" spans="2:72" s="15" customFormat="1" x14ac:dyDescent="0.15">
      <c r="B37" s="15" t="s">
        <v>8</v>
      </c>
      <c r="C37" s="16"/>
      <c r="D37" s="16"/>
      <c r="E37" s="16">
        <v>332</v>
      </c>
      <c r="F37" s="16"/>
      <c r="G37" s="16">
        <v>128</v>
      </c>
      <c r="H37" s="16"/>
      <c r="I37" s="16">
        <v>39</v>
      </c>
      <c r="J37" s="16"/>
      <c r="K37" s="16"/>
      <c r="L37" s="16">
        <v>17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>
        <v>0</v>
      </c>
      <c r="AH37" s="16">
        <v>0</v>
      </c>
      <c r="AI37" s="16">
        <v>0</v>
      </c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>
        <f t="shared" si="4"/>
        <v>0</v>
      </c>
      <c r="BK37" s="16">
        <f t="shared" si="5"/>
        <v>0</v>
      </c>
      <c r="BL37" s="16">
        <f t="shared" si="6"/>
        <v>0</v>
      </c>
      <c r="BM37" s="16"/>
      <c r="BN37" s="16"/>
      <c r="BO37" s="16"/>
      <c r="BP37" s="16"/>
      <c r="BQ37" s="16"/>
      <c r="BR37" s="16"/>
      <c r="BS37" s="16"/>
    </row>
    <row r="38" spans="2:72" s="15" customFormat="1" x14ac:dyDescent="0.15">
      <c r="B38" s="15" t="s">
        <v>68</v>
      </c>
      <c r="C38" s="16"/>
      <c r="D38" s="16"/>
      <c r="E38" s="16">
        <v>135</v>
      </c>
      <c r="F38" s="16"/>
      <c r="G38" s="16"/>
      <c r="H38" s="16"/>
      <c r="I38" s="16">
        <v>138</v>
      </c>
      <c r="J38" s="16"/>
      <c r="K38" s="16"/>
      <c r="L38" s="16">
        <v>154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>
        <v>84</v>
      </c>
      <c r="AH38" s="16">
        <v>81</v>
      </c>
      <c r="AI38" s="16">
        <v>79</v>
      </c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>
        <f t="shared" si="4"/>
        <v>79</v>
      </c>
      <c r="BK38" s="16">
        <f t="shared" si="5"/>
        <v>0</v>
      </c>
      <c r="BL38" s="16">
        <f t="shared" si="6"/>
        <v>0</v>
      </c>
      <c r="BM38" s="16"/>
      <c r="BN38" s="16"/>
      <c r="BO38" s="16"/>
      <c r="BP38" s="16"/>
      <c r="BQ38" s="16"/>
      <c r="BR38" s="16"/>
      <c r="BS38" s="16"/>
    </row>
    <row r="39" spans="2:72" s="15" customFormat="1" x14ac:dyDescent="0.15">
      <c r="B39" s="15" t="s">
        <v>5</v>
      </c>
      <c r="C39" s="16"/>
      <c r="D39" s="16"/>
      <c r="E39" s="16">
        <v>91</v>
      </c>
      <c r="F39" s="16"/>
      <c r="G39" s="16">
        <v>81</v>
      </c>
      <c r="H39" s="16"/>
      <c r="I39" s="16">
        <v>100</v>
      </c>
      <c r="J39" s="16"/>
      <c r="K39" s="16"/>
      <c r="L39" s="16">
        <v>0</v>
      </c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>
        <v>0</v>
      </c>
      <c r="AH39" s="16">
        <v>0</v>
      </c>
      <c r="AI39" s="16">
        <v>0</v>
      </c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>
        <f t="shared" si="4"/>
        <v>0</v>
      </c>
      <c r="BK39" s="16">
        <f t="shared" si="5"/>
        <v>0</v>
      </c>
      <c r="BL39" s="16">
        <f t="shared" si="6"/>
        <v>0</v>
      </c>
      <c r="BM39" s="16"/>
      <c r="BN39" s="16"/>
      <c r="BO39" s="16"/>
      <c r="BP39" s="16"/>
      <c r="BQ39" s="16"/>
      <c r="BR39" s="16"/>
      <c r="BS39" s="16"/>
    </row>
    <row r="40" spans="2:72" s="15" customFormat="1" x14ac:dyDescent="0.15">
      <c r="B40" s="15" t="s">
        <v>13</v>
      </c>
      <c r="C40" s="16"/>
      <c r="D40" s="16"/>
      <c r="E40" s="16">
        <f>SUM(E5:E39)</f>
        <v>4207</v>
      </c>
      <c r="F40" s="16"/>
      <c r="G40" s="16">
        <f>SUM(G5:G39)</f>
        <v>3872</v>
      </c>
      <c r="H40" s="16"/>
      <c r="I40" s="16">
        <f>SUM(I5:I39)</f>
        <v>4335</v>
      </c>
      <c r="J40" s="16"/>
      <c r="K40" s="16"/>
      <c r="L40" s="16">
        <f>SUM(L5:L39)</f>
        <v>4506</v>
      </c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>
        <v>0</v>
      </c>
      <c r="AH40" s="16">
        <v>0</v>
      </c>
      <c r="AI40" s="16">
        <v>0</v>
      </c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>
        <f t="shared" si="4"/>
        <v>0</v>
      </c>
      <c r="BK40" s="16">
        <f t="shared" si="5"/>
        <v>0</v>
      </c>
      <c r="BL40" s="16">
        <f t="shared" si="6"/>
        <v>0</v>
      </c>
      <c r="BM40" s="16"/>
      <c r="BN40" s="16"/>
      <c r="BO40" s="16"/>
      <c r="BP40" s="16"/>
      <c r="BQ40" s="16"/>
      <c r="BR40" s="16"/>
      <c r="BS40" s="16"/>
    </row>
    <row r="41" spans="2:72" s="15" customFormat="1" x14ac:dyDescent="0.15">
      <c r="B41" s="15" t="s">
        <v>12</v>
      </c>
      <c r="C41" s="16"/>
      <c r="D41" s="16"/>
      <c r="E41" s="16">
        <v>301</v>
      </c>
      <c r="F41" s="16"/>
      <c r="G41" s="16">
        <f>+G42-G40</f>
        <v>457</v>
      </c>
      <c r="H41" s="16"/>
      <c r="I41" s="16">
        <v>323</v>
      </c>
      <c r="J41" s="16"/>
      <c r="K41" s="16"/>
      <c r="L41" s="16">
        <f>4926-L40</f>
        <v>420</v>
      </c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>
        <f>8479-8396</f>
        <v>83</v>
      </c>
      <c r="AH41" s="16">
        <f>8704-8631</f>
        <v>73</v>
      </c>
      <c r="AI41" s="16">
        <f>8619-8514</f>
        <v>105</v>
      </c>
      <c r="AJ41" s="16">
        <f>10425-9835</f>
        <v>590</v>
      </c>
      <c r="AK41" s="16">
        <f>12882-11512</f>
        <v>1370</v>
      </c>
      <c r="AL41" s="16">
        <f>13858-12276</f>
        <v>1582</v>
      </c>
      <c r="AM41" s="16">
        <f>12935-11534</f>
        <v>1401</v>
      </c>
      <c r="AN41" s="16">
        <f>13959-12738</f>
        <v>1221</v>
      </c>
      <c r="AO41" s="16">
        <f>14342-13225</f>
        <v>1117</v>
      </c>
      <c r="AP41" s="16">
        <f>14886-13501</f>
        <v>1385</v>
      </c>
      <c r="AQ41" s="16">
        <f>13538-12327</f>
        <v>1211</v>
      </c>
      <c r="AR41" s="16">
        <f>14583-13574</f>
        <v>1009</v>
      </c>
      <c r="AS41" s="16">
        <v>925</v>
      </c>
      <c r="AT41" s="16">
        <f>+AP41*0.9</f>
        <v>1246.5</v>
      </c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>
        <f t="shared" si="5"/>
        <v>5124</v>
      </c>
      <c r="BL41" s="16">
        <f t="shared" si="6"/>
        <v>4391.5</v>
      </c>
      <c r="BM41" s="16">
        <f>+BL41*0.9</f>
        <v>3952.35</v>
      </c>
      <c r="BN41" s="16">
        <f t="shared" ref="BN41:BT41" si="26">+BM41*0.9</f>
        <v>3557.1149999999998</v>
      </c>
      <c r="BO41" s="16">
        <f t="shared" si="26"/>
        <v>3201.4034999999999</v>
      </c>
      <c r="BP41" s="16">
        <f t="shared" si="26"/>
        <v>2881.2631499999998</v>
      </c>
      <c r="BQ41" s="16">
        <f t="shared" si="26"/>
        <v>2593.1368349999998</v>
      </c>
      <c r="BR41" s="16">
        <f t="shared" si="26"/>
        <v>2333.8231514999998</v>
      </c>
      <c r="BS41" s="16">
        <f t="shared" si="26"/>
        <v>2100.4408363499997</v>
      </c>
      <c r="BT41" s="16">
        <f t="shared" si="26"/>
        <v>1890.3967527149998</v>
      </c>
    </row>
    <row r="42" spans="2:72" s="17" customFormat="1" x14ac:dyDescent="0.15">
      <c r="B42" s="17" t="s">
        <v>261</v>
      </c>
      <c r="C42" s="18"/>
      <c r="D42" s="18"/>
      <c r="E42" s="18">
        <f>+E41+E40</f>
        <v>4508</v>
      </c>
      <c r="F42" s="18"/>
      <c r="G42" s="18">
        <v>4329</v>
      </c>
      <c r="H42" s="18"/>
      <c r="I42" s="18">
        <f>+I41+I40</f>
        <v>4658</v>
      </c>
      <c r="J42" s="18"/>
      <c r="K42" s="18"/>
      <c r="L42" s="18">
        <f>+L41+L40</f>
        <v>4926</v>
      </c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>
        <v>8236</v>
      </c>
      <c r="AD42" s="18">
        <v>8305</v>
      </c>
      <c r="AE42" s="18">
        <v>7828</v>
      </c>
      <c r="AF42" s="18">
        <v>8255</v>
      </c>
      <c r="AG42" s="18">
        <f t="shared" ref="AG42:AT42" si="27">SUM(AG5:AG41)</f>
        <v>8479</v>
      </c>
      <c r="AH42" s="18">
        <f t="shared" si="27"/>
        <v>8704</v>
      </c>
      <c r="AI42" s="18">
        <f t="shared" si="27"/>
        <v>8619</v>
      </c>
      <c r="AJ42" s="18">
        <f t="shared" si="27"/>
        <v>10425</v>
      </c>
      <c r="AK42" s="18">
        <f t="shared" si="27"/>
        <v>12882</v>
      </c>
      <c r="AL42" s="18">
        <f t="shared" si="27"/>
        <v>13858</v>
      </c>
      <c r="AM42" s="18">
        <f t="shared" si="27"/>
        <v>12935</v>
      </c>
      <c r="AN42" s="18">
        <f t="shared" si="27"/>
        <v>13959</v>
      </c>
      <c r="AO42" s="18">
        <f t="shared" si="27"/>
        <v>14342</v>
      </c>
      <c r="AP42" s="18">
        <f t="shared" si="27"/>
        <v>14886</v>
      </c>
      <c r="AQ42" s="18">
        <f t="shared" si="27"/>
        <v>13538</v>
      </c>
      <c r="AR42" s="18">
        <f t="shared" si="27"/>
        <v>14583</v>
      </c>
      <c r="AS42" s="18">
        <f>SUM(AS5:AS41)</f>
        <v>14812</v>
      </c>
      <c r="AT42" s="18">
        <f t="shared" si="27"/>
        <v>15230.899999999998</v>
      </c>
      <c r="AU42" s="18">
        <f t="shared" ref="AU42:AX42" si="28">SUM(AU5:AU41)</f>
        <v>0</v>
      </c>
      <c r="AV42" s="18">
        <f t="shared" si="28"/>
        <v>0</v>
      </c>
      <c r="AW42" s="18">
        <f t="shared" si="28"/>
        <v>0</v>
      </c>
      <c r="AX42" s="18">
        <f t="shared" si="28"/>
        <v>0</v>
      </c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>
        <f>SUM(BK5:BK41)</f>
        <v>56122</v>
      </c>
      <c r="BL42" s="18">
        <f>SUM(BL5:BL41)-BL6</f>
        <v>58163.9</v>
      </c>
      <c r="BM42" s="18">
        <f t="shared" ref="BM42:BT42" si="29">SUM(BM5:BM41)-BM6</f>
        <v>47492.514199999991</v>
      </c>
      <c r="BN42" s="18">
        <f t="shared" si="29"/>
        <v>47345.410995999991</v>
      </c>
      <c r="BO42" s="18">
        <f t="shared" si="29"/>
        <v>48316.131439380013</v>
      </c>
      <c r="BP42" s="18">
        <f t="shared" si="29"/>
        <v>46616.846105736418</v>
      </c>
      <c r="BQ42" s="18">
        <f t="shared" si="29"/>
        <v>45364.592775367237</v>
      </c>
      <c r="BR42" s="18">
        <f t="shared" si="29"/>
        <v>42947.421004657452</v>
      </c>
      <c r="BS42" s="18">
        <f t="shared" si="29"/>
        <v>41922.699943824562</v>
      </c>
      <c r="BT42" s="18">
        <f t="shared" si="29"/>
        <v>32465.426041925406</v>
      </c>
    </row>
    <row r="43" spans="2:72" s="15" customFormat="1" x14ac:dyDescent="0.15">
      <c r="B43" s="15" t="s">
        <v>25</v>
      </c>
      <c r="C43" s="16"/>
      <c r="D43" s="16"/>
      <c r="E43" s="16"/>
      <c r="F43" s="16"/>
      <c r="G43" s="16">
        <v>1153</v>
      </c>
      <c r="H43" s="16"/>
      <c r="I43" s="16">
        <v>1092</v>
      </c>
      <c r="J43" s="16"/>
      <c r="K43" s="16"/>
      <c r="L43" s="16">
        <f>1113-69-3-6</f>
        <v>1035</v>
      </c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>
        <v>1509</v>
      </c>
      <c r="AD43" s="16">
        <v>1674</v>
      </c>
      <c r="AE43" s="16">
        <v>1303</v>
      </c>
      <c r="AF43" s="16">
        <v>1427</v>
      </c>
      <c r="AG43" s="16">
        <v>1525</v>
      </c>
      <c r="AH43" s="16">
        <v>1605</v>
      </c>
      <c r="AI43" s="16">
        <v>1494</v>
      </c>
      <c r="AJ43" s="16">
        <v>1796</v>
      </c>
      <c r="AK43" s="16">
        <v>2362</v>
      </c>
      <c r="AL43" s="16">
        <v>2523</v>
      </c>
      <c r="AM43" s="16">
        <v>2085</v>
      </c>
      <c r="AN43" s="16">
        <v>2479</v>
      </c>
      <c r="AO43" s="16">
        <v>2413</v>
      </c>
      <c r="AP43" s="16">
        <v>2448</v>
      </c>
      <c r="AQ43" s="16">
        <v>2103</v>
      </c>
      <c r="AR43" s="16">
        <v>2167</v>
      </c>
      <c r="AS43" s="16">
        <f>+AS42-AS44</f>
        <v>2221.8000000000011</v>
      </c>
      <c r="AT43" s="16">
        <f>+AT42-AT44</f>
        <v>2284.6350000000002</v>
      </c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>
        <f t="shared" ref="BK43" si="30">SUM(AM43:AP43)</f>
        <v>9425</v>
      </c>
      <c r="BL43" s="16">
        <f t="shared" ref="BL43" si="31">SUM(AQ43:AT43)</f>
        <v>8776.4350000000013</v>
      </c>
      <c r="BM43" s="16">
        <f>+BM42-BM44</f>
        <v>7123.8771300000008</v>
      </c>
      <c r="BN43" s="16">
        <f t="shared" ref="BN43:BT43" si="32">+BN42-BN44</f>
        <v>7101.8116493999987</v>
      </c>
      <c r="BO43" s="16">
        <f t="shared" si="32"/>
        <v>7247.4197159070027</v>
      </c>
      <c r="BP43" s="16">
        <f t="shared" si="32"/>
        <v>6992.5269158604642</v>
      </c>
      <c r="BQ43" s="16">
        <f t="shared" si="32"/>
        <v>6804.6889163050873</v>
      </c>
      <c r="BR43" s="16">
        <f t="shared" si="32"/>
        <v>6442.1131506986203</v>
      </c>
      <c r="BS43" s="16">
        <f t="shared" si="32"/>
        <v>6288.4049915736832</v>
      </c>
      <c r="BT43" s="16">
        <f t="shared" si="32"/>
        <v>4869.8139062888113</v>
      </c>
    </row>
    <row r="44" spans="2:72" s="15" customFormat="1" x14ac:dyDescent="0.15">
      <c r="B44" s="15" t="s">
        <v>24</v>
      </c>
      <c r="C44" s="16"/>
      <c r="D44" s="16"/>
      <c r="E44" s="16"/>
      <c r="F44" s="16"/>
      <c r="G44" s="16">
        <f>+G42-G43</f>
        <v>3176</v>
      </c>
      <c r="H44" s="16"/>
      <c r="I44" s="16">
        <f>+I42-I43</f>
        <v>3566</v>
      </c>
      <c r="J44" s="16"/>
      <c r="K44" s="16"/>
      <c r="L44" s="16">
        <f>+L42-L43</f>
        <v>3891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>
        <f>+AC42-AC43</f>
        <v>6727</v>
      </c>
      <c r="AD44" s="16">
        <f>+AD42-AD43</f>
        <v>6631</v>
      </c>
      <c r="AE44" s="16">
        <f>+AE42-AE43</f>
        <v>6525</v>
      </c>
      <c r="AF44" s="16">
        <f>+AF42-AF43</f>
        <v>6828</v>
      </c>
      <c r="AG44" s="16">
        <f t="shared" ref="AG44:AH44" si="33">AG42-AG43</f>
        <v>6954</v>
      </c>
      <c r="AH44" s="16">
        <f t="shared" si="33"/>
        <v>7099</v>
      </c>
      <c r="AI44" s="16">
        <f t="shared" ref="AI44:AJ44" si="34">AI42-AI43</f>
        <v>7125</v>
      </c>
      <c r="AJ44" s="16">
        <f t="shared" si="34"/>
        <v>8629</v>
      </c>
      <c r="AK44" s="16">
        <f t="shared" ref="AK44:AQ44" si="35">AK42-AK43</f>
        <v>10520</v>
      </c>
      <c r="AL44" s="16">
        <f t="shared" si="35"/>
        <v>11335</v>
      </c>
      <c r="AM44" s="16">
        <f t="shared" si="35"/>
        <v>10850</v>
      </c>
      <c r="AN44" s="16">
        <f t="shared" si="35"/>
        <v>11480</v>
      </c>
      <c r="AO44" s="16">
        <f t="shared" si="35"/>
        <v>11929</v>
      </c>
      <c r="AP44" s="16">
        <f t="shared" si="35"/>
        <v>12438</v>
      </c>
      <c r="AQ44" s="16">
        <f t="shared" si="35"/>
        <v>11435</v>
      </c>
      <c r="AR44" s="16">
        <f t="shared" ref="AR44" si="36">AR42-AR43</f>
        <v>12416</v>
      </c>
      <c r="AS44" s="16">
        <f>+AS42*0.85</f>
        <v>12590.199999999999</v>
      </c>
      <c r="AT44" s="16">
        <f>+AT42*0.85</f>
        <v>12946.264999999998</v>
      </c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>
        <f>+BK42-BK43</f>
        <v>46697</v>
      </c>
      <c r="BL44" s="16">
        <f>+BL42-BL43</f>
        <v>49387.464999999997</v>
      </c>
      <c r="BM44" s="16">
        <f>+BM42*0.85</f>
        <v>40368.63706999999</v>
      </c>
      <c r="BN44" s="16">
        <f t="shared" ref="BN44:BT44" si="37">+BN42*0.85</f>
        <v>40243.599346599993</v>
      </c>
      <c r="BO44" s="16">
        <f t="shared" si="37"/>
        <v>41068.71172347301</v>
      </c>
      <c r="BP44" s="16">
        <f t="shared" si="37"/>
        <v>39624.319189875954</v>
      </c>
      <c r="BQ44" s="16">
        <f t="shared" si="37"/>
        <v>38559.903859062149</v>
      </c>
      <c r="BR44" s="16">
        <f t="shared" si="37"/>
        <v>36505.307853958831</v>
      </c>
      <c r="BS44" s="16">
        <f t="shared" si="37"/>
        <v>35634.294952250879</v>
      </c>
      <c r="BT44" s="16">
        <f t="shared" si="37"/>
        <v>27595.612135636595</v>
      </c>
    </row>
    <row r="45" spans="2:72" s="15" customFormat="1" x14ac:dyDescent="0.15">
      <c r="B45" s="15" t="s">
        <v>23</v>
      </c>
      <c r="C45" s="16"/>
      <c r="D45" s="16"/>
      <c r="E45" s="16"/>
      <c r="F45" s="16"/>
      <c r="G45" s="16">
        <v>1237</v>
      </c>
      <c r="H45" s="16"/>
      <c r="I45" s="16">
        <v>1261</v>
      </c>
      <c r="J45" s="16"/>
      <c r="K45" s="16"/>
      <c r="L45" s="16">
        <f>1448-96-6</f>
        <v>1346</v>
      </c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>
        <v>1575</v>
      </c>
      <c r="AD45" s="16">
        <v>1797</v>
      </c>
      <c r="AE45" s="16">
        <v>1563</v>
      </c>
      <c r="AF45" s="16">
        <v>1620</v>
      </c>
      <c r="AG45" s="16">
        <v>1621</v>
      </c>
      <c r="AH45" s="16">
        <v>1883</v>
      </c>
      <c r="AI45" s="16">
        <v>1599</v>
      </c>
      <c r="AJ45" s="16">
        <v>2392</v>
      </c>
      <c r="AK45" s="16">
        <v>2723</v>
      </c>
      <c r="AL45" s="16">
        <v>3089</v>
      </c>
      <c r="AM45" s="16">
        <v>2743</v>
      </c>
      <c r="AN45" s="16">
        <v>2953</v>
      </c>
      <c r="AO45" s="16">
        <v>2961</v>
      </c>
      <c r="AP45" s="16">
        <v>3307</v>
      </c>
      <c r="AQ45" s="16">
        <v>2852</v>
      </c>
      <c r="AR45" s="16">
        <v>3089</v>
      </c>
      <c r="AS45" s="16">
        <f>+AO45*1.01</f>
        <v>2990.61</v>
      </c>
      <c r="AT45" s="16">
        <f>+AP45*1.01</f>
        <v>3340.07</v>
      </c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>
        <f t="shared" ref="BK45:BK46" si="38">SUM(AM45:AP45)</f>
        <v>11964</v>
      </c>
      <c r="BL45" s="16">
        <f t="shared" ref="BL45:BL46" si="39">SUM(AQ45:AT45)</f>
        <v>12271.68</v>
      </c>
      <c r="BM45" s="16">
        <f>+BM42*0.2</f>
        <v>9498.5028399999992</v>
      </c>
      <c r="BN45" s="16">
        <f t="shared" ref="BN45:BT45" si="40">+BN42*0.2</f>
        <v>9469.0821991999983</v>
      </c>
      <c r="BO45" s="16">
        <f t="shared" si="40"/>
        <v>9663.226287876003</v>
      </c>
      <c r="BP45" s="16">
        <f t="shared" si="40"/>
        <v>9323.3692211472844</v>
      </c>
      <c r="BQ45" s="16">
        <f t="shared" si="40"/>
        <v>9072.9185550734474</v>
      </c>
      <c r="BR45" s="16">
        <f t="shared" si="40"/>
        <v>8589.4842009314907</v>
      </c>
      <c r="BS45" s="16">
        <f t="shared" si="40"/>
        <v>8384.5399887649128</v>
      </c>
      <c r="BT45" s="16">
        <f t="shared" si="40"/>
        <v>6493.0852083850814</v>
      </c>
    </row>
    <row r="46" spans="2:72" s="15" customFormat="1" x14ac:dyDescent="0.15">
      <c r="B46" s="15" t="s">
        <v>22</v>
      </c>
      <c r="C46" s="16"/>
      <c r="D46" s="16"/>
      <c r="E46" s="16"/>
      <c r="F46" s="16"/>
      <c r="G46" s="16">
        <v>634</v>
      </c>
      <c r="H46" s="16"/>
      <c r="I46" s="16">
        <v>714</v>
      </c>
      <c r="J46" s="16"/>
      <c r="K46" s="16"/>
      <c r="L46" s="16">
        <f>834-41</f>
        <v>793</v>
      </c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>
        <v>1268</v>
      </c>
      <c r="AD46" s="16">
        <v>1369</v>
      </c>
      <c r="AE46" s="16">
        <v>1199</v>
      </c>
      <c r="AF46" s="16">
        <v>1232</v>
      </c>
      <c r="AG46" s="16">
        <v>1227</v>
      </c>
      <c r="AH46" s="16">
        <v>1331</v>
      </c>
      <c r="AI46" s="16">
        <v>1234</v>
      </c>
      <c r="AJ46" s="16">
        <v>1332</v>
      </c>
      <c r="AK46" s="16">
        <v>1513</v>
      </c>
      <c r="AL46" s="16">
        <v>1751</v>
      </c>
      <c r="AM46" s="16">
        <v>1505</v>
      </c>
      <c r="AN46" s="16">
        <v>1583</v>
      </c>
      <c r="AO46" s="16">
        <v>1632</v>
      </c>
      <c r="AP46" s="16">
        <v>1798</v>
      </c>
      <c r="AQ46" s="16">
        <v>1480</v>
      </c>
      <c r="AR46" s="16">
        <v>1607</v>
      </c>
      <c r="AS46" s="16">
        <f>+AO46*1.01</f>
        <v>1648.32</v>
      </c>
      <c r="AT46" s="16">
        <f>+AP46*1.01</f>
        <v>1815.98</v>
      </c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>
        <f t="shared" si="38"/>
        <v>6518</v>
      </c>
      <c r="BL46" s="16">
        <f t="shared" si="39"/>
        <v>6551.2999999999993</v>
      </c>
      <c r="BM46" s="16"/>
      <c r="BN46" s="16"/>
      <c r="BO46" s="16"/>
      <c r="BP46" s="16"/>
      <c r="BQ46" s="16"/>
      <c r="BR46" s="16"/>
      <c r="BS46" s="16"/>
    </row>
    <row r="47" spans="2:72" s="15" customFormat="1" x14ac:dyDescent="0.15">
      <c r="B47" s="15" t="s">
        <v>20</v>
      </c>
      <c r="C47" s="16"/>
      <c r="D47" s="16"/>
      <c r="E47" s="16"/>
      <c r="F47" s="16"/>
      <c r="G47" s="16">
        <f>+G46+G45</f>
        <v>1871</v>
      </c>
      <c r="H47" s="16"/>
      <c r="I47" s="16">
        <f>+I46+I45</f>
        <v>1975</v>
      </c>
      <c r="J47" s="16"/>
      <c r="K47" s="16"/>
      <c r="L47" s="16">
        <f>+L46+L45</f>
        <v>2139</v>
      </c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>
        <f>+AC45+AC46</f>
        <v>2843</v>
      </c>
      <c r="AD47" s="16">
        <f>+AD45+AD46</f>
        <v>3166</v>
      </c>
      <c r="AE47" s="16">
        <f>+AE45+AE46</f>
        <v>2762</v>
      </c>
      <c r="AF47" s="16">
        <f>+AF45+AF46</f>
        <v>2852</v>
      </c>
      <c r="AG47" s="16">
        <f t="shared" ref="AG47:AH47" si="41">AG46+AG45</f>
        <v>2848</v>
      </c>
      <c r="AH47" s="16">
        <f t="shared" si="41"/>
        <v>3214</v>
      </c>
      <c r="AI47" s="16">
        <f t="shared" ref="AI47:AJ47" si="42">AI46+AI45</f>
        <v>2833</v>
      </c>
      <c r="AJ47" s="16">
        <f t="shared" si="42"/>
        <v>3724</v>
      </c>
      <c r="AK47" s="16">
        <f t="shared" ref="AK47:AQ47" si="43">AK46+AK45</f>
        <v>4236</v>
      </c>
      <c r="AL47" s="16">
        <f t="shared" si="43"/>
        <v>4840</v>
      </c>
      <c r="AM47" s="16">
        <f t="shared" si="43"/>
        <v>4248</v>
      </c>
      <c r="AN47" s="16">
        <f t="shared" si="43"/>
        <v>4536</v>
      </c>
      <c r="AO47" s="16">
        <f t="shared" si="43"/>
        <v>4593</v>
      </c>
      <c r="AP47" s="16">
        <f t="shared" si="43"/>
        <v>5105</v>
      </c>
      <c r="AQ47" s="16">
        <f t="shared" si="43"/>
        <v>4332</v>
      </c>
      <c r="AR47" s="16">
        <f t="shared" ref="AR47:AT47" si="44">AR46+AR45</f>
        <v>4696</v>
      </c>
      <c r="AS47" s="16">
        <f t="shared" si="44"/>
        <v>4638.93</v>
      </c>
      <c r="AT47" s="16">
        <f t="shared" si="44"/>
        <v>5156.05</v>
      </c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>
        <f>+BK45+BK46</f>
        <v>18482</v>
      </c>
      <c r="BL47" s="16">
        <f>+BL45+BL46</f>
        <v>18822.98</v>
      </c>
      <c r="BM47" s="16">
        <f t="shared" ref="BM47:BT47" si="45">+BM45+BM46</f>
        <v>9498.5028399999992</v>
      </c>
      <c r="BN47" s="16">
        <f t="shared" si="45"/>
        <v>9469.0821991999983</v>
      </c>
      <c r="BO47" s="16">
        <f t="shared" si="45"/>
        <v>9663.226287876003</v>
      </c>
      <c r="BP47" s="16">
        <f t="shared" si="45"/>
        <v>9323.3692211472844</v>
      </c>
      <c r="BQ47" s="16">
        <f t="shared" si="45"/>
        <v>9072.9185550734474</v>
      </c>
      <c r="BR47" s="16">
        <f t="shared" si="45"/>
        <v>8589.4842009314907</v>
      </c>
      <c r="BS47" s="16">
        <f t="shared" si="45"/>
        <v>8384.5399887649128</v>
      </c>
      <c r="BT47" s="16">
        <f t="shared" si="45"/>
        <v>6493.0852083850814</v>
      </c>
    </row>
    <row r="48" spans="2:72" s="15" customFormat="1" x14ac:dyDescent="0.15">
      <c r="B48" s="15" t="s">
        <v>21</v>
      </c>
      <c r="C48" s="16"/>
      <c r="D48" s="16"/>
      <c r="E48" s="16"/>
      <c r="F48" s="16"/>
      <c r="G48" s="16">
        <f>G44-G47</f>
        <v>1305</v>
      </c>
      <c r="H48" s="16"/>
      <c r="I48" s="16">
        <f>I44-I47</f>
        <v>1591</v>
      </c>
      <c r="J48" s="16"/>
      <c r="K48" s="16"/>
      <c r="L48" s="16">
        <f>+L44-L47</f>
        <v>1752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>
        <f>+AC44-AC47</f>
        <v>3884</v>
      </c>
      <c r="AD48" s="16">
        <f>+AD44-AD47</f>
        <v>3465</v>
      </c>
      <c r="AE48" s="16">
        <f>+AE44-AE47</f>
        <v>3763</v>
      </c>
      <c r="AF48" s="16">
        <f>+AF44-AF47</f>
        <v>3976</v>
      </c>
      <c r="AG48" s="16">
        <f t="shared" ref="AG48:AH48" si="46">AG44-AG47</f>
        <v>4106</v>
      </c>
      <c r="AH48" s="16">
        <f t="shared" si="46"/>
        <v>3885</v>
      </c>
      <c r="AI48" s="16">
        <f t="shared" ref="AI48:AJ48" si="47">AI44-AI47</f>
        <v>4292</v>
      </c>
      <c r="AJ48" s="16">
        <f t="shared" si="47"/>
        <v>4905</v>
      </c>
      <c r="AK48" s="16">
        <f t="shared" ref="AK48:AQ48" si="48">AK44-AK47</f>
        <v>6284</v>
      </c>
      <c r="AL48" s="16">
        <f t="shared" si="48"/>
        <v>6495</v>
      </c>
      <c r="AM48" s="16">
        <f t="shared" si="48"/>
        <v>6602</v>
      </c>
      <c r="AN48" s="16">
        <f t="shared" si="48"/>
        <v>6944</v>
      </c>
      <c r="AO48" s="16">
        <f t="shared" si="48"/>
        <v>7336</v>
      </c>
      <c r="AP48" s="16">
        <f t="shared" si="48"/>
        <v>7333</v>
      </c>
      <c r="AQ48" s="16">
        <f t="shared" si="48"/>
        <v>7103</v>
      </c>
      <c r="AR48" s="16">
        <f t="shared" ref="AR48:AT48" si="49">AR44-AR47</f>
        <v>7720</v>
      </c>
      <c r="AS48" s="16">
        <f t="shared" si="49"/>
        <v>7951.2699999999986</v>
      </c>
      <c r="AT48" s="16">
        <f t="shared" si="49"/>
        <v>7790.2149999999974</v>
      </c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>
        <f>+BK44-BK47</f>
        <v>28215</v>
      </c>
      <c r="BL48" s="16">
        <f>+BL44-BL47</f>
        <v>30564.484999999997</v>
      </c>
      <c r="BM48" s="16">
        <f t="shared" ref="BM48:BT48" si="50">+BM44-BM47</f>
        <v>30870.134229999989</v>
      </c>
      <c r="BN48" s="16">
        <f t="shared" si="50"/>
        <v>30774.517147399994</v>
      </c>
      <c r="BO48" s="16">
        <f t="shared" si="50"/>
        <v>31405.485435597009</v>
      </c>
      <c r="BP48" s="16">
        <f t="shared" si="50"/>
        <v>30300.94996872867</v>
      </c>
      <c r="BQ48" s="16">
        <f t="shared" si="50"/>
        <v>29486.985303988702</v>
      </c>
      <c r="BR48" s="16">
        <f t="shared" si="50"/>
        <v>27915.823653027343</v>
      </c>
      <c r="BS48" s="16">
        <f t="shared" si="50"/>
        <v>27249.754963485968</v>
      </c>
      <c r="BT48" s="16">
        <f t="shared" si="50"/>
        <v>21102.526927251514</v>
      </c>
    </row>
    <row r="49" spans="2:199" s="15" customFormat="1" x14ac:dyDescent="0.15">
      <c r="B49" s="15" t="s">
        <v>19</v>
      </c>
      <c r="C49" s="16"/>
      <c r="D49" s="16"/>
      <c r="E49" s="16"/>
      <c r="F49" s="16"/>
      <c r="G49" s="16">
        <f>-66-15+15</f>
        <v>-66</v>
      </c>
      <c r="H49" s="16"/>
      <c r="I49" s="16">
        <f>-69-11-5</f>
        <v>-85</v>
      </c>
      <c r="J49" s="16"/>
      <c r="K49" s="16"/>
      <c r="L49" s="16">
        <f>-69-5-8</f>
        <v>-82</v>
      </c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>
        <f>-302-2+1</f>
        <v>-303</v>
      </c>
      <c r="AD49" s="16">
        <f>-319-6+11</f>
        <v>-314</v>
      </c>
      <c r="AE49" s="16">
        <v>-34</v>
      </c>
      <c r="AF49" s="16">
        <f>-302+26</f>
        <v>-276</v>
      </c>
      <c r="AG49" s="16">
        <f>-288-19+3</f>
        <v>-304</v>
      </c>
      <c r="AH49" s="16">
        <f>-282-11+22</f>
        <v>-271</v>
      </c>
      <c r="AI49" s="16">
        <f>-284-5</f>
        <v>-289</v>
      </c>
      <c r="AJ49" s="16">
        <f>-484+7-33</f>
        <v>-510</v>
      </c>
      <c r="AK49" s="51">
        <v>620</v>
      </c>
      <c r="AL49" s="51">
        <v>618</v>
      </c>
      <c r="AM49" s="16">
        <v>-622</v>
      </c>
      <c r="AN49" s="16">
        <v>-606</v>
      </c>
      <c r="AO49" s="16">
        <v>-585</v>
      </c>
      <c r="AP49" s="16">
        <v>-571</v>
      </c>
      <c r="AQ49" s="16">
        <f>-539+28</f>
        <v>-511</v>
      </c>
      <c r="AR49" s="16">
        <f>-497+210</f>
        <v>-287</v>
      </c>
      <c r="AS49" s="16">
        <f>+AR49</f>
        <v>-287</v>
      </c>
      <c r="AT49" s="16">
        <f>+AS49</f>
        <v>-287</v>
      </c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>
        <f t="shared" ref="BK49" si="51">SUM(AM49:AP49)</f>
        <v>-2384</v>
      </c>
      <c r="BL49" s="16">
        <f t="shared" ref="BL49" si="52">SUM(AQ49:AT49)</f>
        <v>-1372</v>
      </c>
      <c r="BM49" s="16">
        <f>+BL49+300</f>
        <v>-1072</v>
      </c>
      <c r="BN49" s="16">
        <f t="shared" ref="BN49:BT49" si="53">+BM49+300</f>
        <v>-772</v>
      </c>
      <c r="BO49" s="16">
        <f t="shared" si="53"/>
        <v>-472</v>
      </c>
      <c r="BP49" s="16">
        <f t="shared" si="53"/>
        <v>-172</v>
      </c>
      <c r="BQ49" s="16">
        <f t="shared" si="53"/>
        <v>128</v>
      </c>
      <c r="BR49" s="16">
        <f t="shared" si="53"/>
        <v>428</v>
      </c>
      <c r="BS49" s="16">
        <f t="shared" si="53"/>
        <v>728</v>
      </c>
      <c r="BT49" s="16">
        <f t="shared" si="53"/>
        <v>1028</v>
      </c>
    </row>
    <row r="50" spans="2:199" s="15" customFormat="1" x14ac:dyDescent="0.15">
      <c r="B50" s="15" t="s">
        <v>18</v>
      </c>
      <c r="C50" s="16"/>
      <c r="D50" s="16"/>
      <c r="E50" s="16"/>
      <c r="F50" s="16"/>
      <c r="G50" s="16">
        <f>+G48+G49</f>
        <v>1239</v>
      </c>
      <c r="H50" s="16"/>
      <c r="I50" s="16">
        <f>+I48+I49</f>
        <v>1506</v>
      </c>
      <c r="J50" s="16"/>
      <c r="K50" s="16"/>
      <c r="L50" s="16">
        <f>+L49+L48</f>
        <v>1670</v>
      </c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>
        <f>+AC48+AC49</f>
        <v>3581</v>
      </c>
      <c r="AD50" s="16">
        <f>+AD48+AD49</f>
        <v>3151</v>
      </c>
      <c r="AE50" s="16">
        <f>+AE48+AE49</f>
        <v>3729</v>
      </c>
      <c r="AF50" s="16">
        <f>+AF48+AF49</f>
        <v>3700</v>
      </c>
      <c r="AG50" s="16">
        <f t="shared" ref="AG50:AH50" si="54">AG48+AG49</f>
        <v>3802</v>
      </c>
      <c r="AH50" s="16">
        <f t="shared" si="54"/>
        <v>3614</v>
      </c>
      <c r="AI50" s="16">
        <f t="shared" ref="AI50:AJ50" si="55">AI48+AI49</f>
        <v>4003</v>
      </c>
      <c r="AJ50" s="16">
        <f t="shared" si="55"/>
        <v>4395</v>
      </c>
      <c r="AK50" s="16">
        <f t="shared" ref="AK50:AQ50" si="56">AK48+AK49</f>
        <v>6904</v>
      </c>
      <c r="AL50" s="16">
        <f t="shared" si="56"/>
        <v>7113</v>
      </c>
      <c r="AM50" s="16">
        <f t="shared" si="56"/>
        <v>5980</v>
      </c>
      <c r="AN50" s="16">
        <f t="shared" si="56"/>
        <v>6338</v>
      </c>
      <c r="AO50" s="16">
        <f t="shared" si="56"/>
        <v>6751</v>
      </c>
      <c r="AP50" s="16">
        <f t="shared" si="56"/>
        <v>6762</v>
      </c>
      <c r="AQ50" s="16">
        <f t="shared" si="56"/>
        <v>6592</v>
      </c>
      <c r="AR50" s="16">
        <f t="shared" ref="AR50:AT50" si="57">AR48+AR49</f>
        <v>7433</v>
      </c>
      <c r="AS50" s="16">
        <f t="shared" si="57"/>
        <v>7664.2699999999986</v>
      </c>
      <c r="AT50" s="16">
        <f t="shared" si="57"/>
        <v>7503.2149999999974</v>
      </c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>
        <f>+BK48+BK49</f>
        <v>25831</v>
      </c>
      <c r="BL50" s="16">
        <f>+BL48+BL49</f>
        <v>29192.484999999997</v>
      </c>
      <c r="BM50" s="16">
        <f t="shared" ref="BM50:BT50" si="58">+BM48+BM49</f>
        <v>29798.134229999989</v>
      </c>
      <c r="BN50" s="16">
        <f t="shared" si="58"/>
        <v>30002.517147399994</v>
      </c>
      <c r="BO50" s="16">
        <f t="shared" si="58"/>
        <v>30933.485435597009</v>
      </c>
      <c r="BP50" s="16">
        <f t="shared" si="58"/>
        <v>30128.94996872867</v>
      </c>
      <c r="BQ50" s="16">
        <f t="shared" si="58"/>
        <v>29614.985303988702</v>
      </c>
      <c r="BR50" s="16">
        <f t="shared" si="58"/>
        <v>28343.823653027343</v>
      </c>
      <c r="BS50" s="16">
        <f t="shared" si="58"/>
        <v>27977.754963485968</v>
      </c>
      <c r="BT50" s="16">
        <f t="shared" si="58"/>
        <v>22130.526927251514</v>
      </c>
    </row>
    <row r="51" spans="2:199" s="15" customFormat="1" x14ac:dyDescent="0.15">
      <c r="B51" s="15" t="s">
        <v>17</v>
      </c>
      <c r="C51" s="16"/>
      <c r="D51" s="16"/>
      <c r="E51" s="16"/>
      <c r="F51" s="16"/>
      <c r="G51" s="16">
        <v>271</v>
      </c>
      <c r="H51" s="16"/>
      <c r="I51" s="16">
        <v>322</v>
      </c>
      <c r="J51" s="16"/>
      <c r="K51" s="16"/>
      <c r="L51" s="16">
        <v>335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>
        <v>326</v>
      </c>
      <c r="AD51" s="16">
        <v>289</v>
      </c>
      <c r="AE51" s="16">
        <v>274</v>
      </c>
      <c r="AF51" s="16">
        <v>324</v>
      </c>
      <c r="AG51" s="16">
        <v>334</v>
      </c>
      <c r="AH51" s="16">
        <v>320</v>
      </c>
      <c r="AI51" s="16">
        <v>390</v>
      </c>
      <c r="AJ51" s="16">
        <v>501</v>
      </c>
      <c r="AK51" s="16">
        <v>668</v>
      </c>
      <c r="AL51" s="16">
        <v>686</v>
      </c>
      <c r="AM51" s="16">
        <v>738</v>
      </c>
      <c r="AN51" s="16">
        <f>799+3</f>
        <v>802</v>
      </c>
      <c r="AO51" s="16">
        <f>862+1</f>
        <v>863</v>
      </c>
      <c r="AP51" s="16">
        <f>6764-5919</f>
        <v>845</v>
      </c>
      <c r="AQ51" s="16">
        <v>778</v>
      </c>
      <c r="AR51" s="16">
        <v>965</v>
      </c>
      <c r="AS51" s="16">
        <f>+AS50*0.15</f>
        <v>1149.6404999999997</v>
      </c>
      <c r="AT51" s="16">
        <f>+AT50*0.15</f>
        <v>1125.4822499999996</v>
      </c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>
        <f t="shared" ref="BK51" si="59">SUM(AM51:AP51)</f>
        <v>3248</v>
      </c>
      <c r="BL51" s="16">
        <f t="shared" ref="BL51" si="60">SUM(AQ51:AT51)</f>
        <v>4018.1227499999991</v>
      </c>
      <c r="BM51" s="16">
        <f>+BM50*0.15</f>
        <v>4469.7201344999985</v>
      </c>
      <c r="BN51" s="16">
        <f t="shared" ref="BN51:BT51" si="61">+BN50*0.15</f>
        <v>4500.3775721099992</v>
      </c>
      <c r="BO51" s="16">
        <f t="shared" si="61"/>
        <v>4640.022815339551</v>
      </c>
      <c r="BP51" s="16">
        <f t="shared" si="61"/>
        <v>4519.3424953092999</v>
      </c>
      <c r="BQ51" s="16">
        <f t="shared" si="61"/>
        <v>4442.2477955983049</v>
      </c>
      <c r="BR51" s="16">
        <f t="shared" si="61"/>
        <v>4251.5735479541008</v>
      </c>
      <c r="BS51" s="16">
        <f t="shared" si="61"/>
        <v>4196.6632445228952</v>
      </c>
      <c r="BT51" s="16">
        <f t="shared" si="61"/>
        <v>3319.5790390877269</v>
      </c>
    </row>
    <row r="52" spans="2:199" s="15" customFormat="1" x14ac:dyDescent="0.15">
      <c r="B52" s="15" t="s">
        <v>16</v>
      </c>
      <c r="C52" s="16"/>
      <c r="D52" s="16"/>
      <c r="E52" s="16"/>
      <c r="F52" s="16"/>
      <c r="G52" s="16">
        <f>+G50-G51</f>
        <v>968</v>
      </c>
      <c r="H52" s="16"/>
      <c r="I52" s="16">
        <f>+I50-I51</f>
        <v>1184</v>
      </c>
      <c r="J52" s="16"/>
      <c r="K52" s="16"/>
      <c r="L52" s="16">
        <f>+L50-L51</f>
        <v>1335</v>
      </c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>
        <f>+AC50-AC51</f>
        <v>3255</v>
      </c>
      <c r="AD52" s="16">
        <f>+AD50-AD51</f>
        <v>2862</v>
      </c>
      <c r="AE52" s="16">
        <f>+AE50-AE51</f>
        <v>3455</v>
      </c>
      <c r="AF52" s="16">
        <f>+AF50-AF51</f>
        <v>3376</v>
      </c>
      <c r="AG52" s="16">
        <f t="shared" ref="AG52:AH52" si="62">AG50-AG51</f>
        <v>3468</v>
      </c>
      <c r="AH52" s="16">
        <f t="shared" si="62"/>
        <v>3294</v>
      </c>
      <c r="AI52" s="16">
        <f t="shared" ref="AI52:AJ52" si="63">AI50-AI51</f>
        <v>3613</v>
      </c>
      <c r="AJ52" s="16">
        <f t="shared" si="63"/>
        <v>3894</v>
      </c>
      <c r="AK52" s="16">
        <f t="shared" ref="AK52:AQ52" si="64">AK50-AK51</f>
        <v>6236</v>
      </c>
      <c r="AL52" s="16">
        <f t="shared" si="64"/>
        <v>6427</v>
      </c>
      <c r="AM52" s="16">
        <f t="shared" si="64"/>
        <v>5242</v>
      </c>
      <c r="AN52" s="16">
        <f t="shared" si="64"/>
        <v>5536</v>
      </c>
      <c r="AO52" s="16">
        <f t="shared" si="64"/>
        <v>5888</v>
      </c>
      <c r="AP52" s="16">
        <f t="shared" si="64"/>
        <v>5917</v>
      </c>
      <c r="AQ52" s="16">
        <f t="shared" si="64"/>
        <v>5814</v>
      </c>
      <c r="AR52" s="16">
        <f t="shared" ref="AR52:AT52" si="65">AR50-AR51</f>
        <v>6468</v>
      </c>
      <c r="AS52" s="16">
        <f t="shared" si="65"/>
        <v>6514.6294999999991</v>
      </c>
      <c r="AT52" s="16">
        <f t="shared" si="65"/>
        <v>6377.7327499999974</v>
      </c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>
        <f>+BK50-BK51</f>
        <v>22583</v>
      </c>
      <c r="BL52" s="16">
        <f>+BL50-BL51</f>
        <v>25174.362249999998</v>
      </c>
      <c r="BM52" s="16">
        <f>+BM50-BM51</f>
        <v>25328.414095499989</v>
      </c>
      <c r="BN52" s="16">
        <f t="shared" ref="BN52:BT52" si="66">+BN50-BN51</f>
        <v>25502.139575289995</v>
      </c>
      <c r="BO52" s="16">
        <f t="shared" si="66"/>
        <v>26293.462620257458</v>
      </c>
      <c r="BP52" s="16">
        <f t="shared" si="66"/>
        <v>25609.607473419368</v>
      </c>
      <c r="BQ52" s="16">
        <f t="shared" si="66"/>
        <v>25172.737508390397</v>
      </c>
      <c r="BR52" s="16">
        <f t="shared" si="66"/>
        <v>24092.250105073243</v>
      </c>
      <c r="BS52" s="16">
        <f t="shared" si="66"/>
        <v>23781.091718963071</v>
      </c>
      <c r="BT52" s="16">
        <f t="shared" si="66"/>
        <v>18810.947888163788</v>
      </c>
      <c r="BU52" s="15">
        <f>BT52*(1+$BW$55)</f>
        <v>18622.838409282151</v>
      </c>
      <c r="BV52" s="15">
        <f t="shared" ref="BV52:EG52" si="67">BU52*(1+$BW$55)</f>
        <v>18436.610025189329</v>
      </c>
      <c r="BW52" s="15">
        <f t="shared" si="67"/>
        <v>18252.243924937437</v>
      </c>
      <c r="BX52" s="15">
        <f t="shared" si="67"/>
        <v>18069.721485688064</v>
      </c>
      <c r="BY52" s="15">
        <f t="shared" si="67"/>
        <v>17889.024270831182</v>
      </c>
      <c r="BZ52" s="15">
        <f t="shared" si="67"/>
        <v>17710.134028122869</v>
      </c>
      <c r="CA52" s="15">
        <f t="shared" si="67"/>
        <v>17533.032687841642</v>
      </c>
      <c r="CB52" s="15">
        <f t="shared" si="67"/>
        <v>17357.702360963227</v>
      </c>
      <c r="CC52" s="15">
        <f t="shared" si="67"/>
        <v>17184.125337353595</v>
      </c>
      <c r="CD52" s="15">
        <f t="shared" si="67"/>
        <v>17012.284083980059</v>
      </c>
      <c r="CE52" s="15">
        <f t="shared" si="67"/>
        <v>16842.161243140257</v>
      </c>
      <c r="CF52" s="15">
        <f t="shared" si="67"/>
        <v>16673.739630708853</v>
      </c>
      <c r="CG52" s="15">
        <f t="shared" si="67"/>
        <v>16507.002234401763</v>
      </c>
      <c r="CH52" s="15">
        <f t="shared" si="67"/>
        <v>16341.932212057745</v>
      </c>
      <c r="CI52" s="15">
        <f t="shared" si="67"/>
        <v>16178.512889937168</v>
      </c>
      <c r="CJ52" s="15">
        <f t="shared" si="67"/>
        <v>16016.727761037797</v>
      </c>
      <c r="CK52" s="15">
        <f t="shared" si="67"/>
        <v>15856.560483427418</v>
      </c>
      <c r="CL52" s="15">
        <f t="shared" si="67"/>
        <v>15697.994878593145</v>
      </c>
      <c r="CM52" s="15">
        <f t="shared" si="67"/>
        <v>15541.014929807214</v>
      </c>
      <c r="CN52" s="15">
        <f t="shared" si="67"/>
        <v>15385.604780509142</v>
      </c>
      <c r="CO52" s="15">
        <f t="shared" si="67"/>
        <v>15231.748732704051</v>
      </c>
      <c r="CP52" s="15">
        <f t="shared" si="67"/>
        <v>15079.431245377011</v>
      </c>
      <c r="CQ52" s="15">
        <f t="shared" si="67"/>
        <v>14928.63693292324</v>
      </c>
      <c r="CR52" s="15">
        <f t="shared" si="67"/>
        <v>14779.350563594007</v>
      </c>
      <c r="CS52" s="15">
        <f t="shared" si="67"/>
        <v>14631.557057958067</v>
      </c>
      <c r="CT52" s="15">
        <f t="shared" si="67"/>
        <v>14485.241487378486</v>
      </c>
      <c r="CU52" s="15">
        <f t="shared" si="67"/>
        <v>14340.3890725047</v>
      </c>
      <c r="CV52" s="15">
        <f t="shared" si="67"/>
        <v>14196.985181779653</v>
      </c>
      <c r="CW52" s="15">
        <f t="shared" si="67"/>
        <v>14055.015329961856</v>
      </c>
      <c r="CX52" s="15">
        <f t="shared" si="67"/>
        <v>13914.465176662237</v>
      </c>
      <c r="CY52" s="15">
        <f t="shared" si="67"/>
        <v>13775.320524895615</v>
      </c>
      <c r="CZ52" s="15">
        <f t="shared" si="67"/>
        <v>13637.567319646658</v>
      </c>
      <c r="DA52" s="15">
        <f t="shared" si="67"/>
        <v>13501.191646450192</v>
      </c>
      <c r="DB52" s="15">
        <f t="shared" si="67"/>
        <v>13366.17972998569</v>
      </c>
      <c r="DC52" s="15">
        <f t="shared" si="67"/>
        <v>13232.517932685832</v>
      </c>
      <c r="DD52" s="15">
        <f t="shared" si="67"/>
        <v>13100.192753358973</v>
      </c>
      <c r="DE52" s="15">
        <f t="shared" si="67"/>
        <v>12969.190825825384</v>
      </c>
      <c r="DF52" s="15">
        <f t="shared" si="67"/>
        <v>12839.498917567131</v>
      </c>
      <c r="DG52" s="15">
        <f t="shared" si="67"/>
        <v>12711.10392839146</v>
      </c>
      <c r="DH52" s="15">
        <f t="shared" si="67"/>
        <v>12583.992889107545</v>
      </c>
      <c r="DI52" s="15">
        <f t="shared" si="67"/>
        <v>12458.15296021647</v>
      </c>
      <c r="DJ52" s="15">
        <f t="shared" si="67"/>
        <v>12333.571430614305</v>
      </c>
      <c r="DK52" s="15">
        <f t="shared" si="67"/>
        <v>12210.235716308161</v>
      </c>
      <c r="DL52" s="15">
        <f t="shared" si="67"/>
        <v>12088.13335914508</v>
      </c>
      <c r="DM52" s="15">
        <f t="shared" si="67"/>
        <v>11967.252025553629</v>
      </c>
      <c r="DN52" s="15">
        <f t="shared" si="67"/>
        <v>11847.579505298092</v>
      </c>
      <c r="DO52" s="15">
        <f t="shared" si="67"/>
        <v>11729.103710245112</v>
      </c>
      <c r="DP52" s="15">
        <f t="shared" si="67"/>
        <v>11611.81267314266</v>
      </c>
      <c r="DQ52" s="15">
        <f t="shared" si="67"/>
        <v>11495.694546411234</v>
      </c>
      <c r="DR52" s="15">
        <f t="shared" si="67"/>
        <v>11380.737600947121</v>
      </c>
      <c r="DS52" s="15">
        <f t="shared" si="67"/>
        <v>11266.930224937649</v>
      </c>
      <c r="DT52" s="15">
        <f t="shared" si="67"/>
        <v>11154.260922688272</v>
      </c>
      <c r="DU52" s="15">
        <f t="shared" si="67"/>
        <v>11042.71831346139</v>
      </c>
      <c r="DV52" s="15">
        <f t="shared" si="67"/>
        <v>10932.291130326776</v>
      </c>
      <c r="DW52" s="15">
        <f t="shared" si="67"/>
        <v>10822.968219023507</v>
      </c>
      <c r="DX52" s="15">
        <f t="shared" si="67"/>
        <v>10714.738536833273</v>
      </c>
      <c r="DY52" s="15">
        <f t="shared" si="67"/>
        <v>10607.59115146494</v>
      </c>
      <c r="DZ52" s="15">
        <f t="shared" si="67"/>
        <v>10501.515239950289</v>
      </c>
      <c r="EA52" s="15">
        <f t="shared" si="67"/>
        <v>10396.500087550787</v>
      </c>
      <c r="EB52" s="15">
        <f t="shared" si="67"/>
        <v>10292.535086675278</v>
      </c>
      <c r="EC52" s="15">
        <f t="shared" si="67"/>
        <v>10189.609735808524</v>
      </c>
      <c r="ED52" s="15">
        <f t="shared" si="67"/>
        <v>10087.713638450439</v>
      </c>
      <c r="EE52" s="15">
        <f t="shared" si="67"/>
        <v>9986.8365020659348</v>
      </c>
      <c r="EF52" s="15">
        <f t="shared" si="67"/>
        <v>9886.9681370452763</v>
      </c>
      <c r="EG52" s="15">
        <f t="shared" si="67"/>
        <v>9788.0984556748226</v>
      </c>
      <c r="EH52" s="15">
        <f t="shared" ref="EH52:GQ52" si="68">EG52*(1+$BW$55)</f>
        <v>9690.2174711180742</v>
      </c>
      <c r="EI52" s="15">
        <f t="shared" si="68"/>
        <v>9593.315296406894</v>
      </c>
      <c r="EJ52" s="15">
        <f t="shared" si="68"/>
        <v>9497.3821434428246</v>
      </c>
      <c r="EK52" s="15">
        <f t="shared" si="68"/>
        <v>9402.4083220083958</v>
      </c>
      <c r="EL52" s="15">
        <f t="shared" si="68"/>
        <v>9308.3842387883124</v>
      </c>
      <c r="EM52" s="15">
        <f t="shared" si="68"/>
        <v>9215.3003964004292</v>
      </c>
      <c r="EN52" s="15">
        <f t="shared" si="68"/>
        <v>9123.1473924364254</v>
      </c>
      <c r="EO52" s="15">
        <f t="shared" si="68"/>
        <v>9031.9159185120607</v>
      </c>
      <c r="EP52" s="15">
        <f t="shared" si="68"/>
        <v>8941.5967593269397</v>
      </c>
      <c r="EQ52" s="15">
        <f t="shared" si="68"/>
        <v>8852.18079173367</v>
      </c>
      <c r="ER52" s="15">
        <f t="shared" si="68"/>
        <v>8763.6589838163327</v>
      </c>
      <c r="ES52" s="15">
        <f t="shared" si="68"/>
        <v>8676.0223939781699</v>
      </c>
      <c r="ET52" s="15">
        <f t="shared" si="68"/>
        <v>8589.2621700383879</v>
      </c>
      <c r="EU52" s="15">
        <f t="shared" si="68"/>
        <v>8503.3695483380034</v>
      </c>
      <c r="EV52" s="15">
        <f t="shared" si="68"/>
        <v>8418.3358528546232</v>
      </c>
      <c r="EW52" s="15">
        <f t="shared" si="68"/>
        <v>8334.1524943260774</v>
      </c>
      <c r="EX52" s="15">
        <f t="shared" si="68"/>
        <v>8250.8109693828173</v>
      </c>
      <c r="EY52" s="15">
        <f t="shared" si="68"/>
        <v>8168.302859688989</v>
      </c>
      <c r="EZ52" s="15">
        <f t="shared" si="68"/>
        <v>8086.619831092099</v>
      </c>
      <c r="FA52" s="15">
        <f t="shared" si="68"/>
        <v>8005.7536327811777</v>
      </c>
      <c r="FB52" s="15">
        <f t="shared" si="68"/>
        <v>7925.6960964533655</v>
      </c>
      <c r="FC52" s="15">
        <f t="shared" si="68"/>
        <v>7846.4391354888321</v>
      </c>
      <c r="FD52" s="15">
        <f t="shared" si="68"/>
        <v>7767.9747441339441</v>
      </c>
      <c r="FE52" s="15">
        <f t="shared" si="68"/>
        <v>7690.2949966926044</v>
      </c>
      <c r="FF52" s="15">
        <f t="shared" si="68"/>
        <v>7613.3920467256785</v>
      </c>
      <c r="FG52" s="15">
        <f t="shared" si="68"/>
        <v>7537.2581262584217</v>
      </c>
      <c r="FH52" s="15">
        <f t="shared" si="68"/>
        <v>7461.8855449958373</v>
      </c>
      <c r="FI52" s="15">
        <f t="shared" si="68"/>
        <v>7387.2666895458788</v>
      </c>
      <c r="FJ52" s="15">
        <f t="shared" si="68"/>
        <v>7313.3940226504201</v>
      </c>
      <c r="FK52" s="15">
        <f t="shared" si="68"/>
        <v>7240.2600824239162</v>
      </c>
      <c r="FL52" s="15">
        <f t="shared" si="68"/>
        <v>7167.8574815996772</v>
      </c>
      <c r="FM52" s="15">
        <f t="shared" si="68"/>
        <v>7096.1789067836808</v>
      </c>
      <c r="FN52" s="15">
        <f t="shared" si="68"/>
        <v>7025.2171177158443</v>
      </c>
      <c r="FO52" s="15">
        <f t="shared" si="68"/>
        <v>6954.9649465386856</v>
      </c>
      <c r="FP52" s="15">
        <f t="shared" si="68"/>
        <v>6885.4152970732985</v>
      </c>
      <c r="FQ52" s="15">
        <f t="shared" si="68"/>
        <v>6816.5611441025658</v>
      </c>
      <c r="FR52" s="15">
        <f t="shared" si="68"/>
        <v>6748.3955326615396</v>
      </c>
      <c r="FS52" s="15">
        <f t="shared" si="68"/>
        <v>6680.911577334924</v>
      </c>
      <c r="FT52" s="15">
        <f t="shared" si="68"/>
        <v>6614.1024615615743</v>
      </c>
      <c r="FU52" s="15">
        <f t="shared" si="68"/>
        <v>6547.9614369459587</v>
      </c>
      <c r="FV52" s="15">
        <f t="shared" si="68"/>
        <v>6482.4818225764993</v>
      </c>
      <c r="FW52" s="15">
        <f t="shared" si="68"/>
        <v>6417.6570043507345</v>
      </c>
      <c r="FX52" s="15">
        <f t="shared" si="68"/>
        <v>6353.4804343072274</v>
      </c>
      <c r="FY52" s="15">
        <f t="shared" si="68"/>
        <v>6289.9456299641552</v>
      </c>
      <c r="FZ52" s="15">
        <f t="shared" si="68"/>
        <v>6227.0461736645138</v>
      </c>
      <c r="GA52" s="15">
        <f t="shared" si="68"/>
        <v>6164.7757119278685</v>
      </c>
      <c r="GB52" s="15">
        <f t="shared" si="68"/>
        <v>6103.1279548085895</v>
      </c>
      <c r="GC52" s="15">
        <f t="shared" si="68"/>
        <v>6042.0966752605036</v>
      </c>
      <c r="GD52" s="15">
        <f t="shared" si="68"/>
        <v>5981.6757085078989</v>
      </c>
      <c r="GE52" s="15">
        <f t="shared" si="68"/>
        <v>5921.8589514228197</v>
      </c>
      <c r="GF52" s="15">
        <f t="shared" si="68"/>
        <v>5862.6403619085913</v>
      </c>
      <c r="GG52" s="15">
        <f t="shared" si="68"/>
        <v>5804.0139582895054</v>
      </c>
      <c r="GH52" s="15">
        <f t="shared" si="68"/>
        <v>5745.9738187066105</v>
      </c>
      <c r="GI52" s="15">
        <f t="shared" si="68"/>
        <v>5688.5140805195442</v>
      </c>
      <c r="GJ52" s="15">
        <f t="shared" si="68"/>
        <v>5631.6289397143491</v>
      </c>
      <c r="GK52" s="15">
        <f t="shared" si="68"/>
        <v>5575.3126503172052</v>
      </c>
      <c r="GL52" s="15">
        <f t="shared" si="68"/>
        <v>5519.5595238140331</v>
      </c>
      <c r="GM52" s="15">
        <f t="shared" si="68"/>
        <v>5464.3639285758927</v>
      </c>
      <c r="GN52" s="15">
        <f t="shared" si="68"/>
        <v>5409.7202892901341</v>
      </c>
      <c r="GO52" s="15">
        <f t="shared" si="68"/>
        <v>5355.6230863972323</v>
      </c>
      <c r="GP52" s="15">
        <f t="shared" si="68"/>
        <v>5302.0668555332595</v>
      </c>
      <c r="GQ52" s="15">
        <f t="shared" si="68"/>
        <v>5249.0461869779265</v>
      </c>
    </row>
    <row r="53" spans="2:199" s="14" customFormat="1" x14ac:dyDescent="0.15">
      <c r="B53" s="14" t="s">
        <v>15</v>
      </c>
      <c r="C53" s="3"/>
      <c r="D53" s="3"/>
      <c r="E53" s="3"/>
      <c r="F53" s="3"/>
      <c r="G53" s="3">
        <f>G52/G54</f>
        <v>0.60311526479750777</v>
      </c>
      <c r="H53" s="3"/>
      <c r="I53" s="3">
        <f>I52/I54</f>
        <v>0.74465408805031441</v>
      </c>
      <c r="J53" s="3"/>
      <c r="K53" s="3"/>
      <c r="L53" s="3">
        <f>L52/L54</f>
        <v>0.83022388059701491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>
        <f t="shared" ref="AC53" si="69">AC52/AC54</f>
        <v>2.1485148514851486</v>
      </c>
      <c r="AD53" s="3">
        <f t="shared" ref="AD53:AH53" si="70">AD52/AD54</f>
        <v>1.9131016042780749</v>
      </c>
      <c r="AE53" s="3" t="e">
        <f t="shared" si="70"/>
        <v>#DIV/0!</v>
      </c>
      <c r="AF53" s="3" t="e">
        <f t="shared" si="70"/>
        <v>#DIV/0!</v>
      </c>
      <c r="AG53" s="3">
        <f t="shared" ref="AG53" si="71">AG52/AG54</f>
        <v>2.3385030343897504</v>
      </c>
      <c r="AH53" s="3">
        <f t="shared" si="70"/>
        <v>2.2181818181818183</v>
      </c>
      <c r="AI53" s="3">
        <f t="shared" ref="AI53:AJ53" si="72">AI52/AI54</f>
        <v>2.4346361185983829</v>
      </c>
      <c r="AJ53" s="3">
        <f t="shared" si="72"/>
        <v>2.3642987249544625</v>
      </c>
      <c r="AK53" s="3">
        <f t="shared" ref="AK53:AQ53" si="73">AK52/AK54</f>
        <v>3.5152198421645999</v>
      </c>
      <c r="AL53" s="3">
        <f t="shared" si="73"/>
        <v>3.6188063063063063</v>
      </c>
      <c r="AM53" s="3">
        <f t="shared" si="73"/>
        <v>2.9532394366197181</v>
      </c>
      <c r="AN53" s="3">
        <f t="shared" si="73"/>
        <v>3.1171171171171173</v>
      </c>
      <c r="AO53" s="3">
        <f t="shared" si="73"/>
        <v>3.3134496342149689</v>
      </c>
      <c r="AP53" s="3">
        <f t="shared" si="73"/>
        <v>3.3278965129358831</v>
      </c>
      <c r="AQ53" s="3">
        <f t="shared" si="73"/>
        <v>3.2699662542182226</v>
      </c>
      <c r="AR53" s="3">
        <f t="shared" ref="AR53:AT53" si="74">AR52/AR54</f>
        <v>3.6418918918918921</v>
      </c>
      <c r="AS53" s="3">
        <f t="shared" si="74"/>
        <v>3.6681472409909905</v>
      </c>
      <c r="AT53" s="3">
        <f t="shared" si="74"/>
        <v>3.5910657376126109</v>
      </c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>
        <f>+BK52/BK54</f>
        <v>12.712074303405572</v>
      </c>
      <c r="BL53" s="3">
        <f>+BL52/BL54</f>
        <v>14.170764002251618</v>
      </c>
      <c r="BM53" s="3">
        <f>+BM52/BM54</f>
        <v>14.25748049282296</v>
      </c>
      <c r="BN53" s="3">
        <f t="shared" ref="BN53:BT53" si="75">+BN52/BN54</f>
        <v>14.355271362392342</v>
      </c>
      <c r="BO53" s="3">
        <f t="shared" si="75"/>
        <v>14.800710734735411</v>
      </c>
      <c r="BP53" s="3">
        <f t="shared" si="75"/>
        <v>14.415765535276876</v>
      </c>
      <c r="BQ53" s="3">
        <f t="shared" si="75"/>
        <v>14.16984942774579</v>
      </c>
      <c r="BR53" s="3">
        <f t="shared" si="75"/>
        <v>13.561638111496338</v>
      </c>
      <c r="BS53" s="3">
        <f t="shared" si="75"/>
        <v>13.386485628462184</v>
      </c>
      <c r="BT53" s="3">
        <f t="shared" si="75"/>
        <v>10.588768864713643</v>
      </c>
    </row>
    <row r="54" spans="2:199" s="15" customFormat="1" x14ac:dyDescent="0.15">
      <c r="B54" s="15" t="s">
        <v>14</v>
      </c>
      <c r="C54" s="16"/>
      <c r="D54" s="16"/>
      <c r="E54" s="16"/>
      <c r="F54" s="16"/>
      <c r="G54" s="16">
        <v>1605</v>
      </c>
      <c r="H54" s="16"/>
      <c r="I54" s="16">
        <v>1590</v>
      </c>
      <c r="J54" s="16"/>
      <c r="K54" s="16"/>
      <c r="L54" s="16">
        <v>1608</v>
      </c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>
        <v>1515</v>
      </c>
      <c r="AD54" s="16">
        <v>1496</v>
      </c>
      <c r="AE54" s="16"/>
      <c r="AF54" s="16"/>
      <c r="AG54" s="16">
        <v>1483</v>
      </c>
      <c r="AH54" s="16">
        <v>1485</v>
      </c>
      <c r="AI54" s="16">
        <v>1484</v>
      </c>
      <c r="AJ54" s="16">
        <v>1647</v>
      </c>
      <c r="AK54" s="16">
        <v>1774</v>
      </c>
      <c r="AL54" s="16">
        <v>1776</v>
      </c>
      <c r="AM54" s="16">
        <v>1775</v>
      </c>
      <c r="AN54" s="16">
        <v>1776</v>
      </c>
      <c r="AO54" s="16">
        <v>1777</v>
      </c>
      <c r="AP54" s="16">
        <v>1778</v>
      </c>
      <c r="AQ54" s="16">
        <v>1778</v>
      </c>
      <c r="AR54" s="16">
        <v>1776</v>
      </c>
      <c r="AS54" s="16">
        <f>+AR54</f>
        <v>1776</v>
      </c>
      <c r="AT54" s="16">
        <f>+AS54</f>
        <v>1776</v>
      </c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>
        <f>AVERAGE(AM54:AP54)</f>
        <v>1776.5</v>
      </c>
      <c r="BL54" s="16">
        <f>AVERAGE(AQ54:AT54)</f>
        <v>1776.5</v>
      </c>
      <c r="BM54" s="16">
        <f>BL54</f>
        <v>1776.5</v>
      </c>
      <c r="BN54" s="16">
        <f t="shared" ref="BN54:BT54" si="76">BM54</f>
        <v>1776.5</v>
      </c>
      <c r="BO54" s="16">
        <f t="shared" si="76"/>
        <v>1776.5</v>
      </c>
      <c r="BP54" s="16">
        <f t="shared" si="76"/>
        <v>1776.5</v>
      </c>
      <c r="BQ54" s="16">
        <f t="shared" si="76"/>
        <v>1776.5</v>
      </c>
      <c r="BR54" s="16">
        <f t="shared" si="76"/>
        <v>1776.5</v>
      </c>
      <c r="BS54" s="16">
        <f t="shared" si="76"/>
        <v>1776.5</v>
      </c>
      <c r="BT54" s="16">
        <f t="shared" si="76"/>
        <v>1776.5</v>
      </c>
      <c r="BV54" s="50" t="s">
        <v>262</v>
      </c>
      <c r="BW54" s="30">
        <v>0.06</v>
      </c>
    </row>
    <row r="55" spans="2:199" x14ac:dyDescent="0.15">
      <c r="BV55" s="47" t="s">
        <v>263</v>
      </c>
      <c r="BW55" s="30">
        <v>-0.01</v>
      </c>
    </row>
    <row r="56" spans="2:199" s="33" customFormat="1" x14ac:dyDescent="0.15">
      <c r="B56" s="33" t="s">
        <v>163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>
        <f t="shared" ref="AG56:AK56" si="77">+AG42/AC42-1</f>
        <v>2.9504613890237952E-2</v>
      </c>
      <c r="AH56" s="34">
        <f t="shared" si="77"/>
        <v>4.8043347381095725E-2</v>
      </c>
      <c r="AI56" s="34">
        <f t="shared" si="77"/>
        <v>0.10104752171691356</v>
      </c>
      <c r="AJ56" s="34">
        <f t="shared" si="77"/>
        <v>0.26287098728043601</v>
      </c>
      <c r="AK56" s="34">
        <f t="shared" si="77"/>
        <v>0.51928293430829098</v>
      </c>
      <c r="AL56" s="34">
        <f t="shared" ref="AL56:AQ56" si="78">+AL42/AH42-1</f>
        <v>0.59214154411764697</v>
      </c>
      <c r="AM56" s="34">
        <f t="shared" si="78"/>
        <v>0.50075414781297134</v>
      </c>
      <c r="AN56" s="34">
        <f t="shared" si="78"/>
        <v>0.3389928057553957</v>
      </c>
      <c r="AO56" s="34">
        <f t="shared" si="78"/>
        <v>0.11333643844123586</v>
      </c>
      <c r="AP56" s="34">
        <f t="shared" si="78"/>
        <v>7.4180978496175554E-2</v>
      </c>
      <c r="AQ56" s="34">
        <f t="shared" si="78"/>
        <v>4.6617703904135999E-2</v>
      </c>
      <c r="AR56" s="34">
        <f t="shared" ref="AR56" si="79">+AR42/AN42-1</f>
        <v>4.4702342574683085E-2</v>
      </c>
      <c r="AS56" s="34">
        <f>+AS42/AO42-1</f>
        <v>3.2770882722074957E-2</v>
      </c>
      <c r="AT56" s="34">
        <f t="shared" ref="AT56" si="80">+AT42/AP42-1</f>
        <v>2.3169420932419582E-2</v>
      </c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>
        <f>+BL42/BK42-1</f>
        <v>3.6383236520437734E-2</v>
      </c>
      <c r="BM56" s="34">
        <f t="shared" ref="BM56:BT56" si="81">+BM42/BL42-1</f>
        <v>-0.1834709467556338</v>
      </c>
      <c r="BN56" s="34">
        <f t="shared" si="81"/>
        <v>-3.0973976947297199E-3</v>
      </c>
      <c r="BO56" s="34">
        <f t="shared" si="81"/>
        <v>2.0502946810664113E-2</v>
      </c>
      <c r="BP56" s="34">
        <f t="shared" si="81"/>
        <v>-3.5170144691232363E-2</v>
      </c>
      <c r="BQ56" s="34">
        <f t="shared" si="81"/>
        <v>-2.686267808699061E-2</v>
      </c>
      <c r="BR56" s="34">
        <f t="shared" si="81"/>
        <v>-5.3283224268736218E-2</v>
      </c>
      <c r="BS56" s="34">
        <f t="shared" si="81"/>
        <v>-2.3859897448132328E-2</v>
      </c>
      <c r="BT56" s="34">
        <f t="shared" si="81"/>
        <v>-0.22558837848162649</v>
      </c>
      <c r="BV56" s="53" t="s">
        <v>265</v>
      </c>
      <c r="BW56" s="34" t="s">
        <v>216</v>
      </c>
    </row>
    <row r="57" spans="2:199" s="30" customFormat="1" x14ac:dyDescent="0.15">
      <c r="B57" s="32" t="s">
        <v>162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>
        <f t="shared" ref="AK57" si="82">+AK5/AG5-1</f>
        <v>4.1329011345218714E-2</v>
      </c>
      <c r="AL57" s="31">
        <f t="shared" ref="AL57:AT57" si="83">+AL5/AH5-1</f>
        <v>4.7793369941020902E-2</v>
      </c>
      <c r="AM57" s="31">
        <f t="shared" si="83"/>
        <v>3.4871358707208255E-2</v>
      </c>
      <c r="AN57" s="31">
        <f t="shared" si="83"/>
        <v>4.7756874095513657E-2</v>
      </c>
      <c r="AO57" s="31">
        <f t="shared" si="83"/>
        <v>5.5447470817120648E-2</v>
      </c>
      <c r="AP57" s="31">
        <f t="shared" si="83"/>
        <v>3.5326086956521729E-2</v>
      </c>
      <c r="AQ57" s="31">
        <f t="shared" si="83"/>
        <v>-2.6915964659954827E-2</v>
      </c>
      <c r="AR57" s="31">
        <f t="shared" si="83"/>
        <v>5.8208366219415941E-2</v>
      </c>
      <c r="AS57" s="31">
        <f>+AS5/AO5-1</f>
        <v>2.4700460829493176E-2</v>
      </c>
      <c r="AT57" s="31">
        <f t="shared" si="83"/>
        <v>1.0000000000000009E-2</v>
      </c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V57" s="33" t="s">
        <v>264</v>
      </c>
      <c r="BW57" s="17">
        <f>NPV(BW54,BM52:GQ52)+Main!K5-Main!K6</f>
        <v>256527.54045684857</v>
      </c>
    </row>
    <row r="58" spans="2:199" s="30" customFormat="1" x14ac:dyDescent="0.15">
      <c r="B58" s="32" t="s">
        <v>164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>
        <f t="shared" ref="AK58" si="84">+AK7/AG7-1</f>
        <v>8.9896579156722334E-2</v>
      </c>
      <c r="AL58" s="31">
        <f t="shared" ref="AL58:AT59" si="85">+AL7/AH7-1</f>
        <v>9.8765432098765427E-2</v>
      </c>
      <c r="AM58" s="31">
        <f t="shared" si="85"/>
        <v>2.9220779220779258E-2</v>
      </c>
      <c r="AN58" s="31">
        <f t="shared" si="85"/>
        <v>7.2204968944099335E-2</v>
      </c>
      <c r="AO58" s="31">
        <f t="shared" si="85"/>
        <v>2.9197080291971655E-3</v>
      </c>
      <c r="AP58" s="31">
        <f t="shared" si="85"/>
        <v>-2.73876404494382E-2</v>
      </c>
      <c r="AQ58" s="31">
        <f t="shared" si="85"/>
        <v>-7.4921135646687675E-2</v>
      </c>
      <c r="AR58" s="31">
        <f t="shared" si="85"/>
        <v>-0.17089065894279509</v>
      </c>
      <c r="AS58" s="31">
        <f>+AS7/AO7-1</f>
        <v>-0.17394468704512378</v>
      </c>
      <c r="AT58" s="31">
        <f t="shared" si="85"/>
        <v>-9.9999999999999978E-2</v>
      </c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V58" s="53" t="s">
        <v>266</v>
      </c>
      <c r="BW58" s="14">
        <f>BW57/Main!K3</f>
        <v>145.08684406212149</v>
      </c>
    </row>
    <row r="59" spans="2:199" s="30" customFormat="1" x14ac:dyDescent="0.15">
      <c r="B59" s="32" t="s">
        <v>161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>
        <f t="shared" ref="AK59" si="86">+AK8/AG8-1</f>
        <v>3.7802197802197801</v>
      </c>
      <c r="AL59" s="31">
        <f t="shared" si="85"/>
        <v>1.4305555555555554</v>
      </c>
      <c r="AM59" s="31">
        <f t="shared" si="85"/>
        <v>0.91333333333333333</v>
      </c>
      <c r="AN59" s="31">
        <f t="shared" si="85"/>
        <v>1.0424242424242425</v>
      </c>
      <c r="AO59" s="31">
        <f t="shared" si="85"/>
        <v>0.8298850574712644</v>
      </c>
      <c r="AP59" s="31">
        <f t="shared" si="85"/>
        <v>0.7047619047619047</v>
      </c>
      <c r="AQ59" s="31">
        <f t="shared" si="85"/>
        <v>0.63763066202090601</v>
      </c>
      <c r="AR59" s="31">
        <f t="shared" si="85"/>
        <v>0.85756676557863498</v>
      </c>
      <c r="AS59" s="31">
        <f>+AS8/AO8-1</f>
        <v>0.75502512562814061</v>
      </c>
      <c r="AT59" s="31">
        <f t="shared" si="85"/>
        <v>0.64999999999999991</v>
      </c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</row>
    <row r="60" spans="2:199" s="30" customFormat="1" x14ac:dyDescent="0.15">
      <c r="B60" s="45" t="s">
        <v>124</v>
      </c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52" t="s">
        <v>216</v>
      </c>
      <c r="AG60" s="52" t="s">
        <v>216</v>
      </c>
      <c r="AH60" s="52" t="s">
        <v>216</v>
      </c>
      <c r="AI60" s="52" t="s">
        <v>216</v>
      </c>
      <c r="AJ60" s="52" t="s">
        <v>216</v>
      </c>
      <c r="AK60" s="52" t="s">
        <v>216</v>
      </c>
      <c r="AL60" s="52" t="s">
        <v>216</v>
      </c>
      <c r="AM60" s="52" t="s">
        <v>216</v>
      </c>
      <c r="AN60" s="31">
        <f t="shared" ref="AN60:AT61" si="87">AN9/AJ9-1</f>
        <v>1.584070796460177</v>
      </c>
      <c r="AO60" s="31">
        <f t="shared" si="87"/>
        <v>0.38676844783715003</v>
      </c>
      <c r="AP60" s="31">
        <f t="shared" si="87"/>
        <v>0.26977687626774838</v>
      </c>
      <c r="AQ60" s="31">
        <f t="shared" si="87"/>
        <v>0.34381551362683438</v>
      </c>
      <c r="AR60" s="31">
        <f t="shared" si="87"/>
        <v>0.19006849315068486</v>
      </c>
      <c r="AS60" s="31">
        <f>AS9/AO9-1</f>
        <v>0.16880733944954129</v>
      </c>
      <c r="AT60" s="31">
        <f t="shared" si="87"/>
        <v>0.14999999999999991</v>
      </c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</row>
    <row r="61" spans="2:199" s="30" customFormat="1" x14ac:dyDescent="0.15">
      <c r="B61" s="45" t="s">
        <v>127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52" t="s">
        <v>216</v>
      </c>
      <c r="AG61" s="52" t="s">
        <v>216</v>
      </c>
      <c r="AH61" s="52" t="s">
        <v>216</v>
      </c>
      <c r="AI61" s="52" t="s">
        <v>216</v>
      </c>
      <c r="AJ61" s="52" t="s">
        <v>216</v>
      </c>
      <c r="AK61" s="52" t="s">
        <v>216</v>
      </c>
      <c r="AL61" s="52" t="s">
        <v>216</v>
      </c>
      <c r="AM61" s="52" t="s">
        <v>216</v>
      </c>
      <c r="AN61" s="31">
        <f t="shared" si="87"/>
        <v>1.0303030303030303</v>
      </c>
      <c r="AO61" s="31">
        <f t="shared" si="87"/>
        <v>0.23326959847036322</v>
      </c>
      <c r="AP61" s="31">
        <f t="shared" si="87"/>
        <v>0.18342151675485008</v>
      </c>
      <c r="AQ61" s="31">
        <f t="shared" si="87"/>
        <v>0.15413533834586457</v>
      </c>
      <c r="AR61" s="31">
        <f t="shared" si="87"/>
        <v>0.12437810945273631</v>
      </c>
      <c r="AS61" s="31">
        <f>AS10/AO10-1</f>
        <v>8.3720930232558111E-2</v>
      </c>
      <c r="AT61" s="31">
        <f t="shared" si="87"/>
        <v>0.14999999999999991</v>
      </c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</row>
    <row r="62" spans="2:199" s="30" customFormat="1" x14ac:dyDescent="0.15">
      <c r="B62" s="56" t="s">
        <v>268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52"/>
      <c r="AG62" s="57" t="s">
        <v>216</v>
      </c>
      <c r="AH62" s="57" t="s">
        <v>216</v>
      </c>
      <c r="AI62" s="57" t="s">
        <v>216</v>
      </c>
      <c r="AJ62" s="57" t="s">
        <v>216</v>
      </c>
      <c r="AK62" s="31">
        <f t="shared" ref="AK62:AT62" si="88">AK12/AG12-1</f>
        <v>14.357142857142858</v>
      </c>
      <c r="AL62" s="31">
        <f t="shared" si="88"/>
        <v>7.5151515151515156</v>
      </c>
      <c r="AM62" s="31">
        <f t="shared" si="88"/>
        <v>2.5232558139534884</v>
      </c>
      <c r="AN62" s="31">
        <f t="shared" si="88"/>
        <v>1.5369127516778525</v>
      </c>
      <c r="AO62" s="31">
        <f t="shared" si="88"/>
        <v>1.1069767441860465</v>
      </c>
      <c r="AP62" s="31">
        <f t="shared" si="88"/>
        <v>0.83985765124555156</v>
      </c>
      <c r="AQ62" s="31">
        <f t="shared" si="88"/>
        <v>0.53465346534653468</v>
      </c>
      <c r="AR62" s="31">
        <f t="shared" si="88"/>
        <v>0.56613756613756605</v>
      </c>
      <c r="AS62" s="31">
        <f t="shared" si="88"/>
        <v>0.53421633554083892</v>
      </c>
      <c r="AT62" s="31">
        <f t="shared" si="88"/>
        <v>0.19999999999999996</v>
      </c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</row>
    <row r="63" spans="2:199" s="30" customFormat="1" x14ac:dyDescent="0.15">
      <c r="B63" s="45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</row>
    <row r="64" spans="2:199" s="30" customFormat="1" x14ac:dyDescent="0.15">
      <c r="B64" s="45" t="s">
        <v>217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>
        <f>+AH44/AH42</f>
        <v>0.81560202205882348</v>
      </c>
      <c r="AI64" s="31">
        <f>+AI44/AI42</f>
        <v>0.82666202575704839</v>
      </c>
      <c r="AJ64" s="31">
        <f>+AJ44/AJ42</f>
        <v>0.82772182254196647</v>
      </c>
      <c r="AK64" s="31">
        <f>+AK44/AK42</f>
        <v>0.81664337835739786</v>
      </c>
      <c r="AL64" s="31">
        <f t="shared" ref="AL64:AT64" si="89">+AL44/AL42</f>
        <v>0.81793909655072883</v>
      </c>
      <c r="AM64" s="31">
        <f t="shared" si="89"/>
        <v>0.83880943177425593</v>
      </c>
      <c r="AN64" s="31">
        <f t="shared" si="89"/>
        <v>0.82240848198295002</v>
      </c>
      <c r="AO64" s="31">
        <f t="shared" si="89"/>
        <v>0.83175289359921911</v>
      </c>
      <c r="AP64" s="31">
        <f t="shared" si="89"/>
        <v>0.83555018137847648</v>
      </c>
      <c r="AQ64" s="31">
        <f t="shared" si="89"/>
        <v>0.84465947702762589</v>
      </c>
      <c r="AR64" s="31">
        <f t="shared" si="89"/>
        <v>0.85140231776726327</v>
      </c>
      <c r="AS64" s="31">
        <f t="shared" si="89"/>
        <v>0.85</v>
      </c>
      <c r="AT64" s="31">
        <f t="shared" si="89"/>
        <v>0.85</v>
      </c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>
        <f>+BK44/BK42</f>
        <v>0.8320622928619793</v>
      </c>
      <c r="BL64" s="31">
        <f>+BL44/BL42</f>
        <v>0.84910855358736248</v>
      </c>
      <c r="BM64" s="31"/>
      <c r="BN64" s="31"/>
      <c r="BO64" s="31"/>
      <c r="BP64" s="31"/>
      <c r="BQ64" s="31"/>
      <c r="BR64" s="31"/>
      <c r="BS64" s="31"/>
    </row>
    <row r="65" spans="2:71" s="30" customFormat="1" x14ac:dyDescent="0.15">
      <c r="B65" s="45" t="s">
        <v>218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>
        <f>+AH51/AH50</f>
        <v>8.8544548976203646E-2</v>
      </c>
      <c r="AI65" s="31">
        <f>+AI51/AI50</f>
        <v>9.7426929802648013E-2</v>
      </c>
      <c r="AJ65" s="31">
        <f>+AJ51/AJ50</f>
        <v>0.11399317406143344</v>
      </c>
      <c r="AK65" s="31">
        <f>+AK51/AK50</f>
        <v>9.6755504055619931E-2</v>
      </c>
      <c r="AL65" s="31">
        <f t="shared" ref="AL65:AT65" si="90">+AL51/AL50</f>
        <v>9.6443132292984679E-2</v>
      </c>
      <c r="AM65" s="31">
        <f t="shared" si="90"/>
        <v>0.1234113712374582</v>
      </c>
      <c r="AN65" s="31">
        <f t="shared" si="90"/>
        <v>0.12653834017040075</v>
      </c>
      <c r="AO65" s="31">
        <f t="shared" si="90"/>
        <v>0.12783291364242336</v>
      </c>
      <c r="AP65" s="31">
        <f t="shared" si="90"/>
        <v>0.12496302868973676</v>
      </c>
      <c r="AQ65" s="31">
        <f t="shared" si="90"/>
        <v>0.11802184466019418</v>
      </c>
      <c r="AR65" s="31">
        <f t="shared" si="90"/>
        <v>0.12982644961657475</v>
      </c>
      <c r="AS65" s="31">
        <f t="shared" si="90"/>
        <v>0.15</v>
      </c>
      <c r="AT65" s="31">
        <f t="shared" si="90"/>
        <v>0.15</v>
      </c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</row>
    <row r="67" spans="2:71" x14ac:dyDescent="0.15">
      <c r="B67" s="25" t="s">
        <v>151</v>
      </c>
      <c r="AQ67" s="16">
        <f>AQ68-AQ77</f>
        <v>-65642</v>
      </c>
      <c r="AR67" s="16">
        <f>AR68-AR77</f>
        <v>-62727</v>
      </c>
    </row>
    <row r="68" spans="2:71" s="15" customFormat="1" x14ac:dyDescent="0.15">
      <c r="B68" s="23" t="s">
        <v>55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>
        <f>6098+1474+260</f>
        <v>7832</v>
      </c>
      <c r="AR68" s="16">
        <f>8521+1440+244</f>
        <v>10205</v>
      </c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</row>
    <row r="69" spans="2:71" s="15" customFormat="1" x14ac:dyDescent="0.15">
      <c r="B69" s="23" t="s">
        <v>141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>
        <v>10733</v>
      </c>
      <c r="AR69" s="16">
        <v>11237</v>
      </c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</row>
    <row r="70" spans="2:71" s="15" customFormat="1" x14ac:dyDescent="0.15">
      <c r="B70" s="23" t="s">
        <v>142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>
        <v>3483</v>
      </c>
      <c r="AR70" s="16">
        <v>3396</v>
      </c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</row>
    <row r="71" spans="2:71" s="15" customFormat="1" x14ac:dyDescent="0.15">
      <c r="B71" s="23" t="s">
        <v>143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>
        <v>4721</v>
      </c>
      <c r="AR71" s="16">
        <v>4506</v>
      </c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</row>
    <row r="72" spans="2:71" s="15" customFormat="1" x14ac:dyDescent="0.15">
      <c r="B72" s="23" t="s">
        <v>144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>
        <v>5075</v>
      </c>
      <c r="AR72" s="16">
        <v>4958</v>
      </c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</row>
    <row r="73" spans="2:71" s="15" customFormat="1" x14ac:dyDescent="0.15">
      <c r="B73" s="23" t="s">
        <v>145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>
        <f>73986+32298</f>
        <v>106284</v>
      </c>
      <c r="AR73" s="16">
        <f>71823+32028</f>
        <v>103851</v>
      </c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</row>
    <row r="74" spans="2:71" s="15" customFormat="1" x14ac:dyDescent="0.15">
      <c r="B74" s="23" t="s">
        <v>12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>
        <v>5083</v>
      </c>
      <c r="AR74" s="16">
        <v>5033</v>
      </c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</row>
    <row r="75" spans="2:71" s="15" customFormat="1" x14ac:dyDescent="0.15">
      <c r="B75" s="23" t="s">
        <v>140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>
        <f>SUM(AQ68:AQ74)</f>
        <v>143211</v>
      </c>
      <c r="AR75" s="16">
        <f>SUM(AR68:AR74)</f>
        <v>143186</v>
      </c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</row>
    <row r="77" spans="2:71" s="15" customFormat="1" x14ac:dyDescent="0.15">
      <c r="B77" s="23" t="s">
        <v>56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>
        <f>12+9940+63522</f>
        <v>73474</v>
      </c>
      <c r="AR77" s="16">
        <f>17+61002+11913</f>
        <v>72932</v>
      </c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</row>
    <row r="78" spans="2:71" s="15" customFormat="1" x14ac:dyDescent="0.15">
      <c r="B78" s="23" t="s">
        <v>146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>
        <v>22569</v>
      </c>
      <c r="AR78" s="16">
        <v>22543</v>
      </c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</row>
    <row r="79" spans="2:71" s="15" customFormat="1" x14ac:dyDescent="0.15">
      <c r="B79" s="23" t="s">
        <v>147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>
        <v>2831</v>
      </c>
      <c r="AR79" s="16">
        <v>2255</v>
      </c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</row>
    <row r="80" spans="2:71" s="15" customFormat="1" x14ac:dyDescent="0.15">
      <c r="B80" s="23" t="s">
        <v>148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>
        <v>28023</v>
      </c>
      <c r="AR80" s="16">
        <v>30768</v>
      </c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</row>
    <row r="81" spans="2:71" s="15" customFormat="1" x14ac:dyDescent="0.15">
      <c r="B81" s="23" t="s">
        <v>149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>
        <v>16314</v>
      </c>
      <c r="AR81" s="16">
        <v>14688</v>
      </c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</row>
    <row r="82" spans="2:71" s="15" customFormat="1" x14ac:dyDescent="0.15">
      <c r="B82" s="23" t="s">
        <v>150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>
        <f>SUM(AQ77:AQ81)</f>
        <v>143211</v>
      </c>
      <c r="AR82" s="16">
        <f>SUM(AR77:AR81)</f>
        <v>143186</v>
      </c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zoomScale="160" zoomScaleNormal="160"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3" width="11" style="1" bestFit="1" customWidth="1"/>
    <col min="4" max="16384" width="9.1640625" style="1"/>
  </cols>
  <sheetData>
    <row r="1" spans="1:3" x14ac:dyDescent="0.15">
      <c r="A1" s="20" t="s">
        <v>80</v>
      </c>
    </row>
    <row r="2" spans="1:3" x14ac:dyDescent="0.15">
      <c r="B2" s="1" t="s">
        <v>81</v>
      </c>
      <c r="C2" s="1" t="s">
        <v>0</v>
      </c>
    </row>
    <row r="3" spans="1:3" x14ac:dyDescent="0.15">
      <c r="B3" s="1" t="s">
        <v>82</v>
      </c>
      <c r="C3" s="1" t="s">
        <v>83</v>
      </c>
    </row>
    <row r="4" spans="1:3" x14ac:dyDescent="0.15">
      <c r="B4" s="47" t="s">
        <v>246</v>
      </c>
      <c r="C4" s="47" t="s">
        <v>247</v>
      </c>
    </row>
    <row r="5" spans="1:3" x14ac:dyDescent="0.15">
      <c r="B5" s="26" t="s">
        <v>34</v>
      </c>
      <c r="C5" s="26" t="s">
        <v>152</v>
      </c>
    </row>
    <row r="6" spans="1:3" x14ac:dyDescent="0.15">
      <c r="B6" s="47" t="s">
        <v>58</v>
      </c>
      <c r="C6" s="26"/>
    </row>
    <row r="7" spans="1:3" x14ac:dyDescent="0.15">
      <c r="B7" s="47" t="s">
        <v>38</v>
      </c>
      <c r="C7" s="26"/>
    </row>
    <row r="8" spans="1:3" x14ac:dyDescent="0.15">
      <c r="B8" s="47" t="s">
        <v>248</v>
      </c>
    </row>
  </sheetData>
  <hyperlinks>
    <hyperlink ref="A1" location="Main!A1" display="Main" xr:uid="{00000000-0004-0000-0200-000000000000}"/>
  </hyperlink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CD00-8DD7-4577-927D-C0C84FF45CFB}">
  <dimension ref="A1:C10"/>
  <sheetViews>
    <sheetView workbookViewId="0">
      <selection activeCell="C11" sqref="C11"/>
    </sheetView>
  </sheetViews>
  <sheetFormatPr baseColWidth="10" defaultColWidth="9.1640625" defaultRowHeight="13" x14ac:dyDescent="0.15"/>
  <cols>
    <col min="1" max="1" width="5.5" style="42" bestFit="1" customWidth="1"/>
    <col min="2" max="2" width="8.83203125" style="42" bestFit="1" customWidth="1"/>
    <col min="3" max="16384" width="9.1640625" style="42"/>
  </cols>
  <sheetData>
    <row r="1" spans="1:3" x14ac:dyDescent="0.15">
      <c r="A1" s="20" t="s">
        <v>80</v>
      </c>
    </row>
    <row r="2" spans="1:3" x14ac:dyDescent="0.15">
      <c r="B2" s="42" t="s">
        <v>153</v>
      </c>
      <c r="C2" s="42" t="s">
        <v>212</v>
      </c>
    </row>
    <row r="3" spans="1:3" x14ac:dyDescent="0.15">
      <c r="B3" s="42" t="s">
        <v>200</v>
      </c>
      <c r="C3" s="42" t="s">
        <v>213</v>
      </c>
    </row>
    <row r="4" spans="1:3" x14ac:dyDescent="0.15">
      <c r="B4" s="42" t="s">
        <v>34</v>
      </c>
      <c r="C4" s="42" t="s">
        <v>231</v>
      </c>
    </row>
    <row r="5" spans="1:3" x14ac:dyDescent="0.15">
      <c r="B5" s="42" t="s">
        <v>27</v>
      </c>
      <c r="C5" s="42" t="s">
        <v>232</v>
      </c>
    </row>
    <row r="6" spans="1:3" x14ac:dyDescent="0.15">
      <c r="C6" s="42" t="s">
        <v>233</v>
      </c>
    </row>
    <row r="7" spans="1:3" x14ac:dyDescent="0.15">
      <c r="C7" s="42" t="s">
        <v>234</v>
      </c>
    </row>
    <row r="8" spans="1:3" x14ac:dyDescent="0.15">
      <c r="C8" s="42" t="s">
        <v>235</v>
      </c>
    </row>
    <row r="9" spans="1:3" x14ac:dyDescent="0.15">
      <c r="C9" s="42" t="s">
        <v>236</v>
      </c>
    </row>
    <row r="10" spans="1:3" x14ac:dyDescent="0.15">
      <c r="C10" s="42" t="s">
        <v>237</v>
      </c>
    </row>
  </sheetData>
  <hyperlinks>
    <hyperlink ref="A1" location="Main!A1" display="Main" xr:uid="{639A1BB6-F359-4563-B6A5-07855A7AD956}"/>
  </hyperlink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5731-AABB-421F-B236-A216837D7AE2}">
  <dimension ref="A1:C5"/>
  <sheetViews>
    <sheetView workbookViewId="0"/>
  </sheetViews>
  <sheetFormatPr baseColWidth="10" defaultColWidth="9.1640625" defaultRowHeight="13" x14ac:dyDescent="0.15"/>
  <cols>
    <col min="1" max="1" width="5" style="42" bestFit="1" customWidth="1"/>
    <col min="2" max="16384" width="9.1640625" style="42"/>
  </cols>
  <sheetData>
    <row r="1" spans="1:3" x14ac:dyDescent="0.15">
      <c r="A1" s="20" t="s">
        <v>80</v>
      </c>
    </row>
    <row r="2" spans="1:3" x14ac:dyDescent="0.15">
      <c r="B2" s="42" t="s">
        <v>153</v>
      </c>
      <c r="C2" s="42" t="s">
        <v>241</v>
      </c>
    </row>
    <row r="3" spans="1:3" x14ac:dyDescent="0.15">
      <c r="B3" s="42" t="s">
        <v>200</v>
      </c>
      <c r="C3" s="42" t="s">
        <v>238</v>
      </c>
    </row>
    <row r="4" spans="1:3" x14ac:dyDescent="0.15">
      <c r="B4" s="42" t="s">
        <v>34</v>
      </c>
      <c r="C4" s="42" t="s">
        <v>242</v>
      </c>
    </row>
    <row r="5" spans="1:3" x14ac:dyDescent="0.15">
      <c r="B5" s="42" t="s">
        <v>27</v>
      </c>
      <c r="C5" s="42" t="s">
        <v>243</v>
      </c>
    </row>
  </sheetData>
  <hyperlinks>
    <hyperlink ref="A1" location="Main!A1" display="Main" xr:uid="{53C2CF5B-69F3-4FC3-B3F6-C889667726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Main</vt:lpstr>
      <vt:lpstr>Model</vt:lpstr>
      <vt:lpstr>Humira</vt:lpstr>
      <vt:lpstr>Rinvoq</vt:lpstr>
      <vt:lpstr>Skyrizi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evan domingos - 2023</cp:lastModifiedBy>
  <dcterms:created xsi:type="dcterms:W3CDTF">2013-05-03T13:21:21Z</dcterms:created>
  <dcterms:modified xsi:type="dcterms:W3CDTF">2022-11-29T02:28:40Z</dcterms:modified>
</cp:coreProperties>
</file>