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wnloads/"/>
    </mc:Choice>
  </mc:AlternateContent>
  <xr:revisionPtr revIDLastSave="0" documentId="8_{9B26D1B9-6C90-D54A-B348-0CD5C6768784}" xr6:coauthVersionLast="47" xr6:coauthVersionMax="47" xr10:uidLastSave="{00000000-0000-0000-0000-000000000000}"/>
  <bookViews>
    <workbookView xWindow="-27220" yWindow="-1460" windowWidth="27500" windowHeight="17900" activeTab="2" xr2:uid="{319C79D3-530A-422D-B7D4-1569BBD88715}"/>
  </bookViews>
  <sheets>
    <sheet name="Cover" sheetId="1" r:id="rId1"/>
    <sheet name="Main" sheetId="6" r:id="rId2"/>
    <sheet name="Revenue Build" sheetId="3" r:id="rId3"/>
    <sheet name="P&amp;L GAAP" sheetId="2" r:id="rId4"/>
    <sheet name="BS" sheetId="4" r:id="rId5"/>
    <sheet name="CF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3" i="6" l="1"/>
  <c r="AE53" i="6"/>
  <c r="AC53" i="6"/>
  <c r="AB53" i="6"/>
  <c r="AA53" i="6"/>
  <c r="Z53" i="6"/>
  <c r="O53" i="6"/>
  <c r="N53" i="6"/>
  <c r="M53" i="6"/>
  <c r="L53" i="6"/>
  <c r="K53" i="6"/>
  <c r="J53" i="6"/>
  <c r="I53" i="6"/>
  <c r="H53" i="6"/>
  <c r="G53" i="6"/>
  <c r="F53" i="6"/>
  <c r="AF51" i="6"/>
  <c r="AE51" i="6"/>
  <c r="AD51" i="6"/>
  <c r="AC48" i="6"/>
  <c r="M48" i="6"/>
  <c r="K48" i="6"/>
  <c r="AF46" i="6"/>
  <c r="AE46" i="6"/>
  <c r="AD46" i="6"/>
  <c r="AE43" i="6"/>
  <c r="AC43" i="6"/>
  <c r="AB43" i="6"/>
  <c r="AA43" i="6"/>
  <c r="Z43" i="6"/>
  <c r="Y43" i="6"/>
  <c r="O43" i="6"/>
  <c r="N43" i="6"/>
  <c r="M43" i="6"/>
  <c r="L43" i="6"/>
  <c r="K43" i="6"/>
  <c r="AF43" i="6" s="1"/>
  <c r="J43" i="6"/>
  <c r="I43" i="6"/>
  <c r="H43" i="6"/>
  <c r="G43" i="6"/>
  <c r="F43" i="6"/>
  <c r="E43" i="6"/>
  <c r="D43" i="6"/>
  <c r="AD43" i="6" s="1"/>
  <c r="C43" i="6"/>
  <c r="B43" i="6"/>
  <c r="AC41" i="6"/>
  <c r="AB41" i="6"/>
  <c r="AA41" i="6"/>
  <c r="Z41" i="6"/>
  <c r="Y41" i="6"/>
  <c r="O41" i="6"/>
  <c r="N41" i="6"/>
  <c r="M41" i="6"/>
  <c r="L41" i="6"/>
  <c r="K41" i="6"/>
  <c r="AF41" i="6" s="1"/>
  <c r="J41" i="6"/>
  <c r="I41" i="6"/>
  <c r="H41" i="6"/>
  <c r="G41" i="6"/>
  <c r="AE41" i="6" s="1"/>
  <c r="F41" i="6"/>
  <c r="E41" i="6"/>
  <c r="D41" i="6"/>
  <c r="C41" i="6"/>
  <c r="AD41" i="6" s="1"/>
  <c r="B41" i="6"/>
  <c r="AC39" i="6"/>
  <c r="AB39" i="6"/>
  <c r="AA39" i="6"/>
  <c r="Z39" i="6"/>
  <c r="Y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F38" i="6"/>
  <c r="AE38" i="6"/>
  <c r="AD38" i="6"/>
  <c r="AF37" i="6"/>
  <c r="AE37" i="6"/>
  <c r="AE39" i="6" s="1"/>
  <c r="AD37" i="6"/>
  <c r="AD39" i="6" s="1"/>
  <c r="AF36" i="6"/>
  <c r="AF39" i="6" s="1"/>
  <c r="AE36" i="6"/>
  <c r="AD36" i="6"/>
  <c r="AC35" i="6"/>
  <c r="AC40" i="6" s="1"/>
  <c r="AC42" i="6" s="1"/>
  <c r="AC44" i="6" s="1"/>
  <c r="AC45" i="6" s="1"/>
  <c r="AB35" i="6"/>
  <c r="AB40" i="6" s="1"/>
  <c r="AB42" i="6" s="1"/>
  <c r="AB44" i="6" s="1"/>
  <c r="AB45" i="6" s="1"/>
  <c r="AA35" i="6"/>
  <c r="AA40" i="6" s="1"/>
  <c r="AA42" i="6" s="1"/>
  <c r="AA44" i="6" s="1"/>
  <c r="AA45" i="6" s="1"/>
  <c r="M35" i="6"/>
  <c r="M54" i="6" s="1"/>
  <c r="L35" i="6"/>
  <c r="L40" i="6" s="1"/>
  <c r="L42" i="6" s="1"/>
  <c r="L44" i="6" s="1"/>
  <c r="L45" i="6" s="1"/>
  <c r="K35" i="6"/>
  <c r="K40" i="6" s="1"/>
  <c r="K42" i="6" s="1"/>
  <c r="K44" i="6" s="1"/>
  <c r="K45" i="6" s="1"/>
  <c r="J35" i="6"/>
  <c r="J40" i="6" s="1"/>
  <c r="J42" i="6" s="1"/>
  <c r="J44" i="6" s="1"/>
  <c r="J45" i="6" s="1"/>
  <c r="E35" i="6"/>
  <c r="E54" i="6" s="1"/>
  <c r="D35" i="6"/>
  <c r="D40" i="6" s="1"/>
  <c r="D42" i="6" s="1"/>
  <c r="D44" i="6" s="1"/>
  <c r="D45" i="6" s="1"/>
  <c r="C35" i="6"/>
  <c r="C54" i="6" s="1"/>
  <c r="B35" i="6"/>
  <c r="B40" i="6" s="1"/>
  <c r="B42" i="6" s="1"/>
  <c r="B44" i="6" s="1"/>
  <c r="B45" i="6" s="1"/>
  <c r="AF34" i="6"/>
  <c r="AE34" i="6"/>
  <c r="AD34" i="6"/>
  <c r="AF33" i="6"/>
  <c r="AE33" i="6"/>
  <c r="AD33" i="6"/>
  <c r="AC31" i="6"/>
  <c r="AB31" i="6"/>
  <c r="AA31" i="6"/>
  <c r="AA48" i="6" s="1"/>
  <c r="Z31" i="6"/>
  <c r="Z35" i="6" s="1"/>
  <c r="Y31" i="6"/>
  <c r="Y35" i="6" s="1"/>
  <c r="V31" i="6"/>
  <c r="U31" i="6"/>
  <c r="T31" i="6"/>
  <c r="S31" i="6"/>
  <c r="R31" i="6"/>
  <c r="Q31" i="6"/>
  <c r="P31" i="6"/>
  <c r="O31" i="6"/>
  <c r="O48" i="6" s="1"/>
  <c r="N31" i="6"/>
  <c r="N35" i="6" s="1"/>
  <c r="M31" i="6"/>
  <c r="L31" i="6"/>
  <c r="K31" i="6"/>
  <c r="J31" i="6"/>
  <c r="I31" i="6"/>
  <c r="I48" i="6" s="1"/>
  <c r="H31" i="6"/>
  <c r="H48" i="6" s="1"/>
  <c r="G31" i="6"/>
  <c r="G48" i="6" s="1"/>
  <c r="F31" i="6"/>
  <c r="F48" i="6" s="1"/>
  <c r="E31" i="6"/>
  <c r="D31" i="6"/>
  <c r="C31" i="6"/>
  <c r="B31" i="6"/>
  <c r="AF29" i="6"/>
  <c r="AE29" i="6"/>
  <c r="AD29" i="6"/>
  <c r="AF28" i="6"/>
  <c r="AF31" i="6" s="1"/>
  <c r="AE28" i="6"/>
  <c r="AE31" i="6" s="1"/>
  <c r="AD28" i="6"/>
  <c r="AD31" i="6" s="1"/>
  <c r="AF26" i="6"/>
  <c r="AE26" i="6"/>
  <c r="AD26" i="6"/>
  <c r="AF25" i="6"/>
  <c r="AF52" i="6" s="1"/>
  <c r="AE25" i="6"/>
  <c r="AE52" i="6" s="1"/>
  <c r="AD25" i="6"/>
  <c r="AD52" i="6" s="1"/>
  <c r="AC25" i="6"/>
  <c r="AF24" i="6"/>
  <c r="AE24" i="6"/>
  <c r="AD24" i="6"/>
  <c r="AC24" i="6"/>
  <c r="AF23" i="6"/>
  <c r="AF50" i="6" s="1"/>
  <c r="AE23" i="6"/>
  <c r="AD23" i="6"/>
  <c r="AE50" i="6" s="1"/>
  <c r="AC23" i="6"/>
  <c r="AF22" i="6"/>
  <c r="AE22" i="6"/>
  <c r="AD22" i="6"/>
  <c r="AC22" i="6"/>
  <c r="AF21" i="6"/>
  <c r="AF49" i="6" s="1"/>
  <c r="AE21" i="6"/>
  <c r="AE49" i="6" s="1"/>
  <c r="AD21" i="6"/>
  <c r="AD49" i="6" s="1"/>
  <c r="AC21" i="6"/>
  <c r="AF19" i="6"/>
  <c r="AE19" i="6"/>
  <c r="AD19" i="6"/>
  <c r="AD53" i="6" s="1"/>
  <c r="AF16" i="6"/>
  <c r="AE16" i="6"/>
  <c r="AD16" i="6"/>
  <c r="AF13" i="6"/>
  <c r="AE13" i="6"/>
  <c r="AD13" i="6"/>
  <c r="L12" i="6"/>
  <c r="K12" i="6"/>
  <c r="O12" i="6" s="1"/>
  <c r="J12" i="6"/>
  <c r="N12" i="6" s="1"/>
  <c r="I12" i="6"/>
  <c r="M12" i="6" s="1"/>
  <c r="H12" i="6"/>
  <c r="G12" i="6"/>
  <c r="F12" i="6"/>
  <c r="Z11" i="6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G33" i="3"/>
  <c r="H33" i="3"/>
  <c r="I33" i="3"/>
  <c r="J33" i="3"/>
  <c r="K33" i="3"/>
  <c r="L33" i="3"/>
  <c r="M33" i="3"/>
  <c r="N33" i="3"/>
  <c r="F33" i="3"/>
  <c r="G25" i="3"/>
  <c r="H25" i="3"/>
  <c r="I25" i="3"/>
  <c r="J25" i="3"/>
  <c r="K25" i="3"/>
  <c r="L25" i="3"/>
  <c r="M25" i="3"/>
  <c r="N25" i="3"/>
  <c r="F25" i="3"/>
  <c r="G17" i="3"/>
  <c r="H17" i="3"/>
  <c r="I17" i="3"/>
  <c r="J17" i="3"/>
  <c r="K17" i="3"/>
  <c r="L17" i="3"/>
  <c r="M17" i="3"/>
  <c r="N17" i="3"/>
  <c r="F17" i="3"/>
  <c r="AF53" i="5"/>
  <c r="AC53" i="5"/>
  <c r="AB53" i="5"/>
  <c r="AA53" i="5"/>
  <c r="Z53" i="5"/>
  <c r="O53" i="5"/>
  <c r="N53" i="5"/>
  <c r="M53" i="5"/>
  <c r="L53" i="5"/>
  <c r="K53" i="5"/>
  <c r="J53" i="5"/>
  <c r="I53" i="5"/>
  <c r="H53" i="5"/>
  <c r="G53" i="5"/>
  <c r="F53" i="5"/>
  <c r="AC48" i="5"/>
  <c r="L48" i="5"/>
  <c r="K48" i="5"/>
  <c r="AF46" i="5"/>
  <c r="AE46" i="5"/>
  <c r="AD46" i="5"/>
  <c r="AE43" i="5"/>
  <c r="AC43" i="5"/>
  <c r="AB43" i="5"/>
  <c r="AA43" i="5"/>
  <c r="Z43" i="5"/>
  <c r="Y43" i="5"/>
  <c r="O43" i="5"/>
  <c r="N43" i="5"/>
  <c r="M43" i="5"/>
  <c r="L43" i="5"/>
  <c r="AF43" i="5" s="1"/>
  <c r="K43" i="5"/>
  <c r="J43" i="5"/>
  <c r="I43" i="5"/>
  <c r="H43" i="5"/>
  <c r="G43" i="5"/>
  <c r="F43" i="5"/>
  <c r="E43" i="5"/>
  <c r="D43" i="5"/>
  <c r="AD43" i="5" s="1"/>
  <c r="C43" i="5"/>
  <c r="B43" i="5"/>
  <c r="AC41" i="5"/>
  <c r="AB41" i="5"/>
  <c r="AA41" i="5"/>
  <c r="Z41" i="5"/>
  <c r="Y41" i="5"/>
  <c r="O41" i="5"/>
  <c r="N41" i="5"/>
  <c r="M41" i="5"/>
  <c r="L41" i="5"/>
  <c r="K41" i="5"/>
  <c r="AF41" i="5" s="1"/>
  <c r="J41" i="5"/>
  <c r="I41" i="5"/>
  <c r="H41" i="5"/>
  <c r="G41" i="5"/>
  <c r="AE41" i="5" s="1"/>
  <c r="F41" i="5"/>
  <c r="E41" i="5"/>
  <c r="D41" i="5"/>
  <c r="C41" i="5"/>
  <c r="AD41" i="5" s="1"/>
  <c r="B41" i="5"/>
  <c r="AC39" i="5"/>
  <c r="AB39" i="5"/>
  <c r="AA39" i="5"/>
  <c r="Z39" i="5"/>
  <c r="Y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F38" i="5"/>
  <c r="AE38" i="5"/>
  <c r="AD38" i="5"/>
  <c r="AF37" i="5"/>
  <c r="AF39" i="5" s="1"/>
  <c r="AE37" i="5"/>
  <c r="AE39" i="5" s="1"/>
  <c r="AD37" i="5"/>
  <c r="AD39" i="5" s="1"/>
  <c r="AF36" i="5"/>
  <c r="AE36" i="5"/>
  <c r="AD36" i="5"/>
  <c r="AC35" i="5"/>
  <c r="AC40" i="5" s="1"/>
  <c r="AC42" i="5" s="1"/>
  <c r="AC44" i="5" s="1"/>
  <c r="AC45" i="5" s="1"/>
  <c r="AB35" i="5"/>
  <c r="AB40" i="5" s="1"/>
  <c r="AB42" i="5" s="1"/>
  <c r="AB44" i="5" s="1"/>
  <c r="AB45" i="5" s="1"/>
  <c r="M35" i="5"/>
  <c r="M54" i="5" s="1"/>
  <c r="L35" i="5"/>
  <c r="L40" i="5" s="1"/>
  <c r="L42" i="5" s="1"/>
  <c r="L44" i="5" s="1"/>
  <c r="L45" i="5" s="1"/>
  <c r="K35" i="5"/>
  <c r="K40" i="5" s="1"/>
  <c r="K42" i="5" s="1"/>
  <c r="K44" i="5" s="1"/>
  <c r="K45" i="5" s="1"/>
  <c r="E35" i="5"/>
  <c r="E54" i="5" s="1"/>
  <c r="D35" i="5"/>
  <c r="D40" i="5" s="1"/>
  <c r="D42" i="5" s="1"/>
  <c r="D44" i="5" s="1"/>
  <c r="D45" i="5" s="1"/>
  <c r="C35" i="5"/>
  <c r="C40" i="5" s="1"/>
  <c r="C42" i="5" s="1"/>
  <c r="C44" i="5" s="1"/>
  <c r="C45" i="5" s="1"/>
  <c r="AF34" i="5"/>
  <c r="AE34" i="5"/>
  <c r="AD34" i="5"/>
  <c r="AF33" i="5"/>
  <c r="AE33" i="5"/>
  <c r="AD33" i="5"/>
  <c r="AC31" i="5"/>
  <c r="AB31" i="5"/>
  <c r="AB48" i="5" s="1"/>
  <c r="AA31" i="5"/>
  <c r="AA48" i="5" s="1"/>
  <c r="Z31" i="5"/>
  <c r="Z35" i="5" s="1"/>
  <c r="Y31" i="5"/>
  <c r="Y35" i="5" s="1"/>
  <c r="V31" i="5"/>
  <c r="U31" i="5"/>
  <c r="T31" i="5"/>
  <c r="S31" i="5"/>
  <c r="R31" i="5"/>
  <c r="Q31" i="5"/>
  <c r="P31" i="5"/>
  <c r="O31" i="5"/>
  <c r="O48" i="5" s="1"/>
  <c r="N31" i="5"/>
  <c r="N48" i="5" s="1"/>
  <c r="M31" i="5"/>
  <c r="M48" i="5" s="1"/>
  <c r="L31" i="5"/>
  <c r="K31" i="5"/>
  <c r="J31" i="5"/>
  <c r="J48" i="5" s="1"/>
  <c r="I31" i="5"/>
  <c r="I48" i="5" s="1"/>
  <c r="H31" i="5"/>
  <c r="H35" i="5" s="1"/>
  <c r="G31" i="5"/>
  <c r="G48" i="5" s="1"/>
  <c r="F31" i="5"/>
  <c r="F48" i="5" s="1"/>
  <c r="E31" i="5"/>
  <c r="D31" i="5"/>
  <c r="C31" i="5"/>
  <c r="B31" i="5"/>
  <c r="B35" i="5" s="1"/>
  <c r="AF29" i="5"/>
  <c r="AE29" i="5"/>
  <c r="AD29" i="5"/>
  <c r="AF28" i="5"/>
  <c r="AF31" i="5" s="1"/>
  <c r="AE28" i="5"/>
  <c r="AE31" i="5" s="1"/>
  <c r="AD28" i="5"/>
  <c r="AD31" i="5" s="1"/>
  <c r="AF26" i="5"/>
  <c r="AE26" i="5"/>
  <c r="AD26" i="5"/>
  <c r="AF25" i="5"/>
  <c r="AF52" i="5" s="1"/>
  <c r="AE25" i="5"/>
  <c r="AE52" i="5" s="1"/>
  <c r="AD25" i="5"/>
  <c r="AD52" i="5" s="1"/>
  <c r="AC25" i="5"/>
  <c r="AF24" i="5"/>
  <c r="AF51" i="5" s="1"/>
  <c r="AE24" i="5"/>
  <c r="AE51" i="5" s="1"/>
  <c r="AD24" i="5"/>
  <c r="AD51" i="5" s="1"/>
  <c r="AC24" i="5"/>
  <c r="AF23" i="5"/>
  <c r="AE23" i="5"/>
  <c r="AF50" i="5" s="1"/>
  <c r="AD23" i="5"/>
  <c r="AE50" i="5" s="1"/>
  <c r="AC23" i="5"/>
  <c r="AF22" i="5"/>
  <c r="AE22" i="5"/>
  <c r="AD22" i="5"/>
  <c r="AC22" i="5"/>
  <c r="AF21" i="5"/>
  <c r="AF49" i="5" s="1"/>
  <c r="AE21" i="5"/>
  <c r="AE49" i="5" s="1"/>
  <c r="AD21" i="5"/>
  <c r="AD49" i="5" s="1"/>
  <c r="AC21" i="5"/>
  <c r="AF19" i="5"/>
  <c r="AE19" i="5"/>
  <c r="AE53" i="5" s="1"/>
  <c r="AD19" i="5"/>
  <c r="AD53" i="5" s="1"/>
  <c r="AF16" i="5"/>
  <c r="AE16" i="5"/>
  <c r="AD16" i="5"/>
  <c r="AF13" i="5"/>
  <c r="AE13" i="5"/>
  <c r="AD13" i="5"/>
  <c r="M12" i="5"/>
  <c r="L12" i="5"/>
  <c r="K12" i="5"/>
  <c r="O12" i="5" s="1"/>
  <c r="J12" i="5"/>
  <c r="N12" i="5" s="1"/>
  <c r="I12" i="5"/>
  <c r="H12" i="5"/>
  <c r="G12" i="5"/>
  <c r="F12" i="5"/>
  <c r="Z11" i="5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F53" i="4"/>
  <c r="AE53" i="4"/>
  <c r="AC53" i="4"/>
  <c r="AB53" i="4"/>
  <c r="AA53" i="4"/>
  <c r="Z53" i="4"/>
  <c r="O53" i="4"/>
  <c r="N53" i="4"/>
  <c r="M53" i="4"/>
  <c r="L53" i="4"/>
  <c r="K53" i="4"/>
  <c r="J53" i="4"/>
  <c r="I53" i="4"/>
  <c r="H53" i="4"/>
  <c r="G53" i="4"/>
  <c r="F53" i="4"/>
  <c r="AF52" i="4"/>
  <c r="AF51" i="4"/>
  <c r="AD51" i="4"/>
  <c r="AC48" i="4"/>
  <c r="AB48" i="4"/>
  <c r="L48" i="4"/>
  <c r="K48" i="4"/>
  <c r="J48" i="4"/>
  <c r="AF46" i="4"/>
  <c r="AE46" i="4"/>
  <c r="AD46" i="4"/>
  <c r="AE43" i="4"/>
  <c r="AC43" i="4"/>
  <c r="AB43" i="4"/>
  <c r="AA43" i="4"/>
  <c r="Z43" i="4"/>
  <c r="Y43" i="4"/>
  <c r="O43" i="4"/>
  <c r="N43" i="4"/>
  <c r="M43" i="4"/>
  <c r="L43" i="4"/>
  <c r="K43" i="4"/>
  <c r="AF43" i="4" s="1"/>
  <c r="J43" i="4"/>
  <c r="I43" i="4"/>
  <c r="H43" i="4"/>
  <c r="G43" i="4"/>
  <c r="F43" i="4"/>
  <c r="E43" i="4"/>
  <c r="D43" i="4"/>
  <c r="C43" i="4"/>
  <c r="AD43" i="4" s="1"/>
  <c r="B43" i="4"/>
  <c r="AF41" i="4"/>
  <c r="AC41" i="4"/>
  <c r="AB41" i="4"/>
  <c r="AA41" i="4"/>
  <c r="Z41" i="4"/>
  <c r="Y41" i="4"/>
  <c r="O41" i="4"/>
  <c r="N41" i="4"/>
  <c r="M41" i="4"/>
  <c r="L41" i="4"/>
  <c r="K41" i="4"/>
  <c r="J41" i="4"/>
  <c r="I41" i="4"/>
  <c r="H41" i="4"/>
  <c r="G41" i="4"/>
  <c r="AE41" i="4" s="1"/>
  <c r="F41" i="4"/>
  <c r="E41" i="4"/>
  <c r="D41" i="4"/>
  <c r="C41" i="4"/>
  <c r="AD41" i="4" s="1"/>
  <c r="B41" i="4"/>
  <c r="E40" i="4"/>
  <c r="E42" i="4" s="1"/>
  <c r="E44" i="4" s="1"/>
  <c r="E45" i="4" s="1"/>
  <c r="AC39" i="4"/>
  <c r="AB39" i="4"/>
  <c r="AA39" i="4"/>
  <c r="Z39" i="4"/>
  <c r="Y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F38" i="4"/>
  <c r="AE38" i="4"/>
  <c r="AD38" i="4"/>
  <c r="AF37" i="4"/>
  <c r="AE37" i="4"/>
  <c r="AE39" i="4" s="1"/>
  <c r="AD37" i="4"/>
  <c r="AD39" i="4" s="1"/>
  <c r="AF36" i="4"/>
  <c r="AF39" i="4" s="1"/>
  <c r="AE36" i="4"/>
  <c r="AD36" i="4"/>
  <c r="AC35" i="4"/>
  <c r="AC40" i="4" s="1"/>
  <c r="AC42" i="4" s="1"/>
  <c r="AC44" i="4" s="1"/>
  <c r="AC45" i="4" s="1"/>
  <c r="AB35" i="4"/>
  <c r="AB54" i="4" s="1"/>
  <c r="AA35" i="4"/>
  <c r="L35" i="4"/>
  <c r="L40" i="4" s="1"/>
  <c r="L42" i="4" s="1"/>
  <c r="L44" i="4" s="1"/>
  <c r="L45" i="4" s="1"/>
  <c r="K35" i="4"/>
  <c r="K40" i="4" s="1"/>
  <c r="K42" i="4" s="1"/>
  <c r="K44" i="4" s="1"/>
  <c r="K45" i="4" s="1"/>
  <c r="J35" i="4"/>
  <c r="D35" i="4"/>
  <c r="D40" i="4" s="1"/>
  <c r="D42" i="4" s="1"/>
  <c r="D44" i="4" s="1"/>
  <c r="D45" i="4" s="1"/>
  <c r="C35" i="4"/>
  <c r="C54" i="4" s="1"/>
  <c r="B35" i="4"/>
  <c r="AF34" i="4"/>
  <c r="AE34" i="4"/>
  <c r="AD34" i="4"/>
  <c r="AF33" i="4"/>
  <c r="AE33" i="4"/>
  <c r="AD33" i="4"/>
  <c r="AE31" i="4"/>
  <c r="AC31" i="4"/>
  <c r="AB31" i="4"/>
  <c r="AA31" i="4"/>
  <c r="AA48" i="4" s="1"/>
  <c r="Z31" i="4"/>
  <c r="Z35" i="4" s="1"/>
  <c r="Y31" i="4"/>
  <c r="Y35" i="4" s="1"/>
  <c r="V31" i="4"/>
  <c r="U31" i="4"/>
  <c r="T31" i="4"/>
  <c r="S31" i="4"/>
  <c r="R31" i="4"/>
  <c r="Q31" i="4"/>
  <c r="P31" i="4"/>
  <c r="O31" i="4"/>
  <c r="O35" i="4" s="1"/>
  <c r="N31" i="4"/>
  <c r="N35" i="4" s="1"/>
  <c r="M31" i="4"/>
  <c r="L31" i="4"/>
  <c r="K31" i="4"/>
  <c r="J31" i="4"/>
  <c r="I31" i="4"/>
  <c r="I48" i="4" s="1"/>
  <c r="H31" i="4"/>
  <c r="H48" i="4" s="1"/>
  <c r="G31" i="4"/>
  <c r="G48" i="4" s="1"/>
  <c r="F31" i="4"/>
  <c r="F35" i="4" s="1"/>
  <c r="E31" i="4"/>
  <c r="E35" i="4" s="1"/>
  <c r="E54" i="4" s="1"/>
  <c r="D31" i="4"/>
  <c r="C31" i="4"/>
  <c r="B31" i="4"/>
  <c r="AF29" i="4"/>
  <c r="AE29" i="4"/>
  <c r="AD29" i="4"/>
  <c r="AF28" i="4"/>
  <c r="AF31" i="4" s="1"/>
  <c r="AE28" i="4"/>
  <c r="AD28" i="4"/>
  <c r="AD31" i="4" s="1"/>
  <c r="AF26" i="4"/>
  <c r="AE26" i="4"/>
  <c r="AD26" i="4"/>
  <c r="AF25" i="4"/>
  <c r="AE25" i="4"/>
  <c r="AE52" i="4" s="1"/>
  <c r="AD25" i="4"/>
  <c r="AC25" i="4"/>
  <c r="AF24" i="4"/>
  <c r="AE24" i="4"/>
  <c r="AD24" i="4"/>
  <c r="AE51" i="4" s="1"/>
  <c r="AC24" i="4"/>
  <c r="AF23" i="4"/>
  <c r="AE23" i="4"/>
  <c r="AF50" i="4" s="1"/>
  <c r="AD23" i="4"/>
  <c r="AE50" i="4" s="1"/>
  <c r="AC23" i="4"/>
  <c r="AD50" i="4" s="1"/>
  <c r="AF22" i="4"/>
  <c r="AE22" i="4"/>
  <c r="AD22" i="4"/>
  <c r="AC22" i="4"/>
  <c r="AF21" i="4"/>
  <c r="AF49" i="4" s="1"/>
  <c r="AE21" i="4"/>
  <c r="AE49" i="4" s="1"/>
  <c r="AD21" i="4"/>
  <c r="AC21" i="4"/>
  <c r="AF19" i="4"/>
  <c r="AE19" i="4"/>
  <c r="AD19" i="4"/>
  <c r="AD53" i="4" s="1"/>
  <c r="AF16" i="4"/>
  <c r="AE16" i="4"/>
  <c r="AD16" i="4"/>
  <c r="AF13" i="4"/>
  <c r="AE13" i="4"/>
  <c r="AD13" i="4"/>
  <c r="L12" i="4"/>
  <c r="K12" i="4"/>
  <c r="O12" i="4" s="1"/>
  <c r="J12" i="4"/>
  <c r="N12" i="4" s="1"/>
  <c r="I12" i="4"/>
  <c r="M12" i="4" s="1"/>
  <c r="H12" i="4"/>
  <c r="G12" i="4"/>
  <c r="F12" i="4"/>
  <c r="Z11" i="4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B50" i="3"/>
  <c r="AA50" i="3"/>
  <c r="Z50" i="3"/>
  <c r="Y50" i="3"/>
  <c r="X50" i="3"/>
  <c r="U50" i="3"/>
  <c r="T50" i="3"/>
  <c r="S50" i="3"/>
  <c r="R50" i="3"/>
  <c r="Q50" i="3"/>
  <c r="P50" i="3"/>
  <c r="O50" i="3"/>
  <c r="N50" i="3"/>
  <c r="N11" i="3" s="1"/>
  <c r="N32" i="3" s="1"/>
  <c r="M50" i="3"/>
  <c r="M11" i="3" s="1"/>
  <c r="L50" i="3"/>
  <c r="L11" i="3" s="1"/>
  <c r="K50" i="3"/>
  <c r="K11" i="3" s="1"/>
  <c r="J50" i="3"/>
  <c r="J11" i="3" s="1"/>
  <c r="I50" i="3"/>
  <c r="I11" i="3" s="1"/>
  <c r="H50" i="3"/>
  <c r="H11" i="3" s="1"/>
  <c r="G50" i="3"/>
  <c r="G11" i="3" s="1"/>
  <c r="G32" i="3" s="1"/>
  <c r="F50" i="3"/>
  <c r="F11" i="3" s="1"/>
  <c r="F32" i="3" s="1"/>
  <c r="E50" i="3"/>
  <c r="E11" i="3" s="1"/>
  <c r="D50" i="3"/>
  <c r="D11" i="3" s="1"/>
  <c r="C50" i="3"/>
  <c r="C11" i="3" s="1"/>
  <c r="B50" i="3"/>
  <c r="B11" i="3" s="1"/>
  <c r="AE48" i="3"/>
  <c r="AD48" i="3"/>
  <c r="AC48" i="3"/>
  <c r="AE47" i="3"/>
  <c r="AD47" i="3"/>
  <c r="AC47" i="3"/>
  <c r="AE45" i="3"/>
  <c r="AD45" i="3"/>
  <c r="AC45" i="3"/>
  <c r="AE43" i="3"/>
  <c r="AD43" i="3"/>
  <c r="AC43" i="3"/>
  <c r="AB43" i="3"/>
  <c r="AE41" i="3"/>
  <c r="AD41" i="3"/>
  <c r="AC41" i="3"/>
  <c r="AB41" i="3"/>
  <c r="AE39" i="3"/>
  <c r="AD39" i="3"/>
  <c r="AC39" i="3"/>
  <c r="AB39" i="3"/>
  <c r="AE37" i="3"/>
  <c r="AD37" i="3"/>
  <c r="AC37" i="3"/>
  <c r="AB37" i="3"/>
  <c r="AE35" i="3"/>
  <c r="AD35" i="3"/>
  <c r="AC35" i="3"/>
  <c r="AB35" i="3"/>
  <c r="AE31" i="3"/>
  <c r="AD31" i="3"/>
  <c r="AC31" i="3"/>
  <c r="AE23" i="3"/>
  <c r="AD23" i="3"/>
  <c r="AC23" i="3"/>
  <c r="AE15" i="3"/>
  <c r="AD15" i="3"/>
  <c r="AC15" i="3"/>
  <c r="H10" i="3"/>
  <c r="L10" i="3" s="1"/>
  <c r="G10" i="3"/>
  <c r="K10" i="3" s="1"/>
  <c r="F10" i="3"/>
  <c r="J10" i="3" s="1"/>
  <c r="N10" i="3" s="1"/>
  <c r="I10" i="3"/>
  <c r="M10" i="3" s="1"/>
  <c r="Y9" i="3"/>
  <c r="Z9" i="3" s="1"/>
  <c r="AA9" i="3" s="1"/>
  <c r="AB9" i="3" s="1"/>
  <c r="AC9" i="3" s="1"/>
  <c r="G12" i="2"/>
  <c r="K12" i="2" s="1"/>
  <c r="H12" i="2"/>
  <c r="L12" i="2" s="1"/>
  <c r="F12" i="2"/>
  <c r="J12" i="2" s="1"/>
  <c r="N12" i="2" s="1"/>
  <c r="I12" i="2"/>
  <c r="M12" i="2" s="1"/>
  <c r="AD35" i="6" l="1"/>
  <c r="AD48" i="6"/>
  <c r="AE35" i="6"/>
  <c r="AE48" i="6"/>
  <c r="N40" i="6"/>
  <c r="N42" i="6" s="1"/>
  <c r="N44" i="6" s="1"/>
  <c r="N45" i="6" s="1"/>
  <c r="N54" i="6"/>
  <c r="Y40" i="6"/>
  <c r="Y42" i="6" s="1"/>
  <c r="Y44" i="6" s="1"/>
  <c r="Y45" i="6" s="1"/>
  <c r="Y54" i="6"/>
  <c r="AF35" i="6"/>
  <c r="AF48" i="6"/>
  <c r="Z40" i="6"/>
  <c r="Z42" i="6" s="1"/>
  <c r="Z44" i="6" s="1"/>
  <c r="Z45" i="6" s="1"/>
  <c r="Z54" i="6"/>
  <c r="E40" i="6"/>
  <c r="E42" i="6" s="1"/>
  <c r="E44" i="6" s="1"/>
  <c r="E45" i="6" s="1"/>
  <c r="M40" i="6"/>
  <c r="M42" i="6" s="1"/>
  <c r="M44" i="6" s="1"/>
  <c r="M45" i="6" s="1"/>
  <c r="J48" i="6"/>
  <c r="AB48" i="6"/>
  <c r="AD50" i="6"/>
  <c r="L48" i="6"/>
  <c r="B54" i="6"/>
  <c r="J54" i="6"/>
  <c r="AA54" i="6"/>
  <c r="AB54" i="6"/>
  <c r="AC54" i="6"/>
  <c r="K54" i="6"/>
  <c r="F35" i="6"/>
  <c r="N48" i="6"/>
  <c r="L54" i="6"/>
  <c r="G35" i="6"/>
  <c r="H35" i="6"/>
  <c r="C40" i="6"/>
  <c r="C42" i="6" s="1"/>
  <c r="C44" i="6" s="1"/>
  <c r="C45" i="6" s="1"/>
  <c r="Z48" i="6"/>
  <c r="D54" i="6"/>
  <c r="O35" i="6"/>
  <c r="I35" i="6"/>
  <c r="F24" i="3"/>
  <c r="H12" i="3"/>
  <c r="H16" i="3"/>
  <c r="H24" i="3"/>
  <c r="H13" i="3"/>
  <c r="H32" i="3"/>
  <c r="I13" i="3"/>
  <c r="I12" i="3"/>
  <c r="I16" i="3"/>
  <c r="I32" i="3"/>
  <c r="I24" i="3"/>
  <c r="B32" i="3"/>
  <c r="B16" i="3"/>
  <c r="B24" i="3"/>
  <c r="F12" i="3"/>
  <c r="N12" i="3"/>
  <c r="J13" i="3"/>
  <c r="J12" i="3"/>
  <c r="J32" i="3"/>
  <c r="J16" i="3"/>
  <c r="J24" i="3"/>
  <c r="C24" i="3"/>
  <c r="C13" i="3"/>
  <c r="C32" i="3"/>
  <c r="C16" i="3"/>
  <c r="G12" i="3"/>
  <c r="K13" i="3"/>
  <c r="K32" i="3"/>
  <c r="K12" i="3"/>
  <c r="K16" i="3"/>
  <c r="K24" i="3"/>
  <c r="D24" i="3"/>
  <c r="D32" i="3"/>
  <c r="D13" i="3"/>
  <c r="D16" i="3"/>
  <c r="L24" i="3"/>
  <c r="L32" i="3"/>
  <c r="L13" i="3"/>
  <c r="L12" i="3"/>
  <c r="L16" i="3"/>
  <c r="E32" i="3"/>
  <c r="E24" i="3"/>
  <c r="E16" i="3"/>
  <c r="E13" i="3"/>
  <c r="F13" i="3"/>
  <c r="M32" i="3"/>
  <c r="M24" i="3"/>
  <c r="M16" i="3"/>
  <c r="M13" i="3"/>
  <c r="M12" i="3"/>
  <c r="G13" i="3"/>
  <c r="N13" i="3"/>
  <c r="G24" i="3"/>
  <c r="N24" i="3"/>
  <c r="G16" i="3"/>
  <c r="N16" i="3"/>
  <c r="F16" i="3"/>
  <c r="AE50" i="3"/>
  <c r="AC50" i="3"/>
  <c r="AD50" i="3"/>
  <c r="AD35" i="5"/>
  <c r="AD48" i="5"/>
  <c r="B54" i="5"/>
  <c r="B40" i="5"/>
  <c r="B42" i="5" s="1"/>
  <c r="B44" i="5" s="1"/>
  <c r="B45" i="5" s="1"/>
  <c r="AE35" i="5"/>
  <c r="AE48" i="5"/>
  <c r="AF35" i="5"/>
  <c r="AF48" i="5"/>
  <c r="Y40" i="5"/>
  <c r="Y42" i="5" s="1"/>
  <c r="Y44" i="5" s="1"/>
  <c r="Y45" i="5" s="1"/>
  <c r="Y54" i="5"/>
  <c r="Z40" i="5"/>
  <c r="Z42" i="5" s="1"/>
  <c r="Z44" i="5" s="1"/>
  <c r="Z45" i="5" s="1"/>
  <c r="Z54" i="5"/>
  <c r="H40" i="5"/>
  <c r="H42" i="5" s="1"/>
  <c r="H44" i="5" s="1"/>
  <c r="H45" i="5" s="1"/>
  <c r="H54" i="5"/>
  <c r="J35" i="5"/>
  <c r="AA35" i="5"/>
  <c r="E40" i="5"/>
  <c r="E42" i="5" s="1"/>
  <c r="E44" i="5" s="1"/>
  <c r="E45" i="5" s="1"/>
  <c r="M40" i="5"/>
  <c r="M42" i="5" s="1"/>
  <c r="M44" i="5" s="1"/>
  <c r="M45" i="5" s="1"/>
  <c r="AD50" i="5"/>
  <c r="C54" i="5"/>
  <c r="K54" i="5"/>
  <c r="AB54" i="5"/>
  <c r="F35" i="5"/>
  <c r="N35" i="5"/>
  <c r="D54" i="5"/>
  <c r="L54" i="5"/>
  <c r="AC54" i="5"/>
  <c r="G35" i="5"/>
  <c r="O35" i="5"/>
  <c r="H48" i="5"/>
  <c r="Z48" i="5"/>
  <c r="I35" i="5"/>
  <c r="O54" i="4"/>
  <c r="O40" i="4"/>
  <c r="O42" i="4" s="1"/>
  <c r="O44" i="4" s="1"/>
  <c r="O45" i="4" s="1"/>
  <c r="Y40" i="4"/>
  <c r="Y42" i="4" s="1"/>
  <c r="Y44" i="4" s="1"/>
  <c r="Y45" i="4" s="1"/>
  <c r="Y54" i="4"/>
  <c r="Z54" i="4"/>
  <c r="Z40" i="4"/>
  <c r="Z42" i="4" s="1"/>
  <c r="Z44" i="4" s="1"/>
  <c r="Z45" i="4" s="1"/>
  <c r="AA40" i="4"/>
  <c r="AA42" i="4" s="1"/>
  <c r="AA44" i="4" s="1"/>
  <c r="AA45" i="4" s="1"/>
  <c r="AA54" i="4"/>
  <c r="B40" i="4"/>
  <c r="B42" i="4" s="1"/>
  <c r="B44" i="4" s="1"/>
  <c r="B45" i="4" s="1"/>
  <c r="B54" i="4"/>
  <c r="AD35" i="4"/>
  <c r="AD48" i="4"/>
  <c r="AE48" i="4"/>
  <c r="AE35" i="4"/>
  <c r="M48" i="4"/>
  <c r="M35" i="4"/>
  <c r="AD49" i="4"/>
  <c r="AD52" i="4"/>
  <c r="AF35" i="4"/>
  <c r="AF48" i="4"/>
  <c r="F54" i="4"/>
  <c r="F40" i="4"/>
  <c r="F42" i="4" s="1"/>
  <c r="F44" i="4" s="1"/>
  <c r="F45" i="4" s="1"/>
  <c r="N40" i="4"/>
  <c r="N42" i="4" s="1"/>
  <c r="N44" i="4" s="1"/>
  <c r="N45" i="4" s="1"/>
  <c r="N54" i="4"/>
  <c r="J40" i="4"/>
  <c r="J42" i="4" s="1"/>
  <c r="J44" i="4" s="1"/>
  <c r="J45" i="4" s="1"/>
  <c r="J54" i="4"/>
  <c r="F48" i="4"/>
  <c r="N48" i="4"/>
  <c r="D54" i="4"/>
  <c r="L54" i="4"/>
  <c r="AC54" i="4"/>
  <c r="K54" i="4"/>
  <c r="G35" i="4"/>
  <c r="O48" i="4"/>
  <c r="H35" i="4"/>
  <c r="C40" i="4"/>
  <c r="C42" i="4" s="1"/>
  <c r="C44" i="4" s="1"/>
  <c r="C45" i="4" s="1"/>
  <c r="AB40" i="4"/>
  <c r="AB42" i="4" s="1"/>
  <c r="AB44" i="4" s="1"/>
  <c r="AB45" i="4" s="1"/>
  <c r="Z48" i="4"/>
  <c r="I35" i="4"/>
  <c r="Z56" i="2"/>
  <c r="Z54" i="2"/>
  <c r="AA66" i="2"/>
  <c r="Z66" i="2"/>
  <c r="Y66" i="2"/>
  <c r="Y56" i="2"/>
  <c r="Y54" i="2"/>
  <c r="X56" i="2"/>
  <c r="X54" i="2"/>
  <c r="Z51" i="2"/>
  <c r="Y51" i="2"/>
  <c r="X51" i="2"/>
  <c r="Z33" i="2"/>
  <c r="Z37" i="2" s="1"/>
  <c r="Z67" i="2" s="1"/>
  <c r="Y33" i="2"/>
  <c r="Y37" i="2" s="1"/>
  <c r="Y67" i="2" s="1"/>
  <c r="X33" i="2"/>
  <c r="X37" i="2" s="1"/>
  <c r="X67" i="2" s="1"/>
  <c r="AB25" i="2"/>
  <c r="AB24" i="2"/>
  <c r="AB23" i="2"/>
  <c r="AB22" i="2"/>
  <c r="AB21" i="2"/>
  <c r="AB66" i="2"/>
  <c r="AA56" i="2"/>
  <c r="AA54" i="2"/>
  <c r="AA51" i="2"/>
  <c r="AA33" i="2"/>
  <c r="AA37" i="2" s="1"/>
  <c r="AB56" i="2"/>
  <c r="AB54" i="2"/>
  <c r="AC59" i="2"/>
  <c r="AC47" i="2"/>
  <c r="AC44" i="2"/>
  <c r="AC41" i="2"/>
  <c r="AC36" i="2"/>
  <c r="AC35" i="2"/>
  <c r="AB51" i="2"/>
  <c r="AB33" i="2"/>
  <c r="AB37" i="2" s="1"/>
  <c r="AB67" i="2" s="1"/>
  <c r="AC29" i="2"/>
  <c r="AC28" i="2"/>
  <c r="AC26" i="2"/>
  <c r="AC25" i="2"/>
  <c r="AC24" i="2"/>
  <c r="AC23" i="2"/>
  <c r="AC22" i="2"/>
  <c r="AC21" i="2"/>
  <c r="AC19" i="2"/>
  <c r="AC66" i="2" s="1"/>
  <c r="AC16" i="2"/>
  <c r="AC13" i="2"/>
  <c r="AD59" i="2"/>
  <c r="AD47" i="2"/>
  <c r="AD44" i="2"/>
  <c r="AD41" i="2"/>
  <c r="AD36" i="2"/>
  <c r="AD35" i="2"/>
  <c r="AD16" i="2"/>
  <c r="AD13" i="2"/>
  <c r="AD19" i="2"/>
  <c r="AD26" i="2"/>
  <c r="AD25" i="2"/>
  <c r="AD24" i="2"/>
  <c r="AD23" i="2"/>
  <c r="AD22" i="2"/>
  <c r="AD21" i="2"/>
  <c r="AD29" i="2"/>
  <c r="AD28" i="2"/>
  <c r="AE59" i="2"/>
  <c r="AE47" i="2"/>
  <c r="AE44" i="2"/>
  <c r="AE41" i="2"/>
  <c r="AE36" i="2"/>
  <c r="AE35" i="2"/>
  <c r="AE29" i="2"/>
  <c r="AE28" i="2"/>
  <c r="AE26" i="2"/>
  <c r="AE25" i="2"/>
  <c r="AE24" i="2"/>
  <c r="AE23" i="2"/>
  <c r="AE22" i="2"/>
  <c r="AE21" i="2"/>
  <c r="AE19" i="2"/>
  <c r="AE16" i="2"/>
  <c r="AE13" i="2"/>
  <c r="Y11" i="2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U33" i="2"/>
  <c r="T33" i="2"/>
  <c r="S33" i="2"/>
  <c r="R33" i="2"/>
  <c r="Q33" i="2"/>
  <c r="P33" i="2"/>
  <c r="O33" i="2"/>
  <c r="C56" i="2"/>
  <c r="C54" i="2"/>
  <c r="C51" i="2"/>
  <c r="C33" i="2"/>
  <c r="C37" i="2" s="1"/>
  <c r="E66" i="2"/>
  <c r="E56" i="2"/>
  <c r="E54" i="2"/>
  <c r="E51" i="2"/>
  <c r="E33" i="2"/>
  <c r="E37" i="2" s="1"/>
  <c r="H66" i="2"/>
  <c r="G66" i="2"/>
  <c r="F66" i="2"/>
  <c r="I66" i="2"/>
  <c r="B56" i="2"/>
  <c r="B54" i="2"/>
  <c r="B51" i="2"/>
  <c r="B33" i="2"/>
  <c r="B37" i="2" s="1"/>
  <c r="B67" i="2" s="1"/>
  <c r="J66" i="2"/>
  <c r="F56" i="2"/>
  <c r="F54" i="2"/>
  <c r="F51" i="2"/>
  <c r="F33" i="2"/>
  <c r="F37" i="2" s="1"/>
  <c r="D56" i="2"/>
  <c r="D54" i="2"/>
  <c r="D51" i="2"/>
  <c r="D33" i="2"/>
  <c r="D37" i="2" s="1"/>
  <c r="K66" i="2"/>
  <c r="L66" i="2"/>
  <c r="G56" i="2"/>
  <c r="G54" i="2"/>
  <c r="G51" i="2"/>
  <c r="G33" i="2"/>
  <c r="G37" i="2" s="1"/>
  <c r="K56" i="2"/>
  <c r="K54" i="2"/>
  <c r="M66" i="2"/>
  <c r="I56" i="2"/>
  <c r="I54" i="2"/>
  <c r="I51" i="2"/>
  <c r="M56" i="2"/>
  <c r="M54" i="2"/>
  <c r="H56" i="2"/>
  <c r="H54" i="2"/>
  <c r="H51" i="2"/>
  <c r="L56" i="2"/>
  <c r="L54" i="2"/>
  <c r="N66" i="2"/>
  <c r="N56" i="2"/>
  <c r="J56" i="2"/>
  <c r="N54" i="2"/>
  <c r="J54" i="2"/>
  <c r="N51" i="2"/>
  <c r="M51" i="2"/>
  <c r="L51" i="2"/>
  <c r="K51" i="2"/>
  <c r="J51" i="2"/>
  <c r="M33" i="2"/>
  <c r="M37" i="2" s="1"/>
  <c r="L33" i="2"/>
  <c r="L37" i="2" s="1"/>
  <c r="K33" i="2"/>
  <c r="K37" i="2" s="1"/>
  <c r="J33" i="2"/>
  <c r="J37" i="2" s="1"/>
  <c r="I33" i="2"/>
  <c r="I37" i="2" s="1"/>
  <c r="I67" i="2" s="1"/>
  <c r="H33" i="2"/>
  <c r="H37" i="2" s="1"/>
  <c r="H67" i="2" s="1"/>
  <c r="N33" i="2"/>
  <c r="N37" i="2" s="1"/>
  <c r="AE54" i="6" l="1"/>
  <c r="AE40" i="6"/>
  <c r="AE42" i="6" s="1"/>
  <c r="AE44" i="6" s="1"/>
  <c r="AE45" i="6" s="1"/>
  <c r="G54" i="6"/>
  <c r="G40" i="6"/>
  <c r="G42" i="6" s="1"/>
  <c r="G44" i="6" s="1"/>
  <c r="G45" i="6" s="1"/>
  <c r="I40" i="6"/>
  <c r="I42" i="6" s="1"/>
  <c r="I44" i="6" s="1"/>
  <c r="I45" i="6" s="1"/>
  <c r="I54" i="6"/>
  <c r="H40" i="6"/>
  <c r="H42" i="6" s="1"/>
  <c r="H44" i="6" s="1"/>
  <c r="H45" i="6" s="1"/>
  <c r="H54" i="6"/>
  <c r="O54" i="6"/>
  <c r="O40" i="6"/>
  <c r="O42" i="6" s="1"/>
  <c r="O44" i="6" s="1"/>
  <c r="O45" i="6" s="1"/>
  <c r="F54" i="6"/>
  <c r="F40" i="6"/>
  <c r="F42" i="6" s="1"/>
  <c r="F44" i="6" s="1"/>
  <c r="F45" i="6" s="1"/>
  <c r="AF54" i="6"/>
  <c r="AF40" i="6"/>
  <c r="AF42" i="6" s="1"/>
  <c r="AF44" i="6" s="1"/>
  <c r="AF45" i="6" s="1"/>
  <c r="AD54" i="6"/>
  <c r="AD40" i="6"/>
  <c r="AD42" i="6" s="1"/>
  <c r="AD44" i="6" s="1"/>
  <c r="AD45" i="6" s="1"/>
  <c r="N54" i="5"/>
  <c r="N40" i="5"/>
  <c r="N42" i="5" s="1"/>
  <c r="N44" i="5" s="1"/>
  <c r="N45" i="5" s="1"/>
  <c r="AF54" i="5"/>
  <c r="AF40" i="5"/>
  <c r="AF42" i="5" s="1"/>
  <c r="AF44" i="5" s="1"/>
  <c r="AF45" i="5" s="1"/>
  <c r="I40" i="5"/>
  <c r="I42" i="5" s="1"/>
  <c r="I44" i="5" s="1"/>
  <c r="I45" i="5" s="1"/>
  <c r="I54" i="5"/>
  <c r="AE54" i="5"/>
  <c r="AE40" i="5"/>
  <c r="AE42" i="5" s="1"/>
  <c r="AE44" i="5" s="1"/>
  <c r="AE45" i="5" s="1"/>
  <c r="G54" i="5"/>
  <c r="G40" i="5"/>
  <c r="G42" i="5" s="1"/>
  <c r="G44" i="5" s="1"/>
  <c r="G45" i="5" s="1"/>
  <c r="AA40" i="5"/>
  <c r="AA42" i="5" s="1"/>
  <c r="AA44" i="5" s="1"/>
  <c r="AA45" i="5" s="1"/>
  <c r="AA54" i="5"/>
  <c r="F54" i="5"/>
  <c r="F40" i="5"/>
  <c r="F42" i="5" s="1"/>
  <c r="F44" i="5" s="1"/>
  <c r="F45" i="5" s="1"/>
  <c r="J40" i="5"/>
  <c r="J42" i="5" s="1"/>
  <c r="J44" i="5" s="1"/>
  <c r="J45" i="5" s="1"/>
  <c r="J54" i="5"/>
  <c r="O54" i="5"/>
  <c r="O40" i="5"/>
  <c r="O42" i="5" s="1"/>
  <c r="O44" i="5" s="1"/>
  <c r="O45" i="5" s="1"/>
  <c r="AD54" i="5"/>
  <c r="AD40" i="5"/>
  <c r="AD42" i="5" s="1"/>
  <c r="AD44" i="5" s="1"/>
  <c r="AD45" i="5" s="1"/>
  <c r="AE54" i="4"/>
  <c r="AE40" i="4"/>
  <c r="AE42" i="4" s="1"/>
  <c r="AE44" i="4" s="1"/>
  <c r="AE45" i="4" s="1"/>
  <c r="H40" i="4"/>
  <c r="H42" i="4" s="1"/>
  <c r="H44" i="4" s="1"/>
  <c r="H45" i="4" s="1"/>
  <c r="H54" i="4"/>
  <c r="AF54" i="4"/>
  <c r="AF40" i="4"/>
  <c r="AF42" i="4" s="1"/>
  <c r="AF44" i="4" s="1"/>
  <c r="AF45" i="4" s="1"/>
  <c r="M54" i="4"/>
  <c r="M40" i="4"/>
  <c r="M42" i="4" s="1"/>
  <c r="M44" i="4" s="1"/>
  <c r="M45" i="4" s="1"/>
  <c r="I40" i="4"/>
  <c r="I42" i="4" s="1"/>
  <c r="I44" i="4" s="1"/>
  <c r="I45" i="4" s="1"/>
  <c r="I54" i="4"/>
  <c r="AD54" i="4"/>
  <c r="AD40" i="4"/>
  <c r="AD42" i="4" s="1"/>
  <c r="AD44" i="4" s="1"/>
  <c r="AD45" i="4" s="1"/>
  <c r="G54" i="4"/>
  <c r="G40" i="4"/>
  <c r="G42" i="4" s="1"/>
  <c r="G44" i="4" s="1"/>
  <c r="G45" i="4" s="1"/>
  <c r="X53" i="2"/>
  <c r="X55" i="2" s="1"/>
  <c r="X57" i="2" s="1"/>
  <c r="X58" i="2" s="1"/>
  <c r="Y53" i="2"/>
  <c r="Y55" i="2" s="1"/>
  <c r="Y57" i="2" s="1"/>
  <c r="Y58" i="2" s="1"/>
  <c r="Z53" i="2"/>
  <c r="Z55" i="2" s="1"/>
  <c r="Z57" i="2" s="1"/>
  <c r="Z58" i="2" s="1"/>
  <c r="AD65" i="2"/>
  <c r="AC62" i="2"/>
  <c r="AD63" i="2"/>
  <c r="AC64" i="2"/>
  <c r="Y61" i="2"/>
  <c r="AE65" i="2"/>
  <c r="AE64" i="2"/>
  <c r="AE33" i="2"/>
  <c r="AE37" i="2" s="1"/>
  <c r="AE67" i="2" s="1"/>
  <c r="Z61" i="2"/>
  <c r="AD64" i="2"/>
  <c r="AC65" i="2"/>
  <c r="AD33" i="2"/>
  <c r="AD37" i="2" s="1"/>
  <c r="AD67" i="2" s="1"/>
  <c r="AC63" i="2"/>
  <c r="AE62" i="2"/>
  <c r="AA61" i="2"/>
  <c r="AE63" i="2"/>
  <c r="AC51" i="2"/>
  <c r="AD62" i="2"/>
  <c r="AD54" i="2"/>
  <c r="AE66" i="2"/>
  <c r="AE51" i="2"/>
  <c r="AD56" i="2"/>
  <c r="AD66" i="2"/>
  <c r="AC33" i="2"/>
  <c r="AC37" i="2" s="1"/>
  <c r="AC67" i="2" s="1"/>
  <c r="AC54" i="2"/>
  <c r="AC56" i="2"/>
  <c r="AE54" i="2"/>
  <c r="AE56" i="2"/>
  <c r="AD51" i="2"/>
  <c r="G61" i="2"/>
  <c r="F61" i="2"/>
  <c r="E61" i="2"/>
  <c r="AB61" i="2"/>
  <c r="AA53" i="2"/>
  <c r="AA55" i="2" s="1"/>
  <c r="AA57" i="2" s="1"/>
  <c r="AA58" i="2" s="1"/>
  <c r="AA67" i="2"/>
  <c r="AB53" i="2"/>
  <c r="AB55" i="2" s="1"/>
  <c r="AB57" i="2" s="1"/>
  <c r="AB58" i="2" s="1"/>
  <c r="C67" i="2"/>
  <c r="C53" i="2"/>
  <c r="C55" i="2" s="1"/>
  <c r="C57" i="2" s="1"/>
  <c r="C58" i="2" s="1"/>
  <c r="H61" i="2"/>
  <c r="E53" i="2"/>
  <c r="E55" i="2" s="1"/>
  <c r="E57" i="2" s="1"/>
  <c r="E58" i="2" s="1"/>
  <c r="E67" i="2"/>
  <c r="D53" i="2"/>
  <c r="D55" i="2" s="1"/>
  <c r="D57" i="2" s="1"/>
  <c r="D58" i="2" s="1"/>
  <c r="I61" i="2"/>
  <c r="B53" i="2"/>
  <c r="B55" i="2" s="1"/>
  <c r="B57" i="2" s="1"/>
  <c r="B58" i="2" s="1"/>
  <c r="D67" i="2"/>
  <c r="J61" i="2"/>
  <c r="F53" i="2"/>
  <c r="F55" i="2" s="1"/>
  <c r="F57" i="2" s="1"/>
  <c r="F58" i="2" s="1"/>
  <c r="F67" i="2"/>
  <c r="L61" i="2"/>
  <c r="K61" i="2"/>
  <c r="G53" i="2"/>
  <c r="G55" i="2" s="1"/>
  <c r="G57" i="2" s="1"/>
  <c r="G58" i="2" s="1"/>
  <c r="M61" i="2"/>
  <c r="G67" i="2"/>
  <c r="H53" i="2"/>
  <c r="H55" i="2" s="1"/>
  <c r="H57" i="2" s="1"/>
  <c r="H58" i="2" s="1"/>
  <c r="I53" i="2"/>
  <c r="I55" i="2" s="1"/>
  <c r="I57" i="2" s="1"/>
  <c r="I58" i="2" s="1"/>
  <c r="N61" i="2"/>
  <c r="N67" i="2"/>
  <c r="N53" i="2"/>
  <c r="N55" i="2" s="1"/>
  <c r="N57" i="2" s="1"/>
  <c r="N58" i="2" s="1"/>
  <c r="J53" i="2"/>
  <c r="J55" i="2" s="1"/>
  <c r="J57" i="2" s="1"/>
  <c r="J58" i="2" s="1"/>
  <c r="J67" i="2"/>
  <c r="K67" i="2"/>
  <c r="K53" i="2"/>
  <c r="L53" i="2"/>
  <c r="L67" i="2"/>
  <c r="M53" i="2"/>
  <c r="M67" i="2"/>
  <c r="AE53" i="2" l="1"/>
  <c r="AE55" i="2" s="1"/>
  <c r="AE57" i="2" s="1"/>
  <c r="AE58" i="2" s="1"/>
  <c r="AE61" i="2"/>
  <c r="AC61" i="2"/>
  <c r="AD61" i="2"/>
  <c r="AD53" i="2"/>
  <c r="AD55" i="2" s="1"/>
  <c r="AD57" i="2" s="1"/>
  <c r="AD58" i="2" s="1"/>
  <c r="AC53" i="2"/>
  <c r="AC55" i="2" s="1"/>
  <c r="AC57" i="2" s="1"/>
  <c r="AC58" i="2" s="1"/>
  <c r="M55" i="2"/>
  <c r="M57" i="2" s="1"/>
  <c r="M58" i="2" s="1"/>
  <c r="L55" i="2"/>
  <c r="L57" i="2" s="1"/>
  <c r="L58" i="2" s="1"/>
  <c r="K55" i="2"/>
  <c r="K57" i="2" s="1"/>
  <c r="K58" i="2" s="1"/>
</calcChain>
</file>

<file path=xl/sharedStrings.xml><?xml version="1.0" encoding="utf-8"?>
<sst xmlns="http://schemas.openxmlformats.org/spreadsheetml/2006/main" count="310" uniqueCount="78">
  <si>
    <t>Main</t>
  </si>
  <si>
    <t>Shares</t>
  </si>
  <si>
    <t>Revenue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</si>
  <si>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</si>
  <si>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</si>
  <si>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</si>
  <si>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</si>
  <si>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</si>
  <si>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</si>
  <si>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</si>
  <si>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</si>
  <si>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</si>
  <si>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</si>
  <si>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</si>
  <si>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</si>
  <si>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</si>
  <si>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</si>
  <si>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</si>
  <si>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</si>
  <si>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</si>
  <si>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</si>
  <si>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</si>
  <si>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</si>
  <si>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</si>
  <si>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</si>
  <si>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</si>
  <si>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</si>
  <si>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</si>
  <si>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</si>
  <si>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</si>
  <si>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</si>
  <si>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</si>
  <si>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</si>
  <si>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</si>
  <si>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</si>
  <si>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</si>
  <si>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4Q18 A</t>
  </si>
  <si>
    <t>1Q19 A</t>
  </si>
  <si>
    <t>2Q19 A</t>
  </si>
  <si>
    <t>3Q19 A</t>
  </si>
  <si>
    <t>4Q19 A</t>
  </si>
  <si>
    <t>1Q20 A</t>
  </si>
  <si>
    <t>2Q20 A</t>
  </si>
  <si>
    <t>3Q20 A</t>
  </si>
  <si>
    <t>4Q20 A</t>
  </si>
  <si>
    <t>1Q21 A</t>
  </si>
  <si>
    <t>2Q21 A</t>
  </si>
  <si>
    <t>3Q21 A</t>
  </si>
  <si>
    <t>4Q21 A</t>
  </si>
  <si>
    <t>1Q22 A</t>
  </si>
  <si>
    <t>2Q22 E</t>
  </si>
  <si>
    <t>3Q23 E</t>
  </si>
  <si>
    <t>4Q23 E</t>
  </si>
  <si>
    <t>3Q22 E</t>
  </si>
  <si>
    <t>4Q22 E</t>
  </si>
  <si>
    <t>1Q23 E</t>
  </si>
  <si>
    <t>2Q23 E</t>
  </si>
  <si>
    <t xml:space="preserve">WhiteSky </t>
  </si>
  <si>
    <t>NASDAQ: (AMZN)</t>
  </si>
  <si>
    <t>Amazon.com, Inc</t>
  </si>
  <si>
    <t>FY20 A</t>
  </si>
  <si>
    <t>FY22 E</t>
  </si>
  <si>
    <t>FY23 E</t>
  </si>
  <si>
    <t>FY21 A</t>
  </si>
  <si>
    <t>FY24 E</t>
  </si>
  <si>
    <t>FY25 E</t>
  </si>
  <si>
    <t>FY26 E</t>
  </si>
  <si>
    <t>Total Revenues</t>
  </si>
  <si>
    <t xml:space="preserve">   % of Total Revenues</t>
  </si>
  <si>
    <t xml:space="preserve">   % Growth YoY </t>
  </si>
  <si>
    <t xml:space="preserve">   % Growth QoQ</t>
  </si>
  <si>
    <t>North America</t>
  </si>
  <si>
    <t>Operating Income</t>
  </si>
  <si>
    <t>Total Operating Expense</t>
  </si>
  <si>
    <t>General &amp; Administrative</t>
  </si>
  <si>
    <t>Sales &amp; Marketing</t>
  </si>
  <si>
    <t>Operating Expenses</t>
  </si>
  <si>
    <t xml:space="preserve">   %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</si>
</sst>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2"/>
      <color theme="1"/>
      <name val="Helvetica Light"/>
    </font>
    <font>
      <u/>
      <sz val="12"/>
      <color theme="1"/>
      <name val="Helvetica Light"/>
    </font>
    <font>
      <b/>
      <sz val="12"/>
      <color theme="1"/>
      <name val="Helvetica Light"/>
    </font>
    <font>
      <b/>
      <sz val="14"/>
      <color theme="1"/>
      <name val="Libre Baskerville"/>
    </font>
    <font>
      <sz val="12"/>
      <color theme="1"/>
      <name val="Avenir Book"/>
      <family val="2"/>
    </font>
    <font>
      <b/>
      <i/>
      <sz val="20"/>
      <color theme="1"/>
      <name val="Avenir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1" applyFont="1" applyFill="1"/>
    <xf numFmtId="14" fontId="3" fillId="2" borderId="0" xfId="0" applyNumberFormat="1" applyFont="1" applyFill="1" applyAlignment="1">
      <alignment horizontal="right"/>
    </xf>
    <xf numFmtId="3" fontId="3" fillId="2" borderId="0" xfId="0" applyNumberFormat="1" applyFont="1" applyFill="1"/>
    <xf numFmtId="3" fontId="3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3" fontId="5" fillId="2" borderId="0" xfId="0" applyNumberFormat="1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0" fontId="5" fillId="2" borderId="0" xfId="0" applyFont="1" applyFill="1"/>
    <xf numFmtId="9" fontId="5" fillId="2" borderId="0" xfId="0" applyNumberFormat="1" applyFont="1" applyFill="1"/>
    <xf numFmtId="9" fontId="3" fillId="2" borderId="0" xfId="0" applyNumberFormat="1" applyFont="1" applyFill="1" applyAlignment="1">
      <alignment horizontal="right"/>
    </xf>
    <xf numFmtId="9" fontId="3" fillId="2" borderId="0" xfId="0" applyNumberFormat="1" applyFont="1" applyFill="1"/>
    <xf numFmtId="164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8" fillId="2" borderId="0" xfId="0" applyFont="1" applyFill="1"/>
    <xf numFmtId="1" fontId="3" fillId="2" borderId="0" xfId="0" applyNumberFormat="1" applyFont="1" applyFill="1" applyAlignment="1">
      <alignment horizontal="right"/>
    </xf>
    <xf numFmtId="1" fontId="3" fillId="2" borderId="0" xfId="0" applyNumberFormat="1" applyFont="1" applyFill="1"/>
    <xf numFmtId="9" fontId="3" fillId="2" borderId="0" xfId="2" applyFont="1" applyFill="1" applyAlignment="1">
      <alignment horizontal="right"/>
    </xf>
    <xf numFmtId="3" fontId="3" fillId="2" borderId="1" xfId="0" applyNumberFormat="1" applyFont="1" applyFill="1" applyBorder="1"/>
    <xf numFmtId="3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8</xdr:row>
      <xdr:rowOff>88900</xdr:rowOff>
    </xdr:from>
    <xdr:to>
      <xdr:col>15</xdr:col>
      <xdr:colOff>50800</xdr:colOff>
      <xdr:row>78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786C6A8-95D0-0A4B-9FEE-4CE30F6EEA4C}"/>
            </a:ext>
          </a:extLst>
        </xdr:cNvPr>
        <xdr:cNvCxnSpPr/>
      </xdr:nvCxnSpPr>
      <xdr:spPr>
        <a:xfrm flipH="1">
          <a:off x="9140825" y="2692400"/>
          <a:ext cx="3175" cy="14268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66675</xdr:colOff>
      <xdr:row>8</xdr:row>
      <xdr:rowOff>0</xdr:rowOff>
    </xdr:from>
    <xdr:to>
      <xdr:col>32</xdr:col>
      <xdr:colOff>66675</xdr:colOff>
      <xdr:row>78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FBBC199-5D95-914C-BE07-80EBFA590ABA}"/>
            </a:ext>
          </a:extLst>
        </xdr:cNvPr>
        <xdr:cNvCxnSpPr/>
      </xdr:nvCxnSpPr>
      <xdr:spPr>
        <a:xfrm>
          <a:off x="20678775" y="2603500"/>
          <a:ext cx="0" cy="142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6</xdr:row>
      <xdr:rowOff>88900</xdr:rowOff>
    </xdr:from>
    <xdr:to>
      <xdr:col>14</xdr:col>
      <xdr:colOff>50800</xdr:colOff>
      <xdr:row>97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0CD7BDE-51E6-9B4F-89DE-E6F9118C765A}"/>
            </a:ext>
          </a:extLst>
        </xdr:cNvPr>
        <xdr:cNvCxnSpPr/>
      </xdr:nvCxnSpPr>
      <xdr:spPr>
        <a:xfrm flipH="1">
          <a:off x="9140825" y="2692400"/>
          <a:ext cx="3175" cy="14268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8</xdr:row>
      <xdr:rowOff>50800</xdr:rowOff>
    </xdr:from>
    <xdr:to>
      <xdr:col>14</xdr:col>
      <xdr:colOff>431800</xdr:colOff>
      <xdr:row>91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 flipH="1">
          <a:off x="9521825" y="2654300"/>
          <a:ext cx="3175" cy="1691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8</xdr:row>
      <xdr:rowOff>0</xdr:rowOff>
    </xdr:from>
    <xdr:to>
      <xdr:col>31</xdr:col>
      <xdr:colOff>66675</xdr:colOff>
      <xdr:row>91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8</xdr:row>
      <xdr:rowOff>88900</xdr:rowOff>
    </xdr:from>
    <xdr:to>
      <xdr:col>15</xdr:col>
      <xdr:colOff>50800</xdr:colOff>
      <xdr:row>78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6264A7A-68C1-6D42-9179-E9F84064D786}"/>
            </a:ext>
          </a:extLst>
        </xdr:cNvPr>
        <xdr:cNvCxnSpPr/>
      </xdr:nvCxnSpPr>
      <xdr:spPr>
        <a:xfrm flipH="1">
          <a:off x="9140825" y="2692400"/>
          <a:ext cx="3175" cy="14268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66675</xdr:colOff>
      <xdr:row>8</xdr:row>
      <xdr:rowOff>0</xdr:rowOff>
    </xdr:from>
    <xdr:to>
      <xdr:col>32</xdr:col>
      <xdr:colOff>66675</xdr:colOff>
      <xdr:row>78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802F26D-72A9-054B-90C4-F4642382E63C}"/>
            </a:ext>
          </a:extLst>
        </xdr:cNvPr>
        <xdr:cNvCxnSpPr/>
      </xdr:nvCxnSpPr>
      <xdr:spPr>
        <a:xfrm>
          <a:off x="20678775" y="2603500"/>
          <a:ext cx="0" cy="142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8</xdr:row>
      <xdr:rowOff>88900</xdr:rowOff>
    </xdr:from>
    <xdr:to>
      <xdr:col>15</xdr:col>
      <xdr:colOff>50800</xdr:colOff>
      <xdr:row>78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8A75122-0FF2-F348-8BBC-2A4BB3E4DD45}"/>
            </a:ext>
          </a:extLst>
        </xdr:cNvPr>
        <xdr:cNvCxnSpPr/>
      </xdr:nvCxnSpPr>
      <xdr:spPr>
        <a:xfrm flipH="1">
          <a:off x="8912225" y="2692400"/>
          <a:ext cx="3175" cy="14268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66675</xdr:colOff>
      <xdr:row>8</xdr:row>
      <xdr:rowOff>0</xdr:rowOff>
    </xdr:from>
    <xdr:to>
      <xdr:col>32</xdr:col>
      <xdr:colOff>66675</xdr:colOff>
      <xdr:row>78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C81C64-AB85-BA4C-ADBE-9806C013A546}"/>
            </a:ext>
          </a:extLst>
        </xdr:cNvPr>
        <xdr:cNvCxnSpPr/>
      </xdr:nvCxnSpPr>
      <xdr:spPr>
        <a:xfrm>
          <a:off x="20373975" y="2603500"/>
          <a:ext cx="0" cy="142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K2:L7"/>
  <sheetViews>
    <sheetView workbookViewId="0">
      <selection activeCell="K13" sqref="K13"/>
    </sheetView>
  </sheetViews>
  <sheetFormatPr baseColWidth="10" defaultColWidth="8.83203125" defaultRowHeight="13"/>
  <sheetData>
    <row r="2" spans="11:12">
      <c r="K2" s="1"/>
    </row>
    <row r="3" spans="11:12">
      <c r="K3" s="2"/>
      <c r="L3" s="3"/>
    </row>
    <row r="4" spans="11:12">
      <c r="K4" s="2"/>
    </row>
    <row r="5" spans="11:12">
      <c r="K5" s="2"/>
      <c r="L5" s="3"/>
    </row>
    <row r="6" spans="11:12">
      <c r="K6" s="2"/>
      <c r="L6" s="3"/>
    </row>
    <row r="7" spans="11:12">
      <c r="K7" s="2"/>
      <c r="L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B795-9B8A-E04C-AB43-D0E1F345282F}">
  <dimension ref="A1:AY77"/>
  <sheetViews>
    <sheetView workbookViewId="0">
      <pane xSplit="1" ySplit="12" topLeftCell="G13" activePane="bottomRight" state="frozen"/>
      <selection pane="topRight" activeCell="C1" sqref="C1"/>
      <selection pane="bottomLeft" activeCell="A5" sqref="A5"/>
      <selection pane="bottomRight" activeCell="H63" sqref="H63"/>
    </sheetView>
  </sheetViews>
  <sheetFormatPr baseColWidth="10" defaultColWidth="8.83203125" defaultRowHeight="16" outlineLevelCol="1"/>
  <cols>
    <col min="1" max="1" width="36.83203125" style="5" customWidth="1"/>
    <col min="2" max="6" width="0" style="4" hidden="1" customWidth="1" outlineLevel="1"/>
    <col min="7" max="7" width="8.83203125" style="4" collapsed="1"/>
    <col min="8" max="18" width="8.83203125" style="4"/>
    <col min="19" max="16384" width="8.83203125" style="5"/>
  </cols>
  <sheetData>
    <row r="1" spans="1:51" s="21" customFormat="1" ht="81" customHeight="1">
      <c r="A1" s="20" t="s">
        <v>57</v>
      </c>
    </row>
    <row r="2" spans="1:51" s="21" customFormat="1" ht="28">
      <c r="A2" s="22" t="s">
        <v>59</v>
      </c>
    </row>
    <row r="3" spans="1:51">
      <c r="A3" s="5" t="s">
        <v>58</v>
      </c>
    </row>
    <row r="9" spans="1:51">
      <c r="A9" s="6" t="s">
        <v>0</v>
      </c>
    </row>
    <row r="11" spans="1:51"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  <c r="G11" s="4" t="s">
        <v>41</v>
      </c>
      <c r="H11" s="4" t="s">
        <v>42</v>
      </c>
      <c r="I11" s="4" t="s">
        <v>43</v>
      </c>
      <c r="J11" s="4" t="s">
        <v>44</v>
      </c>
      <c r="K11" s="4" t="s">
        <v>45</v>
      </c>
      <c r="L11" s="4" t="s">
        <v>46</v>
      </c>
      <c r="M11" s="4" t="s">
        <v>47</v>
      </c>
      <c r="N11" s="4" t="s">
        <v>48</v>
      </c>
      <c r="O11" s="4" t="s">
        <v>49</v>
      </c>
      <c r="P11" s="4" t="s">
        <v>50</v>
      </c>
      <c r="Q11" s="4" t="s">
        <v>53</v>
      </c>
      <c r="R11" s="4" t="s">
        <v>54</v>
      </c>
      <c r="S11" s="4" t="s">
        <v>55</v>
      </c>
      <c r="T11" s="4" t="s">
        <v>56</v>
      </c>
      <c r="U11" s="4" t="s">
        <v>51</v>
      </c>
      <c r="V11" s="4" t="s">
        <v>52</v>
      </c>
      <c r="Y11" s="5">
        <v>2014</v>
      </c>
      <c r="Z11" s="5">
        <f t="shared" ref="Z11:AY11" si="0">+Y11+1</f>
        <v>2015</v>
      </c>
      <c r="AA11" s="5">
        <f t="shared" si="0"/>
        <v>2016</v>
      </c>
      <c r="AB11" s="5">
        <f t="shared" si="0"/>
        <v>2017</v>
      </c>
      <c r="AC11" s="5">
        <f t="shared" si="0"/>
        <v>2018</v>
      </c>
      <c r="AD11" s="5">
        <f t="shared" si="0"/>
        <v>2019</v>
      </c>
      <c r="AE11" s="5">
        <f t="shared" si="0"/>
        <v>2020</v>
      </c>
      <c r="AF11" s="5">
        <f t="shared" si="0"/>
        <v>2021</v>
      </c>
      <c r="AG11" s="5">
        <f t="shared" si="0"/>
        <v>2022</v>
      </c>
      <c r="AH11" s="5">
        <f t="shared" si="0"/>
        <v>2023</v>
      </c>
      <c r="AI11" s="5">
        <f t="shared" si="0"/>
        <v>2024</v>
      </c>
      <c r="AJ11" s="5">
        <f t="shared" si="0"/>
        <v>2025</v>
      </c>
      <c r="AK11" s="5">
        <f t="shared" si="0"/>
        <v>2026</v>
      </c>
      <c r="AL11" s="5">
        <f t="shared" si="0"/>
        <v>2027</v>
      </c>
      <c r="AM11" s="5">
        <f t="shared" si="0"/>
        <v>2028</v>
      </c>
      <c r="AN11" s="5">
        <f t="shared" si="0"/>
        <v>2029</v>
      </c>
      <c r="AO11" s="5">
        <f t="shared" si="0"/>
        <v>2030</v>
      </c>
      <c r="AP11" s="5">
        <f t="shared" si="0"/>
        <v>2031</v>
      </c>
      <c r="AQ11" s="5">
        <f t="shared" si="0"/>
        <v>2032</v>
      </c>
      <c r="AR11" s="5">
        <f t="shared" si="0"/>
        <v>2033</v>
      </c>
      <c r="AS11" s="5">
        <f t="shared" si="0"/>
        <v>2034</v>
      </c>
      <c r="AT11" s="5">
        <f t="shared" si="0"/>
        <v>2035</v>
      </c>
      <c r="AU11" s="5">
        <f t="shared" si="0"/>
        <v>2036</v>
      </c>
      <c r="AV11" s="5">
        <f t="shared" si="0"/>
        <v>2037</v>
      </c>
      <c r="AW11" s="5">
        <f t="shared" si="0"/>
        <v>2038</v>
      </c>
      <c r="AX11" s="5">
        <f t="shared" si="0"/>
        <v>2039</v>
      </c>
      <c r="AY11" s="5">
        <f t="shared" si="0"/>
        <v>2040</v>
      </c>
    </row>
    <row r="12" spans="1:51">
      <c r="B12" s="7">
        <v>43465</v>
      </c>
      <c r="C12" s="7">
        <v>43555</v>
      </c>
      <c r="D12" s="7">
        <v>43646</v>
      </c>
      <c r="E12" s="7">
        <v>43738</v>
      </c>
      <c r="F12" s="7">
        <f>B12+365</f>
        <v>43830</v>
      </c>
      <c r="G12" s="7">
        <f>C12+366</f>
        <v>43921</v>
      </c>
      <c r="H12" s="7">
        <f t="shared" ref="H12:J12" si="1">D12+366</f>
        <v>44012</v>
      </c>
      <c r="I12" s="7">
        <f t="shared" si="1"/>
        <v>44104</v>
      </c>
      <c r="J12" s="7">
        <f t="shared" si="1"/>
        <v>44196</v>
      </c>
      <c r="K12" s="7">
        <f>G12+365</f>
        <v>44286</v>
      </c>
      <c r="L12" s="7">
        <f t="shared" ref="L12:O12" si="2">H12+365</f>
        <v>44377</v>
      </c>
      <c r="M12" s="7">
        <f t="shared" si="2"/>
        <v>44469</v>
      </c>
      <c r="N12" s="7">
        <f t="shared" si="2"/>
        <v>44561</v>
      </c>
      <c r="O12" s="7">
        <f t="shared" si="2"/>
        <v>44651</v>
      </c>
      <c r="S12" s="4"/>
      <c r="T12" s="4"/>
      <c r="U12" s="4"/>
      <c r="V12" s="4"/>
    </row>
    <row r="13" spans="1:51" s="8" customFormat="1">
      <c r="A13" s="8" t="s">
        <v>18</v>
      </c>
      <c r="B13" s="9">
        <v>44124</v>
      </c>
      <c r="C13" s="9">
        <v>35812</v>
      </c>
      <c r="D13" s="9">
        <v>38653</v>
      </c>
      <c r="E13" s="9">
        <v>42638</v>
      </c>
      <c r="F13" s="9">
        <v>53670</v>
      </c>
      <c r="G13" s="9">
        <v>46127</v>
      </c>
      <c r="H13" s="9">
        <v>55436</v>
      </c>
      <c r="I13" s="9">
        <v>59373</v>
      </c>
      <c r="J13" s="9">
        <v>75346</v>
      </c>
      <c r="K13" s="9">
        <v>64366</v>
      </c>
      <c r="L13" s="9">
        <v>67550</v>
      </c>
      <c r="M13" s="9">
        <v>65557</v>
      </c>
      <c r="N13" s="9">
        <v>82360</v>
      </c>
      <c r="O13" s="9">
        <v>69244</v>
      </c>
      <c r="P13" s="9"/>
      <c r="Q13" s="9"/>
      <c r="R13" s="9"/>
      <c r="Y13" s="8">
        <v>50834</v>
      </c>
      <c r="Z13" s="8">
        <v>63708</v>
      </c>
      <c r="AA13" s="8">
        <v>79785</v>
      </c>
      <c r="AB13" s="8">
        <v>106110</v>
      </c>
      <c r="AC13" s="8">
        <v>141366</v>
      </c>
      <c r="AD13" s="8">
        <f>SUM(C13:F13)</f>
        <v>170773</v>
      </c>
      <c r="AE13" s="8">
        <f>SUM(G13:J13)</f>
        <v>236282</v>
      </c>
      <c r="AF13" s="8">
        <f>SUM(K13:N13)</f>
        <v>279833</v>
      </c>
    </row>
    <row r="14" spans="1:51" s="8" customFormat="1">
      <c r="A14" s="8" t="s">
        <v>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Y14" s="8">
        <v>11567</v>
      </c>
      <c r="Z14" s="8">
        <v>12483</v>
      </c>
      <c r="AA14" s="8">
        <v>13580</v>
      </c>
    </row>
    <row r="15" spans="1:51" s="8" customFormat="1">
      <c r="A15" s="8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Y15" s="8">
        <v>38517</v>
      </c>
      <c r="Z15" s="8">
        <v>50401</v>
      </c>
      <c r="AA15" s="8">
        <v>64887</v>
      </c>
    </row>
    <row r="16" spans="1:51" s="8" customFormat="1">
      <c r="A16" s="8" t="s">
        <v>19</v>
      </c>
      <c r="B16" s="9">
        <v>41873</v>
      </c>
      <c r="C16" s="9">
        <v>16192</v>
      </c>
      <c r="D16" s="9">
        <v>16370</v>
      </c>
      <c r="E16" s="9">
        <v>18348</v>
      </c>
      <c r="F16" s="9">
        <v>23813</v>
      </c>
      <c r="G16" s="9">
        <v>19106</v>
      </c>
      <c r="H16" s="9">
        <v>22668</v>
      </c>
      <c r="I16" s="9">
        <v>25171</v>
      </c>
      <c r="J16" s="9">
        <v>37467</v>
      </c>
      <c r="K16" s="9">
        <v>30649</v>
      </c>
      <c r="L16" s="9">
        <v>30721</v>
      </c>
      <c r="M16" s="9">
        <v>29145</v>
      </c>
      <c r="N16" s="9">
        <v>37272</v>
      </c>
      <c r="O16" s="9">
        <v>28759</v>
      </c>
      <c r="P16" s="9"/>
      <c r="Q16" s="9"/>
      <c r="R16" s="9"/>
      <c r="Y16" s="8">
        <v>33510</v>
      </c>
      <c r="Z16" s="8">
        <v>35418</v>
      </c>
      <c r="AA16" s="8">
        <v>43983</v>
      </c>
      <c r="AB16" s="8">
        <v>103273</v>
      </c>
      <c r="AC16" s="8">
        <v>134099</v>
      </c>
      <c r="AD16" s="8">
        <f>SUM(C16:F16)</f>
        <v>74723</v>
      </c>
      <c r="AE16" s="8">
        <f>SUM(G16:J16)</f>
        <v>104412</v>
      </c>
      <c r="AF16" s="8">
        <f>SUM(K16:N16)</f>
        <v>127787</v>
      </c>
    </row>
    <row r="17" spans="1:32" s="8" customFormat="1">
      <c r="A17" s="8" t="s">
        <v>34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Y17" s="8">
        <v>10938</v>
      </c>
      <c r="Z17" s="8">
        <v>10026</v>
      </c>
      <c r="AA17" s="8">
        <v>10631</v>
      </c>
    </row>
    <row r="18" spans="1:32" s="8" customFormat="1">
      <c r="A18" s="8" t="s">
        <v>35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Y18" s="8">
        <v>22369</v>
      </c>
      <c r="Z18" s="8">
        <v>25196</v>
      </c>
      <c r="AA18" s="8">
        <v>33107</v>
      </c>
    </row>
    <row r="19" spans="1:32" s="8" customFormat="1">
      <c r="A19" s="8" t="s">
        <v>20</v>
      </c>
      <c r="B19" s="9">
        <v>7430</v>
      </c>
      <c r="C19" s="9">
        <v>7696</v>
      </c>
      <c r="D19" s="9">
        <v>8381</v>
      </c>
      <c r="E19" s="9">
        <v>8995</v>
      </c>
      <c r="F19" s="9">
        <v>9954</v>
      </c>
      <c r="G19" s="9">
        <v>10219</v>
      </c>
      <c r="H19" s="9">
        <v>10808</v>
      </c>
      <c r="I19" s="9">
        <v>11601</v>
      </c>
      <c r="J19" s="9">
        <v>12742</v>
      </c>
      <c r="K19" s="9">
        <v>13503</v>
      </c>
      <c r="L19" s="9">
        <v>14809</v>
      </c>
      <c r="M19" s="9">
        <v>16110</v>
      </c>
      <c r="N19" s="9">
        <v>17780</v>
      </c>
      <c r="O19" s="9">
        <v>18441</v>
      </c>
      <c r="P19" s="9"/>
      <c r="Q19" s="9"/>
      <c r="R19" s="9"/>
      <c r="Y19" s="8">
        <v>4644</v>
      </c>
      <c r="Z19" s="8">
        <v>7880</v>
      </c>
      <c r="AA19" s="8">
        <v>12219</v>
      </c>
      <c r="AB19" s="8">
        <v>17459</v>
      </c>
      <c r="AC19" s="8">
        <v>25655</v>
      </c>
      <c r="AD19" s="8">
        <f>SUM(C19:F19)</f>
        <v>35026</v>
      </c>
      <c r="AE19" s="8">
        <f>SUM(G19:J19)</f>
        <v>45370</v>
      </c>
      <c r="AF19" s="8">
        <f>SUM(K19:N19)</f>
        <v>62202</v>
      </c>
    </row>
    <row r="21" spans="1:32" s="8" customFormat="1">
      <c r="A21" s="8" t="s">
        <v>23</v>
      </c>
      <c r="B21" s="9">
        <v>39822</v>
      </c>
      <c r="C21" s="9">
        <v>29498</v>
      </c>
      <c r="D21" s="9">
        <v>31053</v>
      </c>
      <c r="E21" s="9">
        <v>35039</v>
      </c>
      <c r="F21" s="9">
        <v>45657</v>
      </c>
      <c r="G21" s="9">
        <v>36652</v>
      </c>
      <c r="H21" s="9">
        <v>45896</v>
      </c>
      <c r="I21" s="9">
        <v>48350</v>
      </c>
      <c r="J21" s="9">
        <v>66451</v>
      </c>
      <c r="K21" s="9">
        <v>52901</v>
      </c>
      <c r="L21" s="9">
        <v>53157</v>
      </c>
      <c r="M21" s="9">
        <v>49942</v>
      </c>
      <c r="N21" s="9">
        <v>66075</v>
      </c>
      <c r="O21" s="9">
        <v>51129</v>
      </c>
      <c r="P21" s="9"/>
      <c r="Q21" s="9"/>
      <c r="R21" s="9"/>
      <c r="AC21" s="8">
        <f>26939+27165+29061+39822</f>
        <v>122987</v>
      </c>
      <c r="AD21" s="8">
        <f>SUM(C21:F21)</f>
        <v>141247</v>
      </c>
      <c r="AE21" s="8">
        <f>SUM(G21:J21)</f>
        <v>197349</v>
      </c>
      <c r="AF21" s="8">
        <f>SUM(K21:N21)</f>
        <v>222075</v>
      </c>
    </row>
    <row r="22" spans="1:32" s="8" customFormat="1">
      <c r="A22" s="8" t="s">
        <v>24</v>
      </c>
      <c r="B22" s="9">
        <v>4401</v>
      </c>
      <c r="C22" s="9">
        <v>4307</v>
      </c>
      <c r="D22" s="9">
        <v>4330</v>
      </c>
      <c r="E22" s="9">
        <v>4192</v>
      </c>
      <c r="F22" s="9">
        <v>4363</v>
      </c>
      <c r="G22" s="9">
        <v>4640</v>
      </c>
      <c r="H22" s="9">
        <v>3774</v>
      </c>
      <c r="I22" s="9">
        <v>3788</v>
      </c>
      <c r="J22" s="9">
        <v>4022</v>
      </c>
      <c r="K22" s="9">
        <v>3920</v>
      </c>
      <c r="L22" s="9">
        <v>4198</v>
      </c>
      <c r="M22" s="9">
        <v>4269</v>
      </c>
      <c r="N22" s="9">
        <v>4688</v>
      </c>
      <c r="O22" s="9">
        <v>4591</v>
      </c>
      <c r="P22" s="9"/>
      <c r="Q22" s="9"/>
      <c r="R22" s="9"/>
      <c r="AC22" s="8">
        <f>4263+4312+4248+4401</f>
        <v>17224</v>
      </c>
      <c r="AD22" s="8">
        <f>SUM(C22:F22)</f>
        <v>17192</v>
      </c>
      <c r="AE22" s="8">
        <f>SUM(G22:J22)</f>
        <v>16224</v>
      </c>
      <c r="AF22" s="8">
        <f>SUM(K22:N22)</f>
        <v>17075</v>
      </c>
    </row>
    <row r="23" spans="1:32" s="8" customFormat="1">
      <c r="A23" s="8" t="s">
        <v>25</v>
      </c>
      <c r="B23" s="9">
        <v>13383</v>
      </c>
      <c r="C23" s="9">
        <v>11141</v>
      </c>
      <c r="D23" s="9">
        <v>11962</v>
      </c>
      <c r="E23" s="9">
        <v>13212</v>
      </c>
      <c r="F23" s="9">
        <v>17446</v>
      </c>
      <c r="G23" s="9">
        <v>14479</v>
      </c>
      <c r="H23" s="9">
        <v>18195</v>
      </c>
      <c r="I23" s="9">
        <v>20436</v>
      </c>
      <c r="J23" s="9">
        <v>27327</v>
      </c>
      <c r="K23" s="9">
        <v>23709</v>
      </c>
      <c r="L23" s="9">
        <v>25085</v>
      </c>
      <c r="M23" s="9">
        <v>24252</v>
      </c>
      <c r="N23" s="9">
        <v>30320</v>
      </c>
      <c r="O23" s="9">
        <v>25335</v>
      </c>
      <c r="P23" s="9"/>
      <c r="Q23" s="9"/>
      <c r="R23" s="9"/>
      <c r="AC23" s="8">
        <f>9265+9702+10395+13383</f>
        <v>42745</v>
      </c>
      <c r="AD23" s="8">
        <f>SUM(C23:F23)</f>
        <v>53761</v>
      </c>
      <c r="AE23" s="8">
        <f>SUM(G23:J23)</f>
        <v>80437</v>
      </c>
      <c r="AF23" s="8">
        <f>SUM(K23:N23)</f>
        <v>103366</v>
      </c>
    </row>
    <row r="24" spans="1:32" s="8" customFormat="1">
      <c r="A24" s="8" t="s">
        <v>26</v>
      </c>
      <c r="B24" s="9">
        <v>3959</v>
      </c>
      <c r="C24" s="9">
        <v>4342</v>
      </c>
      <c r="D24" s="9">
        <v>4676</v>
      </c>
      <c r="E24" s="9">
        <v>4957</v>
      </c>
      <c r="F24" s="9">
        <v>5235</v>
      </c>
      <c r="G24" s="9">
        <v>5556</v>
      </c>
      <c r="H24" s="9">
        <v>6018</v>
      </c>
      <c r="I24" s="9">
        <v>6572</v>
      </c>
      <c r="J24" s="9">
        <v>7061</v>
      </c>
      <c r="K24" s="9">
        <v>7580</v>
      </c>
      <c r="L24" s="9">
        <v>7917</v>
      </c>
      <c r="M24" s="9">
        <v>8148</v>
      </c>
      <c r="N24" s="9">
        <v>8123</v>
      </c>
      <c r="O24" s="9">
        <v>8410</v>
      </c>
      <c r="P24" s="9"/>
      <c r="Q24" s="9"/>
      <c r="R24" s="9"/>
      <c r="AC24" s="8">
        <f>3102+3408+3698+3959</f>
        <v>14167</v>
      </c>
      <c r="AD24" s="8">
        <f>SUM(C24:F24)</f>
        <v>19210</v>
      </c>
      <c r="AE24" s="8">
        <f>SUM(G24:J24)</f>
        <v>25207</v>
      </c>
      <c r="AF24" s="8">
        <f>SUM(K24:N24)</f>
        <v>31768</v>
      </c>
    </row>
    <row r="25" spans="1:32" s="8" customFormat="1">
      <c r="A25" s="8" t="s">
        <v>27</v>
      </c>
      <c r="B25" s="9">
        <v>3388</v>
      </c>
      <c r="C25" s="9">
        <v>2716</v>
      </c>
      <c r="D25" s="9">
        <v>3002</v>
      </c>
      <c r="E25" s="9">
        <v>3586</v>
      </c>
      <c r="F25" s="9">
        <v>4782</v>
      </c>
      <c r="G25" s="9">
        <v>3906</v>
      </c>
      <c r="H25" s="9">
        <v>4221</v>
      </c>
      <c r="I25" s="9">
        <v>5398</v>
      </c>
      <c r="J25" s="9">
        <v>7350</v>
      </c>
      <c r="K25" s="9">
        <v>6381</v>
      </c>
      <c r="L25" s="9">
        <v>7451</v>
      </c>
      <c r="M25" s="9">
        <v>7612</v>
      </c>
      <c r="N25" s="9">
        <v>9716</v>
      </c>
      <c r="O25" s="9">
        <v>7877</v>
      </c>
      <c r="P25" s="9"/>
      <c r="Q25" s="9"/>
      <c r="R25" s="9"/>
      <c r="AC25" s="8">
        <f>2031+2194+2495+3388</f>
        <v>10108</v>
      </c>
      <c r="AD25" s="8">
        <f>SUM(C25:F25)</f>
        <v>14086</v>
      </c>
      <c r="AE25" s="8">
        <f>SUM(G25:J25)</f>
        <v>20875</v>
      </c>
      <c r="AF25" s="8">
        <f>SUM(K25:N25)</f>
        <v>31160</v>
      </c>
    </row>
    <row r="26" spans="1:32" s="8" customFormat="1">
      <c r="A26" s="8" t="s">
        <v>28</v>
      </c>
      <c r="B26" s="9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602</v>
      </c>
      <c r="K26" s="9">
        <v>524</v>
      </c>
      <c r="L26" s="9">
        <v>463</v>
      </c>
      <c r="M26" s="9">
        <v>479</v>
      </c>
      <c r="N26" s="9">
        <v>710</v>
      </c>
      <c r="O26" s="9">
        <v>661</v>
      </c>
      <c r="P26" s="9"/>
      <c r="Q26" s="9"/>
      <c r="R26" s="9"/>
      <c r="AD26" s="8">
        <f>SUM(C26:F26)</f>
        <v>0</v>
      </c>
      <c r="AE26" s="8">
        <f>SUM(G26:J26)</f>
        <v>602</v>
      </c>
      <c r="AF26" s="8">
        <f>SUM(K26:N26)</f>
        <v>2176</v>
      </c>
    </row>
    <row r="28" spans="1:32" s="8" customFormat="1">
      <c r="A28" s="8" t="s">
        <v>3</v>
      </c>
      <c r="B28" s="9">
        <v>44700</v>
      </c>
      <c r="C28" s="9">
        <v>34283</v>
      </c>
      <c r="D28" s="9">
        <v>35856</v>
      </c>
      <c r="E28" s="9">
        <v>39726</v>
      </c>
      <c r="F28" s="9">
        <v>50542</v>
      </c>
      <c r="G28" s="9">
        <v>41841</v>
      </c>
      <c r="H28" s="9">
        <v>50244</v>
      </c>
      <c r="I28" s="9">
        <v>52774</v>
      </c>
      <c r="J28" s="9">
        <v>71056</v>
      </c>
      <c r="K28" s="9">
        <v>57491</v>
      </c>
      <c r="L28" s="9">
        <v>58004</v>
      </c>
      <c r="M28" s="9">
        <v>54876</v>
      </c>
      <c r="N28" s="9">
        <v>71416</v>
      </c>
      <c r="O28" s="9">
        <v>56455</v>
      </c>
      <c r="P28" s="9"/>
      <c r="Q28" s="9"/>
      <c r="R28" s="9"/>
      <c r="AB28" s="8">
        <v>118573</v>
      </c>
      <c r="AC28" s="8">
        <v>141915</v>
      </c>
      <c r="AD28" s="8">
        <f>SUM(C28:F28)</f>
        <v>160407</v>
      </c>
      <c r="AE28" s="8">
        <f>SUM(G28:J28)</f>
        <v>215915</v>
      </c>
      <c r="AF28" s="8">
        <f>SUM(K28:N28)</f>
        <v>241787</v>
      </c>
    </row>
    <row r="29" spans="1:32" s="8" customFormat="1">
      <c r="A29" s="8" t="s">
        <v>4</v>
      </c>
      <c r="B29" s="9">
        <v>27683</v>
      </c>
      <c r="C29" s="9">
        <v>25417</v>
      </c>
      <c r="D29" s="9">
        <v>27548</v>
      </c>
      <c r="E29" s="9">
        <v>30255</v>
      </c>
      <c r="F29" s="9">
        <v>36895</v>
      </c>
      <c r="G29" s="9">
        <v>33611</v>
      </c>
      <c r="H29" s="9">
        <v>38668</v>
      </c>
      <c r="I29" s="9">
        <v>43371</v>
      </c>
      <c r="J29" s="9">
        <v>54499</v>
      </c>
      <c r="K29" s="9">
        <v>51027</v>
      </c>
      <c r="L29" s="9">
        <v>55076</v>
      </c>
      <c r="M29" s="9">
        <v>55936</v>
      </c>
      <c r="N29" s="9">
        <v>65996</v>
      </c>
      <c r="O29" s="9">
        <v>59989</v>
      </c>
      <c r="P29" s="9"/>
      <c r="Q29" s="9"/>
      <c r="R29" s="9"/>
      <c r="AB29" s="8">
        <v>59293</v>
      </c>
      <c r="AC29" s="8">
        <v>90972</v>
      </c>
      <c r="AD29" s="8">
        <f>SUM(C29:F29)</f>
        <v>120115</v>
      </c>
      <c r="AE29" s="8">
        <f>SUM(G29:J29)</f>
        <v>170149</v>
      </c>
      <c r="AF29" s="8">
        <f>SUM(K29:N29)</f>
        <v>228035</v>
      </c>
    </row>
    <row r="30" spans="1:32" s="8" customForma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32" s="10" customFormat="1">
      <c r="A31" s="10" t="s">
        <v>2</v>
      </c>
      <c r="B31" s="11">
        <f t="shared" ref="B31:N31" si="3">B28+B29</f>
        <v>72383</v>
      </c>
      <c r="C31" s="11">
        <f t="shared" si="3"/>
        <v>59700</v>
      </c>
      <c r="D31" s="11">
        <f t="shared" si="3"/>
        <v>63404</v>
      </c>
      <c r="E31" s="11">
        <f t="shared" si="3"/>
        <v>69981</v>
      </c>
      <c r="F31" s="11">
        <f t="shared" si="3"/>
        <v>87437</v>
      </c>
      <c r="G31" s="11">
        <f t="shared" si="3"/>
        <v>75452</v>
      </c>
      <c r="H31" s="11">
        <f t="shared" si="3"/>
        <v>88912</v>
      </c>
      <c r="I31" s="11">
        <f t="shared" si="3"/>
        <v>96145</v>
      </c>
      <c r="J31" s="11">
        <f t="shared" si="3"/>
        <v>125555</v>
      </c>
      <c r="K31" s="11">
        <f t="shared" si="3"/>
        <v>108518</v>
      </c>
      <c r="L31" s="11">
        <f t="shared" si="3"/>
        <v>113080</v>
      </c>
      <c r="M31" s="11">
        <f t="shared" si="3"/>
        <v>110812</v>
      </c>
      <c r="N31" s="11">
        <f t="shared" si="3"/>
        <v>137412</v>
      </c>
      <c r="O31" s="11">
        <f>O28+O29</f>
        <v>116444</v>
      </c>
      <c r="P31" s="11">
        <f t="shared" ref="P31:V31" si="4">P28+P29</f>
        <v>0</v>
      </c>
      <c r="Q31" s="11">
        <f t="shared" si="4"/>
        <v>0</v>
      </c>
      <c r="R31" s="11">
        <f t="shared" si="4"/>
        <v>0</v>
      </c>
      <c r="S31" s="11">
        <f t="shared" si="4"/>
        <v>0</v>
      </c>
      <c r="T31" s="11">
        <f t="shared" si="4"/>
        <v>0</v>
      </c>
      <c r="U31" s="11">
        <f t="shared" si="4"/>
        <v>0</v>
      </c>
      <c r="V31" s="11">
        <f t="shared" si="4"/>
        <v>0</v>
      </c>
      <c r="Y31" s="10">
        <f>+Y13+Y16+Y19</f>
        <v>88988</v>
      </c>
      <c r="Z31" s="10">
        <f t="shared" ref="Z31:AA31" si="5">+Z13+Z16+Z19</f>
        <v>107006</v>
      </c>
      <c r="AA31" s="10">
        <f t="shared" si="5"/>
        <v>135987</v>
      </c>
      <c r="AB31" s="11">
        <f t="shared" ref="AB31:AC31" si="6">AB28+AB29</f>
        <v>177866</v>
      </c>
      <c r="AC31" s="11">
        <f t="shared" si="6"/>
        <v>232887</v>
      </c>
      <c r="AD31" s="11">
        <f>AD28+AD29</f>
        <v>280522</v>
      </c>
      <c r="AE31" s="11">
        <f>AE28+AE29</f>
        <v>386064</v>
      </c>
      <c r="AF31" s="11">
        <f>AF28+AF29</f>
        <v>469822</v>
      </c>
    </row>
    <row r="32" spans="1:32" s="10" customFormat="1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AB32" s="11"/>
      <c r="AC32" s="11"/>
      <c r="AD32" s="11"/>
      <c r="AE32" s="11"/>
      <c r="AF32" s="11"/>
    </row>
    <row r="33" spans="1:32" s="8" customFormat="1">
      <c r="A33" s="8" t="s">
        <v>5</v>
      </c>
      <c r="B33" s="9">
        <v>44786</v>
      </c>
      <c r="C33" s="9">
        <v>33920</v>
      </c>
      <c r="D33" s="9">
        <v>36337</v>
      </c>
      <c r="E33" s="9">
        <v>41302</v>
      </c>
      <c r="F33" s="9">
        <v>53977</v>
      </c>
      <c r="G33" s="9">
        <v>44257</v>
      </c>
      <c r="H33" s="9">
        <v>52660</v>
      </c>
      <c r="I33" s="9">
        <v>57106</v>
      </c>
      <c r="J33" s="9">
        <v>79284</v>
      </c>
      <c r="K33" s="9">
        <v>62403</v>
      </c>
      <c r="L33" s="9">
        <v>64176</v>
      </c>
      <c r="M33" s="9">
        <v>62930</v>
      </c>
      <c r="N33" s="9">
        <v>82835</v>
      </c>
      <c r="O33" s="9">
        <v>66499</v>
      </c>
      <c r="P33" s="9"/>
      <c r="Q33" s="9"/>
      <c r="R33" s="9"/>
      <c r="Y33" s="8">
        <v>62752</v>
      </c>
      <c r="Z33" s="8">
        <v>71651</v>
      </c>
      <c r="AA33" s="8">
        <v>88265</v>
      </c>
      <c r="AB33" s="8">
        <v>111934</v>
      </c>
      <c r="AC33" s="8">
        <v>139156</v>
      </c>
      <c r="AD33" s="8">
        <f>SUM(C33:F33)</f>
        <v>165536</v>
      </c>
      <c r="AE33" s="8">
        <f>SUM(G33:J33)</f>
        <v>233307</v>
      </c>
      <c r="AF33" s="8">
        <f>SUM(K33:N33)</f>
        <v>272344</v>
      </c>
    </row>
    <row r="34" spans="1:32" s="8" customFormat="1">
      <c r="A34" s="8" t="s">
        <v>6</v>
      </c>
      <c r="B34" s="9">
        <v>10028</v>
      </c>
      <c r="C34" s="9">
        <v>8601</v>
      </c>
      <c r="D34" s="9">
        <v>9271</v>
      </c>
      <c r="E34" s="9">
        <v>10167</v>
      </c>
      <c r="F34" s="9">
        <v>12192</v>
      </c>
      <c r="G34" s="9">
        <v>11531</v>
      </c>
      <c r="H34" s="9">
        <v>13806</v>
      </c>
      <c r="I34" s="9">
        <v>14705</v>
      </c>
      <c r="J34" s="9">
        <v>18474</v>
      </c>
      <c r="K34" s="9">
        <v>16530</v>
      </c>
      <c r="L34" s="9">
        <v>17638</v>
      </c>
      <c r="M34" s="9">
        <v>18498</v>
      </c>
      <c r="N34" s="9">
        <v>22445</v>
      </c>
      <c r="O34" s="9">
        <v>20271</v>
      </c>
      <c r="P34" s="9"/>
      <c r="Q34" s="9"/>
      <c r="R34" s="9"/>
      <c r="Y34" s="8">
        <v>10766</v>
      </c>
      <c r="Z34" s="8">
        <v>13410</v>
      </c>
      <c r="AA34" s="8">
        <v>17619</v>
      </c>
      <c r="AB34" s="8">
        <v>25249</v>
      </c>
      <c r="AC34" s="8">
        <v>34027</v>
      </c>
      <c r="AD34" s="8">
        <f>SUM(C34:F34)</f>
        <v>40231</v>
      </c>
      <c r="AE34" s="8">
        <f>SUM(G34:J34)</f>
        <v>58516</v>
      </c>
      <c r="AF34" s="8">
        <f>SUM(K34:N34)</f>
        <v>75111</v>
      </c>
    </row>
    <row r="35" spans="1:32" s="8" customFormat="1">
      <c r="A35" s="8" t="s">
        <v>12</v>
      </c>
      <c r="B35" s="9">
        <f t="shared" ref="B35" si="7">B31-B33-B34</f>
        <v>17569</v>
      </c>
      <c r="C35" s="9">
        <f>C31-C33-C34</f>
        <v>17179</v>
      </c>
      <c r="D35" s="9">
        <f t="shared" ref="D35" si="8">D31-D33-D34</f>
        <v>17796</v>
      </c>
      <c r="E35" s="9">
        <f>E31-E33-E34</f>
        <v>18512</v>
      </c>
      <c r="F35" s="9">
        <f t="shared" ref="F35:H35" si="9">F31-F33-F34</f>
        <v>21268</v>
      </c>
      <c r="G35" s="9">
        <f t="shared" si="9"/>
        <v>19664</v>
      </c>
      <c r="H35" s="9">
        <f t="shared" si="9"/>
        <v>22446</v>
      </c>
      <c r="I35" s="9">
        <f>I31-I33-I34</f>
        <v>24334</v>
      </c>
      <c r="J35" s="9">
        <f t="shared" ref="J35" si="10">J31-J33-J34</f>
        <v>27797</v>
      </c>
      <c r="K35" s="9">
        <f>K31-K33-K34</f>
        <v>29585</v>
      </c>
      <c r="L35" s="9">
        <f t="shared" ref="L35:O35" si="11">L31-L33-L34</f>
        <v>31266</v>
      </c>
      <c r="M35" s="9">
        <f t="shared" si="11"/>
        <v>29384</v>
      </c>
      <c r="N35" s="9">
        <f t="shared" si="11"/>
        <v>32132</v>
      </c>
      <c r="O35" s="9">
        <f t="shared" si="11"/>
        <v>29674</v>
      </c>
      <c r="P35" s="9"/>
      <c r="Q35" s="9"/>
      <c r="R35" s="9"/>
      <c r="Y35" s="9">
        <f t="shared" ref="Y35:AF35" si="12">Y31-Y33-Y34</f>
        <v>15470</v>
      </c>
      <c r="Z35" s="9">
        <f t="shared" si="12"/>
        <v>21945</v>
      </c>
      <c r="AA35" s="9">
        <f t="shared" si="12"/>
        <v>30103</v>
      </c>
      <c r="AB35" s="9">
        <f t="shared" si="12"/>
        <v>40683</v>
      </c>
      <c r="AC35" s="9">
        <f t="shared" si="12"/>
        <v>59704</v>
      </c>
      <c r="AD35" s="9">
        <f t="shared" si="12"/>
        <v>74755</v>
      </c>
      <c r="AE35" s="9">
        <f t="shared" si="12"/>
        <v>94241</v>
      </c>
      <c r="AF35" s="9">
        <f t="shared" si="12"/>
        <v>122367</v>
      </c>
    </row>
    <row r="36" spans="1:32" s="8" customFormat="1">
      <c r="A36" s="8" t="s">
        <v>7</v>
      </c>
      <c r="B36" s="9">
        <v>7669</v>
      </c>
      <c r="C36" s="9">
        <v>7927</v>
      </c>
      <c r="D36" s="9">
        <v>9065</v>
      </c>
      <c r="E36" s="9">
        <v>9200</v>
      </c>
      <c r="F36" s="9">
        <v>9740</v>
      </c>
      <c r="G36" s="9">
        <v>9325</v>
      </c>
      <c r="H36" s="9">
        <v>10388</v>
      </c>
      <c r="I36" s="9">
        <v>10976</v>
      </c>
      <c r="J36" s="9">
        <v>12049</v>
      </c>
      <c r="K36" s="9">
        <v>12488</v>
      </c>
      <c r="L36" s="9">
        <v>13871</v>
      </c>
      <c r="M36" s="9">
        <v>14380</v>
      </c>
      <c r="N36" s="9">
        <v>15313</v>
      </c>
      <c r="O36" s="9">
        <v>14842</v>
      </c>
      <c r="P36" s="9"/>
      <c r="Q36" s="9"/>
      <c r="R36" s="9"/>
      <c r="Y36" s="8">
        <v>9275</v>
      </c>
      <c r="Z36" s="8">
        <v>12540</v>
      </c>
      <c r="AA36" s="8">
        <v>16085</v>
      </c>
      <c r="AB36" s="8">
        <v>22620</v>
      </c>
      <c r="AC36" s="8">
        <v>28837</v>
      </c>
      <c r="AD36" s="8">
        <f>SUM(C36:F36)</f>
        <v>35932</v>
      </c>
      <c r="AE36" s="8">
        <f>SUM(G36:J36)</f>
        <v>42738</v>
      </c>
      <c r="AF36" s="8">
        <f>SUM(K36:N36)</f>
        <v>56052</v>
      </c>
    </row>
    <row r="37" spans="1:32" s="8" customFormat="1">
      <c r="A37" s="8" t="s">
        <v>8</v>
      </c>
      <c r="B37" s="9">
        <v>4911</v>
      </c>
      <c r="C37" s="9">
        <v>3664</v>
      </c>
      <c r="D37" s="9">
        <v>4291</v>
      </c>
      <c r="E37" s="9">
        <v>4752</v>
      </c>
      <c r="F37" s="9">
        <v>6172</v>
      </c>
      <c r="G37" s="9">
        <v>4828</v>
      </c>
      <c r="H37" s="9">
        <v>4345</v>
      </c>
      <c r="I37" s="9">
        <v>5434</v>
      </c>
      <c r="J37" s="9">
        <v>7403</v>
      </c>
      <c r="K37" s="9">
        <v>6207</v>
      </c>
      <c r="L37" s="9">
        <v>7524</v>
      </c>
      <c r="M37" s="9">
        <v>8010</v>
      </c>
      <c r="N37" s="9">
        <v>10810</v>
      </c>
      <c r="O37" s="9">
        <v>8320</v>
      </c>
      <c r="P37" s="9"/>
      <c r="Q37" s="9"/>
      <c r="R37" s="9"/>
      <c r="Y37" s="8">
        <v>4332</v>
      </c>
      <c r="Z37" s="8">
        <v>5254</v>
      </c>
      <c r="AA37" s="8">
        <v>7233</v>
      </c>
      <c r="AB37" s="8">
        <v>10069</v>
      </c>
      <c r="AC37" s="8">
        <v>13814</v>
      </c>
      <c r="AD37" s="8">
        <f>SUM(C37:F37)</f>
        <v>18879</v>
      </c>
      <c r="AE37" s="8">
        <f>SUM(G37:J37)</f>
        <v>22010</v>
      </c>
      <c r="AF37" s="8">
        <f>SUM(K37:N37)</f>
        <v>32551</v>
      </c>
    </row>
    <row r="38" spans="1:32">
      <c r="A38" s="8" t="s">
        <v>9</v>
      </c>
      <c r="B38" s="9">
        <v>1117</v>
      </c>
      <c r="C38" s="9">
        <v>1173</v>
      </c>
      <c r="D38" s="9">
        <v>1270</v>
      </c>
      <c r="E38" s="9">
        <v>1348</v>
      </c>
      <c r="F38" s="9">
        <v>1412</v>
      </c>
      <c r="G38" s="9">
        <v>1452</v>
      </c>
      <c r="H38" s="9">
        <v>1580</v>
      </c>
      <c r="I38" s="9">
        <v>1668</v>
      </c>
      <c r="J38" s="9">
        <v>1968</v>
      </c>
      <c r="K38" s="9">
        <v>1987</v>
      </c>
      <c r="L38" s="9">
        <v>2158</v>
      </c>
      <c r="M38" s="9">
        <v>2153</v>
      </c>
      <c r="N38" s="9">
        <v>2525</v>
      </c>
      <c r="O38" s="9">
        <v>2594</v>
      </c>
      <c r="Y38" s="8">
        <v>1552</v>
      </c>
      <c r="Z38" s="8">
        <v>1747</v>
      </c>
      <c r="AA38" s="8">
        <v>2432</v>
      </c>
      <c r="AB38" s="8">
        <v>3674</v>
      </c>
      <c r="AC38" s="8">
        <v>4336</v>
      </c>
      <c r="AD38" s="8">
        <f>SUM(C38:F38)</f>
        <v>5203</v>
      </c>
      <c r="AE38" s="8">
        <f>SUM(G38:J38)</f>
        <v>6668</v>
      </c>
      <c r="AF38" s="8">
        <f>SUM(K38:N38)</f>
        <v>8823</v>
      </c>
    </row>
    <row r="39" spans="1:32">
      <c r="A39" s="8" t="s">
        <v>10</v>
      </c>
      <c r="B39" s="9">
        <f t="shared" ref="B39" si="13">SUM(B36:B38)</f>
        <v>13697</v>
      </c>
      <c r="C39" s="9">
        <f>SUM(C36:C38)</f>
        <v>12764</v>
      </c>
      <c r="D39" s="9">
        <f t="shared" ref="D39" si="14">SUM(D36:D38)</f>
        <v>14626</v>
      </c>
      <c r="E39" s="9">
        <f>SUM(E36:E38)</f>
        <v>15300</v>
      </c>
      <c r="F39" s="9">
        <f t="shared" ref="F39:H39" si="15">SUM(F36:F38)</f>
        <v>17324</v>
      </c>
      <c r="G39" s="9">
        <f t="shared" si="15"/>
        <v>15605</v>
      </c>
      <c r="H39" s="9">
        <f t="shared" si="15"/>
        <v>16313</v>
      </c>
      <c r="I39" s="9">
        <f>SUM(I36:I38)</f>
        <v>18078</v>
      </c>
      <c r="J39" s="9">
        <f t="shared" ref="J39" si="16">SUM(J36:J38)</f>
        <v>21420</v>
      </c>
      <c r="K39" s="9">
        <f>SUM(K36:K38)</f>
        <v>20682</v>
      </c>
      <c r="L39" s="9">
        <f t="shared" ref="L39:O39" si="17">SUM(L36:L38)</f>
        <v>23553</v>
      </c>
      <c r="M39" s="9">
        <f t="shared" si="17"/>
        <v>24543</v>
      </c>
      <c r="N39" s="9">
        <f t="shared" si="17"/>
        <v>28648</v>
      </c>
      <c r="O39" s="9">
        <f t="shared" si="17"/>
        <v>25756</v>
      </c>
      <c r="Y39" s="9">
        <f t="shared" ref="Y39:AF39" si="18">SUM(Y36:Y38)</f>
        <v>15159</v>
      </c>
      <c r="Z39" s="9">
        <f t="shared" si="18"/>
        <v>19541</v>
      </c>
      <c r="AA39" s="9">
        <f t="shared" si="18"/>
        <v>25750</v>
      </c>
      <c r="AB39" s="9">
        <f t="shared" si="18"/>
        <v>36363</v>
      </c>
      <c r="AC39" s="9">
        <f t="shared" si="18"/>
        <v>46987</v>
      </c>
      <c r="AD39" s="9">
        <f t="shared" si="18"/>
        <v>60014</v>
      </c>
      <c r="AE39" s="9">
        <f t="shared" si="18"/>
        <v>71416</v>
      </c>
      <c r="AF39" s="9">
        <f t="shared" si="18"/>
        <v>97426</v>
      </c>
    </row>
    <row r="40" spans="1:32">
      <c r="A40" s="8" t="s">
        <v>11</v>
      </c>
      <c r="B40" s="9">
        <f t="shared" ref="B40" si="19">B35-B39</f>
        <v>3872</v>
      </c>
      <c r="C40" s="9">
        <f>C35-C39</f>
        <v>4415</v>
      </c>
      <c r="D40" s="9">
        <f t="shared" ref="D40" si="20">D35-D39</f>
        <v>3170</v>
      </c>
      <c r="E40" s="9">
        <f>E35-E39</f>
        <v>3212</v>
      </c>
      <c r="F40" s="9">
        <f t="shared" ref="F40:H40" si="21">F35-F39</f>
        <v>3944</v>
      </c>
      <c r="G40" s="9">
        <f t="shared" si="21"/>
        <v>4059</v>
      </c>
      <c r="H40" s="9">
        <f t="shared" si="21"/>
        <v>6133</v>
      </c>
      <c r="I40" s="9">
        <f>I35-I39</f>
        <v>6256</v>
      </c>
      <c r="J40" s="9">
        <f t="shared" ref="J40" si="22">J35-J39</f>
        <v>6377</v>
      </c>
      <c r="K40" s="9">
        <f>K35-K39</f>
        <v>8903</v>
      </c>
      <c r="L40" s="9">
        <f t="shared" ref="L40:O40" si="23">L35-L39</f>
        <v>7713</v>
      </c>
      <c r="M40" s="9">
        <f t="shared" si="23"/>
        <v>4841</v>
      </c>
      <c r="N40" s="9">
        <f t="shared" si="23"/>
        <v>3484</v>
      </c>
      <c r="O40" s="9">
        <f t="shared" si="23"/>
        <v>3918</v>
      </c>
      <c r="Y40" s="9">
        <f t="shared" ref="Y40:AF40" si="24">Y35-Y39</f>
        <v>311</v>
      </c>
      <c r="Z40" s="9">
        <f t="shared" si="24"/>
        <v>2404</v>
      </c>
      <c r="AA40" s="9">
        <f t="shared" si="24"/>
        <v>4353</v>
      </c>
      <c r="AB40" s="9">
        <f t="shared" si="24"/>
        <v>4320</v>
      </c>
      <c r="AC40" s="9">
        <f t="shared" si="24"/>
        <v>12717</v>
      </c>
      <c r="AD40" s="9">
        <f t="shared" si="24"/>
        <v>14741</v>
      </c>
      <c r="AE40" s="9">
        <f t="shared" si="24"/>
        <v>22825</v>
      </c>
      <c r="AF40" s="9">
        <f t="shared" si="24"/>
        <v>24941</v>
      </c>
    </row>
    <row r="41" spans="1:32" s="8" customFormat="1">
      <c r="A41" s="8" t="s">
        <v>14</v>
      </c>
      <c r="B41" s="9">
        <f>-86+150-387-199</f>
        <v>-522</v>
      </c>
      <c r="C41" s="9">
        <f>5+183-366+164</f>
        <v>-14</v>
      </c>
      <c r="D41" s="9">
        <f>-86+215-383-27</f>
        <v>-281</v>
      </c>
      <c r="E41" s="9">
        <f>-55+224-396-353</f>
        <v>-580</v>
      </c>
      <c r="F41" s="9">
        <f>-65+211-455+418</f>
        <v>109</v>
      </c>
      <c r="G41" s="9">
        <f>-70+202-402-406</f>
        <v>-676</v>
      </c>
      <c r="H41" s="9">
        <f>-290+135-403+646</f>
        <v>88</v>
      </c>
      <c r="I41" s="9">
        <f>-62+118-428+925</f>
        <v>553</v>
      </c>
      <c r="J41" s="9">
        <f>496+100-414+1206</f>
        <v>1388</v>
      </c>
      <c r="K41" s="9">
        <f>-38+105-399+1697</f>
        <v>1365</v>
      </c>
      <c r="L41" s="9">
        <f>-11+106-435+1261</f>
        <v>921</v>
      </c>
      <c r="M41" s="9">
        <f>11+119-493-163</f>
        <v>-526</v>
      </c>
      <c r="N41" s="9">
        <f>-24+118-482+11838</f>
        <v>11450</v>
      </c>
      <c r="O41" s="9">
        <f>-249+108-472-8570</f>
        <v>-9183</v>
      </c>
      <c r="P41" s="9"/>
      <c r="Q41" s="9"/>
      <c r="R41" s="9"/>
      <c r="Y41" s="8">
        <f>-133+39-210-118</f>
        <v>-422</v>
      </c>
      <c r="Z41" s="8">
        <f>-171+50-459-256</f>
        <v>-836</v>
      </c>
      <c r="AA41" s="8">
        <f>-167+100-484+90</f>
        <v>-461</v>
      </c>
      <c r="AB41" s="8">
        <f>-214+202-848+346</f>
        <v>-514</v>
      </c>
      <c r="AC41" s="8">
        <f>-296+440-1417-183</f>
        <v>-1456</v>
      </c>
      <c r="AD41" s="8">
        <f>SUM(C41:F41)</f>
        <v>-766</v>
      </c>
      <c r="AE41" s="8">
        <f>SUM(G41:J41)</f>
        <v>1353</v>
      </c>
      <c r="AF41" s="8">
        <f>SUM(K41:N41)</f>
        <v>13210</v>
      </c>
    </row>
    <row r="42" spans="1:32" s="8" customFormat="1">
      <c r="A42" s="8" t="s">
        <v>13</v>
      </c>
      <c r="B42" s="9">
        <f t="shared" ref="B42" si="25">B40+B41</f>
        <v>3350</v>
      </c>
      <c r="C42" s="9">
        <f>C40+C41</f>
        <v>4401</v>
      </c>
      <c r="D42" s="9">
        <f t="shared" ref="D42" si="26">D40+D41</f>
        <v>2889</v>
      </c>
      <c r="E42" s="9">
        <f>E40+E41</f>
        <v>2632</v>
      </c>
      <c r="F42" s="9">
        <f t="shared" ref="F42:H42" si="27">F40+F41</f>
        <v>4053</v>
      </c>
      <c r="G42" s="9">
        <f t="shared" si="27"/>
        <v>3383</v>
      </c>
      <c r="H42" s="9">
        <f t="shared" si="27"/>
        <v>6221</v>
      </c>
      <c r="I42" s="9">
        <f>I40+I41</f>
        <v>6809</v>
      </c>
      <c r="J42" s="9">
        <f t="shared" ref="J42" si="28">J40+J41</f>
        <v>7765</v>
      </c>
      <c r="K42" s="9">
        <f>K40+K41</f>
        <v>10268</v>
      </c>
      <c r="L42" s="9">
        <f t="shared" ref="L42:O42" si="29">L40+L41</f>
        <v>8634</v>
      </c>
      <c r="M42" s="9">
        <f t="shared" si="29"/>
        <v>4315</v>
      </c>
      <c r="N42" s="9">
        <f t="shared" si="29"/>
        <v>14934</v>
      </c>
      <c r="O42" s="9">
        <f t="shared" si="29"/>
        <v>-5265</v>
      </c>
      <c r="P42" s="9"/>
      <c r="Q42" s="9"/>
      <c r="R42" s="9"/>
      <c r="Y42" s="9">
        <f t="shared" ref="Y42:AF42" si="30">Y40+Y41</f>
        <v>-111</v>
      </c>
      <c r="Z42" s="9">
        <f t="shared" si="30"/>
        <v>1568</v>
      </c>
      <c r="AA42" s="9">
        <f t="shared" si="30"/>
        <v>3892</v>
      </c>
      <c r="AB42" s="9">
        <f t="shared" si="30"/>
        <v>3806</v>
      </c>
      <c r="AC42" s="9">
        <f t="shared" si="30"/>
        <v>11261</v>
      </c>
      <c r="AD42" s="9">
        <f t="shared" si="30"/>
        <v>13975</v>
      </c>
      <c r="AE42" s="9">
        <f t="shared" si="30"/>
        <v>24178</v>
      </c>
      <c r="AF42" s="9">
        <f t="shared" si="30"/>
        <v>38151</v>
      </c>
    </row>
    <row r="43" spans="1:32" s="8" customFormat="1">
      <c r="A43" s="8" t="s">
        <v>15</v>
      </c>
      <c r="B43" s="9">
        <f>327-4</f>
        <v>323</v>
      </c>
      <c r="C43" s="9">
        <f>836+4</f>
        <v>840</v>
      </c>
      <c r="D43" s="9">
        <f>257+7</f>
        <v>264</v>
      </c>
      <c r="E43" s="9">
        <f>494+4</f>
        <v>498</v>
      </c>
      <c r="F43" s="9">
        <f>786-1</f>
        <v>785</v>
      </c>
      <c r="G43" s="9">
        <f>744+104</f>
        <v>848</v>
      </c>
      <c r="H43" s="9">
        <f>984-6</f>
        <v>978</v>
      </c>
      <c r="I43" s="9">
        <f>569-91</f>
        <v>478</v>
      </c>
      <c r="J43" s="9">
        <f>566-23</f>
        <v>543</v>
      </c>
      <c r="K43" s="9">
        <f>2156+5</f>
        <v>2161</v>
      </c>
      <c r="L43" s="9">
        <f>868-12</f>
        <v>856</v>
      </c>
      <c r="M43" s="9">
        <f>1155+4</f>
        <v>1159</v>
      </c>
      <c r="N43" s="9">
        <f>612-1</f>
        <v>611</v>
      </c>
      <c r="O43" s="9">
        <f>-1422+1</f>
        <v>-1421</v>
      </c>
      <c r="P43" s="9"/>
      <c r="Q43" s="9"/>
      <c r="R43" s="9"/>
      <c r="Y43" s="8">
        <f>167-37</f>
        <v>130</v>
      </c>
      <c r="Z43" s="8">
        <f>950+22</f>
        <v>972</v>
      </c>
      <c r="AA43" s="8">
        <f>1425+96</f>
        <v>1521</v>
      </c>
      <c r="AB43" s="8">
        <f>769+4</f>
        <v>773</v>
      </c>
      <c r="AC43" s="8">
        <f>1197-9</f>
        <v>1188</v>
      </c>
      <c r="AD43" s="8">
        <f>SUM(C43:F43)</f>
        <v>2387</v>
      </c>
      <c r="AE43" s="8">
        <f>SUM(G43:J43)</f>
        <v>2847</v>
      </c>
      <c r="AF43" s="8">
        <f>SUM(K43:N43)</f>
        <v>4787</v>
      </c>
    </row>
    <row r="44" spans="1:32" s="8" customFormat="1">
      <c r="A44" s="8" t="s">
        <v>16</v>
      </c>
      <c r="B44" s="9">
        <f t="shared" ref="B44" si="31">B42-B43</f>
        <v>3027</v>
      </c>
      <c r="C44" s="9">
        <f>C42-C43</f>
        <v>3561</v>
      </c>
      <c r="D44" s="9">
        <f t="shared" ref="D44" si="32">D42-D43</f>
        <v>2625</v>
      </c>
      <c r="E44" s="9">
        <f>E42-E43</f>
        <v>2134</v>
      </c>
      <c r="F44" s="9">
        <f t="shared" ref="F44:H44" si="33">F42-F43</f>
        <v>3268</v>
      </c>
      <c r="G44" s="9">
        <f t="shared" si="33"/>
        <v>2535</v>
      </c>
      <c r="H44" s="9">
        <f t="shared" si="33"/>
        <v>5243</v>
      </c>
      <c r="I44" s="9">
        <f>I42-I43</f>
        <v>6331</v>
      </c>
      <c r="J44" s="9">
        <f t="shared" ref="J44" si="34">J42-J43</f>
        <v>7222</v>
      </c>
      <c r="K44" s="9">
        <f>K42-K43</f>
        <v>8107</v>
      </c>
      <c r="L44" s="9">
        <f t="shared" ref="L44:O44" si="35">L42-L43</f>
        <v>7778</v>
      </c>
      <c r="M44" s="9">
        <f t="shared" si="35"/>
        <v>3156</v>
      </c>
      <c r="N44" s="9">
        <f t="shared" si="35"/>
        <v>14323</v>
      </c>
      <c r="O44" s="9">
        <f t="shared" si="35"/>
        <v>-3844</v>
      </c>
      <c r="P44" s="9"/>
      <c r="Q44" s="9"/>
      <c r="R44" s="9"/>
      <c r="Y44" s="9">
        <f t="shared" ref="Y44:AF44" si="36">Y42-Y43</f>
        <v>-241</v>
      </c>
      <c r="Z44" s="9">
        <f t="shared" si="36"/>
        <v>596</v>
      </c>
      <c r="AA44" s="9">
        <f t="shared" si="36"/>
        <v>2371</v>
      </c>
      <c r="AB44" s="9">
        <f t="shared" si="36"/>
        <v>3033</v>
      </c>
      <c r="AC44" s="9">
        <f t="shared" si="36"/>
        <v>10073</v>
      </c>
      <c r="AD44" s="9">
        <f t="shared" si="36"/>
        <v>11588</v>
      </c>
      <c r="AE44" s="9">
        <f t="shared" si="36"/>
        <v>21331</v>
      </c>
      <c r="AF44" s="9">
        <f t="shared" si="36"/>
        <v>33364</v>
      </c>
    </row>
    <row r="45" spans="1:32">
      <c r="A45" s="8" t="s">
        <v>17</v>
      </c>
      <c r="B45" s="12">
        <f t="shared" ref="B45" si="37">B44/B46</f>
        <v>6.0419161676646711</v>
      </c>
      <c r="C45" s="12">
        <f>C44/C46</f>
        <v>7.0936254980079685</v>
      </c>
      <c r="D45" s="12">
        <f t="shared" ref="D45" si="38">D44/D46</f>
        <v>5.2186878727634198</v>
      </c>
      <c r="E45" s="12">
        <f>E44/E46</f>
        <v>4.2341269841269842</v>
      </c>
      <c r="F45" s="12">
        <f t="shared" ref="F45:H45" si="39">F44/F46</f>
        <v>6.4712871287128717</v>
      </c>
      <c r="G45" s="12">
        <f t="shared" si="39"/>
        <v>5.0098814229249014</v>
      </c>
      <c r="H45" s="12">
        <f t="shared" si="39"/>
        <v>10.300589390962672</v>
      </c>
      <c r="I45" s="12">
        <f>I44/I46</f>
        <v>12.365234375</v>
      </c>
      <c r="J45" s="12">
        <f t="shared" ref="J45" si="40">J44/J46</f>
        <v>14.077972709551657</v>
      </c>
      <c r="K45" s="12">
        <f>K44/K46</f>
        <v>15.803118908382066</v>
      </c>
      <c r="L45" s="12">
        <f>L44/L46</f>
        <v>15.132295719844358</v>
      </c>
      <c r="M45" s="12">
        <f>M44/M46</f>
        <v>6.1281553398058248</v>
      </c>
      <c r="N45" s="12">
        <f>N44/N46</f>
        <v>27.757751937984494</v>
      </c>
      <c r="O45" s="12">
        <f>O44/O46</f>
        <v>-7.5520628683693518</v>
      </c>
      <c r="P45" s="12"/>
      <c r="Y45" s="12">
        <f t="shared" ref="Y45:AD45" si="41">Y44/Y46</f>
        <v>-0.52164502164502169</v>
      </c>
      <c r="Z45" s="12">
        <f t="shared" si="41"/>
        <v>1.249475890985325</v>
      </c>
      <c r="AA45" s="12">
        <f t="shared" si="41"/>
        <v>4.8987603305785123</v>
      </c>
      <c r="AB45" s="12">
        <f t="shared" si="41"/>
        <v>6.1521298174442194</v>
      </c>
      <c r="AC45" s="12">
        <f t="shared" si="41"/>
        <v>20.146000000000001</v>
      </c>
      <c r="AD45" s="12">
        <f t="shared" si="41"/>
        <v>23.014895729890764</v>
      </c>
      <c r="AE45" s="12">
        <f>AE44/AE46</f>
        <v>41.825490196078434</v>
      </c>
      <c r="AF45" s="12">
        <f>AF44/AF46</f>
        <v>64.847424684159378</v>
      </c>
    </row>
    <row r="46" spans="1:32">
      <c r="A46" s="8" t="s">
        <v>1</v>
      </c>
      <c r="B46" s="4">
        <v>501</v>
      </c>
      <c r="C46" s="4">
        <v>502</v>
      </c>
      <c r="D46" s="4">
        <v>503</v>
      </c>
      <c r="E46" s="4">
        <v>504</v>
      </c>
      <c r="F46" s="4">
        <v>505</v>
      </c>
      <c r="G46" s="4">
        <v>506</v>
      </c>
      <c r="H46" s="4">
        <v>509</v>
      </c>
      <c r="I46" s="4">
        <v>512</v>
      </c>
      <c r="J46" s="4">
        <v>513</v>
      </c>
      <c r="K46" s="4">
        <v>513</v>
      </c>
      <c r="L46" s="4">
        <v>514</v>
      </c>
      <c r="M46" s="4">
        <v>515</v>
      </c>
      <c r="N46" s="4">
        <v>516</v>
      </c>
      <c r="O46" s="4">
        <v>509</v>
      </c>
      <c r="Y46" s="5">
        <v>462</v>
      </c>
      <c r="Z46" s="5">
        <v>477</v>
      </c>
      <c r="AA46" s="5">
        <v>484</v>
      </c>
      <c r="AB46" s="9">
        <v>493</v>
      </c>
      <c r="AC46" s="9">
        <v>500</v>
      </c>
      <c r="AD46" s="9">
        <f>AVERAGE(C46:F46)</f>
        <v>503.5</v>
      </c>
      <c r="AE46" s="9">
        <f>AVERAGE(G46:J46)</f>
        <v>510</v>
      </c>
      <c r="AF46" s="9">
        <f>AVERAGE(K46:N46)</f>
        <v>514.5</v>
      </c>
    </row>
    <row r="48" spans="1:32" s="15" customFormat="1">
      <c r="A48" s="10" t="s">
        <v>21</v>
      </c>
      <c r="B48" s="13"/>
      <c r="C48" s="13"/>
      <c r="D48" s="13"/>
      <c r="E48" s="13"/>
      <c r="F48" s="14">
        <f>F31/B31-1</f>
        <v>0.20797701117665746</v>
      </c>
      <c r="G48" s="14">
        <f>G31/C31-1</f>
        <v>0.26385259631490787</v>
      </c>
      <c r="H48" s="14">
        <f t="shared" ref="H48:N48" si="42">H31/D31-1</f>
        <v>0.40230900258658764</v>
      </c>
      <c r="I48" s="14">
        <f t="shared" si="42"/>
        <v>0.37387290836084075</v>
      </c>
      <c r="J48" s="14">
        <f t="shared" si="42"/>
        <v>0.43594816839553041</v>
      </c>
      <c r="K48" s="14">
        <f t="shared" si="42"/>
        <v>0.43823888034777081</v>
      </c>
      <c r="L48" s="14">
        <f t="shared" si="42"/>
        <v>0.27181932697498645</v>
      </c>
      <c r="M48" s="14">
        <f t="shared" si="42"/>
        <v>0.15255083467679031</v>
      </c>
      <c r="N48" s="14">
        <f t="shared" si="42"/>
        <v>9.4436701047349692E-2</v>
      </c>
      <c r="O48" s="14">
        <f>O31/K31-1</f>
        <v>7.3038574245747334E-2</v>
      </c>
      <c r="P48" s="13"/>
      <c r="Q48" s="13"/>
      <c r="R48" s="13"/>
      <c r="Y48" s="16">
        <v>0.2</v>
      </c>
      <c r="Z48" s="16">
        <f>Z31/Y31-1</f>
        <v>0.20247673843664304</v>
      </c>
      <c r="AA48" s="16">
        <f>AA31/Z31-1</f>
        <v>0.27083528026465808</v>
      </c>
      <c r="AB48" s="16">
        <f>AB31/AA31-1</f>
        <v>0.30796326119408479</v>
      </c>
      <c r="AC48" s="16">
        <f t="shared" ref="AC48:AE48" si="43">AC31/AB31-1</f>
        <v>0.3093396152159491</v>
      </c>
      <c r="AD48" s="16">
        <f t="shared" si="43"/>
        <v>0.20454125820676983</v>
      </c>
      <c r="AE48" s="16">
        <f t="shared" si="43"/>
        <v>0.37623430604373276</v>
      </c>
      <c r="AF48" s="16">
        <f>AF31/AE31-1</f>
        <v>0.21695366571345676</v>
      </c>
    </row>
    <row r="49" spans="1:32">
      <c r="A49" s="8" t="s">
        <v>30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AC49" s="18"/>
      <c r="AD49" s="18">
        <f t="shared" ref="AD49:AE49" si="44">AD21/AC21-1</f>
        <v>0.14847097660728359</v>
      </c>
      <c r="AE49" s="18">
        <f t="shared" si="44"/>
        <v>0.39719073679440986</v>
      </c>
      <c r="AF49" s="18">
        <f>AF21/AE21-1</f>
        <v>0.12529072860769497</v>
      </c>
    </row>
    <row r="50" spans="1:32">
      <c r="A50" s="8" t="s">
        <v>31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AC50" s="18"/>
      <c r="AD50" s="18">
        <f t="shared" ref="AD50:AF52" si="45">AD23/AC23-1</f>
        <v>0.25771435255585451</v>
      </c>
      <c r="AE50" s="18">
        <f t="shared" si="45"/>
        <v>0.4961961273041795</v>
      </c>
      <c r="AF50" s="18">
        <f>AF23/AE23-1</f>
        <v>0.28505538495965776</v>
      </c>
    </row>
    <row r="51" spans="1:32">
      <c r="A51" s="8" t="s">
        <v>32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AC51" s="18"/>
      <c r="AD51" s="18">
        <f t="shared" si="45"/>
        <v>0.35596809486835612</v>
      </c>
      <c r="AE51" s="18">
        <f t="shared" si="45"/>
        <v>0.31218115564810001</v>
      </c>
      <c r="AF51" s="18">
        <f>AF24/AE24-1</f>
        <v>0.26028484151227826</v>
      </c>
    </row>
    <row r="52" spans="1:32">
      <c r="A52" s="8" t="s">
        <v>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AC52" s="18"/>
      <c r="AD52" s="18">
        <f t="shared" si="45"/>
        <v>0.39354966363276622</v>
      </c>
      <c r="AE52" s="18">
        <f t="shared" si="45"/>
        <v>0.4819679114013915</v>
      </c>
      <c r="AF52" s="18">
        <f t="shared" si="45"/>
        <v>0.49269461077844312</v>
      </c>
    </row>
    <row r="53" spans="1:32">
      <c r="A53" s="8" t="s">
        <v>22</v>
      </c>
      <c r="F53" s="17">
        <f t="shared" ref="F53:N53" si="46">F19/B19-1</f>
        <v>0.33970390309555865</v>
      </c>
      <c r="G53" s="17">
        <f t="shared" si="46"/>
        <v>0.32783264033264037</v>
      </c>
      <c r="H53" s="17">
        <f t="shared" si="46"/>
        <v>0.28958358191146649</v>
      </c>
      <c r="I53" s="17">
        <f t="shared" si="46"/>
        <v>0.28971650917176217</v>
      </c>
      <c r="J53" s="17">
        <f t="shared" si="46"/>
        <v>0.28008840667068524</v>
      </c>
      <c r="K53" s="17">
        <f t="shared" si="46"/>
        <v>0.32136216850963883</v>
      </c>
      <c r="L53" s="17">
        <f t="shared" si="46"/>
        <v>0.37018874907475952</v>
      </c>
      <c r="M53" s="17">
        <f t="shared" si="46"/>
        <v>0.3886733902249806</v>
      </c>
      <c r="N53" s="17">
        <f t="shared" si="46"/>
        <v>0.39538533982106427</v>
      </c>
      <c r="O53" s="17">
        <f>O19/K19-1</f>
        <v>0.36569651188624741</v>
      </c>
      <c r="Z53" s="18">
        <f t="shared" ref="Z53:AE53" si="47">Z19/Y19-1</f>
        <v>0.69681309216192933</v>
      </c>
      <c r="AA53" s="18">
        <f t="shared" si="47"/>
        <v>0.55063451776649752</v>
      </c>
      <c r="AB53" s="18">
        <f t="shared" si="47"/>
        <v>0.42884033063262139</v>
      </c>
      <c r="AC53" s="18">
        <f t="shared" si="47"/>
        <v>0.46944269431238905</v>
      </c>
      <c r="AD53" s="18">
        <f t="shared" si="47"/>
        <v>0.36526992788930035</v>
      </c>
      <c r="AE53" s="18">
        <f t="shared" si="47"/>
        <v>0.29532347399074976</v>
      </c>
      <c r="AF53" s="18">
        <f>AF19/AE19-1</f>
        <v>0.37099404893101173</v>
      </c>
    </row>
    <row r="54" spans="1:32">
      <c r="A54" s="8" t="s">
        <v>12</v>
      </c>
      <c r="B54" s="17">
        <f t="shared" ref="B54:G54" si="48">B35/B31</f>
        <v>0.24272273876462705</v>
      </c>
      <c r="C54" s="17">
        <f t="shared" si="48"/>
        <v>0.28775544388609714</v>
      </c>
      <c r="D54" s="17">
        <f t="shared" si="48"/>
        <v>0.28067629802536115</v>
      </c>
      <c r="E54" s="17">
        <f t="shared" si="48"/>
        <v>0.26452894357039769</v>
      </c>
      <c r="F54" s="17">
        <f t="shared" si="48"/>
        <v>0.24323798849457323</v>
      </c>
      <c r="G54" s="17">
        <f t="shared" si="48"/>
        <v>0.26061602078142393</v>
      </c>
      <c r="H54" s="17">
        <f>H35/H31</f>
        <v>0.25245186251574592</v>
      </c>
      <c r="I54" s="17">
        <f>I35/I31</f>
        <v>0.25309688491341203</v>
      </c>
      <c r="J54" s="17">
        <f>J35/J31</f>
        <v>0.22139301501334077</v>
      </c>
      <c r="K54" s="17">
        <f>K35/K31</f>
        <v>0.2726275825208721</v>
      </c>
      <c r="L54" s="17">
        <f t="shared" ref="L54:O54" si="49">L35/L31</f>
        <v>0.27649451715599577</v>
      </c>
      <c r="M54" s="17">
        <f t="shared" si="49"/>
        <v>0.26516983720174708</v>
      </c>
      <c r="N54" s="17">
        <f t="shared" si="49"/>
        <v>0.23383692836142403</v>
      </c>
      <c r="O54" s="17">
        <f t="shared" si="49"/>
        <v>0.25483494211809971</v>
      </c>
      <c r="Y54" s="19">
        <f t="shared" ref="Y54:AE54" si="50">Y35/Y31</f>
        <v>0.17384366431428958</v>
      </c>
      <c r="Z54" s="19">
        <f t="shared" si="50"/>
        <v>0.20508195802104554</v>
      </c>
      <c r="AA54" s="19">
        <f t="shared" si="50"/>
        <v>0.22136674829211617</v>
      </c>
      <c r="AB54" s="19">
        <f t="shared" si="50"/>
        <v>0.22872836854710848</v>
      </c>
      <c r="AC54" s="19">
        <f t="shared" si="50"/>
        <v>0.25636467471348767</v>
      </c>
      <c r="AD54" s="19">
        <f t="shared" si="50"/>
        <v>0.26648533804835273</v>
      </c>
      <c r="AE54" s="19">
        <f t="shared" si="50"/>
        <v>0.24410719466202496</v>
      </c>
      <c r="AF54" s="19">
        <f>AF35/AF31</f>
        <v>0.26045395915900066</v>
      </c>
    </row>
    <row r="77" spans="1:18" s="8" customFormat="1">
      <c r="A77" s="8" t="s">
        <v>29</v>
      </c>
      <c r="B77" s="9"/>
      <c r="C77" s="9"/>
      <c r="D77" s="9"/>
      <c r="E77" s="9"/>
      <c r="F77" s="9"/>
      <c r="G77" s="9"/>
      <c r="H77" s="9"/>
      <c r="I77" s="9"/>
      <c r="J77" s="9">
        <v>1298</v>
      </c>
      <c r="K77" s="9">
        <v>1271</v>
      </c>
      <c r="L77" s="9">
        <v>1335</v>
      </c>
      <c r="M77" s="9">
        <v>1468</v>
      </c>
      <c r="N77" s="9">
        <v>1608</v>
      </c>
      <c r="O77" s="9">
        <v>1622</v>
      </c>
      <c r="P77" s="9"/>
      <c r="Q77" s="9"/>
      <c r="R77" s="9"/>
    </row>
  </sheetData>
  <conditionalFormatting sqref="A1:XFD2">
    <cfRule type="cellIs" dxfId="4" priority="1" operator="lessThan">
      <formula>0</formula>
    </cfRule>
  </conditionalFormatting>
  <hyperlinks>
    <hyperlink ref="A9" location="Main!A1" display="Main" xr:uid="{C2616386-3B90-A647-9F7B-0EA44968FF3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4FF6-E559-5642-BEFB-16B6BC4CD7ED}">
  <dimension ref="A1:AJ96"/>
  <sheetViews>
    <sheetView tabSelected="1" workbookViewId="0">
      <pane xSplit="1" ySplit="10" topLeftCell="B27" activePane="bottomRight" state="frozen"/>
      <selection pane="topRight" activeCell="C1" sqref="C1"/>
      <selection pane="bottomLeft" activeCell="A5" sqref="A5"/>
      <selection pane="bottomRight" activeCell="B47" sqref="B47"/>
    </sheetView>
  </sheetViews>
  <sheetFormatPr baseColWidth="10" defaultColWidth="8.83203125" defaultRowHeight="16" outlineLevelCol="1"/>
  <cols>
    <col min="1" max="1" width="36.83203125" style="5" customWidth="1"/>
    <col min="2" max="5" width="8.83203125" style="4" customWidth="1" outlineLevel="1"/>
    <col min="6" max="6" width="9.83203125" style="4" bestFit="1" customWidth="1"/>
    <col min="7" max="17" width="8.83203125" style="4"/>
    <col min="18" max="23" width="8.83203125" style="5"/>
    <col min="24" max="29" width="8.83203125" style="5" customWidth="1" outlineLevel="1"/>
    <col min="30" max="16384" width="8.83203125" style="5"/>
  </cols>
  <sheetData>
    <row r="1" spans="1:36" s="21" customFormat="1" ht="81" customHeight="1">
      <c r="A1" s="20" t="s">
        <v>57</v>
      </c>
    </row>
    <row r="2" spans="1:36" s="21" customFormat="1" ht="28">
      <c r="A2" s="22" t="s">
        <v>59</v>
      </c>
    </row>
    <row r="3" spans="1:36">
      <c r="A3" s="5" t="s">
        <v>58</v>
      </c>
    </row>
    <row r="7" spans="1:36">
      <c r="A7" s="6" t="s">
        <v>0</v>
      </c>
    </row>
    <row r="9" spans="1:36">
      <c r="B9" s="4" t="s">
        <v>37</v>
      </c>
      <c r="C9" s="4" t="s">
        <v>38</v>
      </c>
      <c r="D9" s="4" t="s">
        <v>39</v>
      </c>
      <c r="E9" s="4" t="s">
        <v>40</v>
      </c>
      <c r="F9" s="4" t="s">
        <v>41</v>
      </c>
      <c r="G9" s="4" t="s">
        <v>42</v>
      </c>
      <c r="H9" s="4" t="s">
        <v>43</v>
      </c>
      <c r="I9" s="4" t="s">
        <v>44</v>
      </c>
      <c r="J9" s="4" t="s">
        <v>45</v>
      </c>
      <c r="K9" s="4" t="s">
        <v>46</v>
      </c>
      <c r="L9" s="4" t="s">
        <v>47</v>
      </c>
      <c r="M9" s="4" t="s">
        <v>48</v>
      </c>
      <c r="N9" s="4" t="s">
        <v>49</v>
      </c>
      <c r="O9" s="4" t="s">
        <v>50</v>
      </c>
      <c r="P9" s="4" t="s">
        <v>53</v>
      </c>
      <c r="Q9" s="4" t="s">
        <v>54</v>
      </c>
      <c r="R9" s="4" t="s">
        <v>55</v>
      </c>
      <c r="S9" s="4" t="s">
        <v>56</v>
      </c>
      <c r="T9" s="4" t="s">
        <v>51</v>
      </c>
      <c r="U9" s="4" t="s">
        <v>52</v>
      </c>
      <c r="X9" s="5">
        <v>2014</v>
      </c>
      <c r="Y9" s="5">
        <f t="shared" ref="Y9:AC9" si="0">+X9+1</f>
        <v>2015</v>
      </c>
      <c r="Z9" s="5">
        <f t="shared" si="0"/>
        <v>2016</v>
      </c>
      <c r="AA9" s="5">
        <f t="shared" si="0"/>
        <v>2017</v>
      </c>
      <c r="AB9" s="5">
        <f t="shared" si="0"/>
        <v>2018</v>
      </c>
      <c r="AC9" s="5">
        <f t="shared" si="0"/>
        <v>2019</v>
      </c>
      <c r="AD9" s="5" t="s">
        <v>60</v>
      </c>
      <c r="AE9" s="5" t="s">
        <v>63</v>
      </c>
      <c r="AF9" s="5" t="s">
        <v>61</v>
      </c>
      <c r="AG9" s="5" t="s">
        <v>62</v>
      </c>
      <c r="AH9" s="5" t="s">
        <v>64</v>
      </c>
      <c r="AI9" s="5" t="s">
        <v>65</v>
      </c>
      <c r="AJ9" s="5" t="s">
        <v>66</v>
      </c>
    </row>
    <row r="10" spans="1:36">
      <c r="B10" s="7">
        <v>43555</v>
      </c>
      <c r="C10" s="7">
        <v>43646</v>
      </c>
      <c r="D10" s="7">
        <v>43738</v>
      </c>
      <c r="E10" s="7">
        <v>43830</v>
      </c>
      <c r="F10" s="7">
        <f>B10+366</f>
        <v>43921</v>
      </c>
      <c r="G10" s="7">
        <f t="shared" ref="G10:I10" si="1">C10+366</f>
        <v>44012</v>
      </c>
      <c r="H10" s="7">
        <f t="shared" si="1"/>
        <v>44104</v>
      </c>
      <c r="I10" s="7">
        <f t="shared" si="1"/>
        <v>44196</v>
      </c>
      <c r="J10" s="7">
        <f>F10+365</f>
        <v>44286</v>
      </c>
      <c r="K10" s="7">
        <f t="shared" ref="K10:N10" si="2">G10+365</f>
        <v>44377</v>
      </c>
      <c r="L10" s="7">
        <f t="shared" si="2"/>
        <v>44469</v>
      </c>
      <c r="M10" s="7">
        <f t="shared" si="2"/>
        <v>44561</v>
      </c>
      <c r="N10" s="7">
        <f t="shared" si="2"/>
        <v>44651</v>
      </c>
      <c r="R10" s="4"/>
      <c r="S10" s="4"/>
      <c r="T10" s="4"/>
      <c r="U10" s="4"/>
      <c r="AD10" s="5">
        <v>2020</v>
      </c>
      <c r="AE10" s="5">
        <v>2021</v>
      </c>
      <c r="AF10" s="5">
        <v>2022</v>
      </c>
      <c r="AG10" s="5">
        <v>2023</v>
      </c>
      <c r="AH10" s="5">
        <v>2024</v>
      </c>
      <c r="AI10" s="5">
        <v>2025</v>
      </c>
      <c r="AJ10" s="5">
        <v>2026</v>
      </c>
    </row>
    <row r="11" spans="1:36" s="24" customFormat="1">
      <c r="A11" s="5" t="s">
        <v>67</v>
      </c>
      <c r="B11" s="23">
        <f>B50</f>
        <v>59700</v>
      </c>
      <c r="C11" s="23">
        <f>C50</f>
        <v>63404</v>
      </c>
      <c r="D11" s="23">
        <f>D50</f>
        <v>69981</v>
      </c>
      <c r="E11" s="23">
        <f>E50</f>
        <v>87437</v>
      </c>
      <c r="F11" s="23">
        <f>F50</f>
        <v>75452</v>
      </c>
      <c r="G11" s="23">
        <f>G50</f>
        <v>88912</v>
      </c>
      <c r="H11" s="23">
        <f>H50</f>
        <v>96145</v>
      </c>
      <c r="I11" s="23">
        <f>I50</f>
        <v>125555</v>
      </c>
      <c r="J11" s="23">
        <f>J50</f>
        <v>108518</v>
      </c>
      <c r="K11" s="23">
        <f>K50</f>
        <v>113080</v>
      </c>
      <c r="L11" s="23">
        <f>L50</f>
        <v>110812</v>
      </c>
      <c r="M11" s="23">
        <f>M50</f>
        <v>137412</v>
      </c>
      <c r="N11" s="23">
        <f>N50</f>
        <v>116444</v>
      </c>
      <c r="O11" s="23"/>
      <c r="P11" s="23"/>
      <c r="Q11" s="23"/>
      <c r="R11" s="23"/>
      <c r="S11" s="23"/>
      <c r="T11" s="23"/>
      <c r="U11" s="23"/>
    </row>
    <row r="12" spans="1:36">
      <c r="A12" s="5" t="s">
        <v>69</v>
      </c>
      <c r="B12" s="7"/>
      <c r="C12" s="7"/>
      <c r="D12" s="7"/>
      <c r="E12" s="25"/>
      <c r="F12" s="25">
        <f t="shared" ref="F12:N12" si="3">F11/B11-1</f>
        <v>0.26385259631490787</v>
      </c>
      <c r="G12" s="25">
        <f t="shared" si="3"/>
        <v>0.40230900258658764</v>
      </c>
      <c r="H12" s="25">
        <f t="shared" si="3"/>
        <v>0.37387290836084075</v>
      </c>
      <c r="I12" s="25">
        <f t="shared" si="3"/>
        <v>0.43594816839553041</v>
      </c>
      <c r="J12" s="25">
        <f t="shared" si="3"/>
        <v>0.43823888034777081</v>
      </c>
      <c r="K12" s="25">
        <f t="shared" si="3"/>
        <v>0.27181932697498645</v>
      </c>
      <c r="L12" s="25">
        <f t="shared" si="3"/>
        <v>0.15255083467679031</v>
      </c>
      <c r="M12" s="25">
        <f t="shared" si="3"/>
        <v>9.4436701047349692E-2</v>
      </c>
      <c r="N12" s="25">
        <f t="shared" si="3"/>
        <v>7.3038574245747334E-2</v>
      </c>
      <c r="R12" s="4"/>
      <c r="S12" s="4"/>
      <c r="T12" s="4"/>
      <c r="U12" s="4"/>
    </row>
    <row r="13" spans="1:36">
      <c r="A13" s="5" t="s">
        <v>70</v>
      </c>
      <c r="B13" s="25"/>
      <c r="C13" s="25">
        <f t="shared" ref="C13:N13" si="4">C11/B11-1</f>
        <v>6.2043551088777127E-2</v>
      </c>
      <c r="D13" s="25">
        <f t="shared" si="4"/>
        <v>0.10373162576493589</v>
      </c>
      <c r="E13" s="25">
        <f t="shared" si="4"/>
        <v>0.24943913347908708</v>
      </c>
      <c r="F13" s="25">
        <f t="shared" si="4"/>
        <v>-0.13707011905714972</v>
      </c>
      <c r="G13" s="25">
        <f t="shared" si="4"/>
        <v>0.17839156019721147</v>
      </c>
      <c r="H13" s="25">
        <f t="shared" si="4"/>
        <v>8.1350098974266594E-2</v>
      </c>
      <c r="I13" s="25">
        <f t="shared" si="4"/>
        <v>0.30589214207707105</v>
      </c>
      <c r="J13" s="25">
        <f t="shared" si="4"/>
        <v>-0.13569352076779095</v>
      </c>
      <c r="K13" s="25">
        <f t="shared" si="4"/>
        <v>4.2039108719290841E-2</v>
      </c>
      <c r="L13" s="25">
        <f t="shared" si="4"/>
        <v>-2.0056597099398665E-2</v>
      </c>
      <c r="M13" s="25">
        <f t="shared" si="4"/>
        <v>0.24004620438219693</v>
      </c>
      <c r="N13" s="25">
        <f t="shared" si="4"/>
        <v>-0.15259220446540334</v>
      </c>
      <c r="R13" s="4"/>
      <c r="S13" s="4"/>
      <c r="T13" s="4"/>
      <c r="U13" s="4"/>
    </row>
    <row r="14" spans="1:36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R14" s="4"/>
      <c r="S14" s="4"/>
      <c r="T14" s="4"/>
      <c r="U14" s="4"/>
    </row>
    <row r="15" spans="1:36" s="28" customFormat="1">
      <c r="A15" s="26" t="s">
        <v>71</v>
      </c>
      <c r="B15" s="27">
        <v>35812</v>
      </c>
      <c r="C15" s="27">
        <v>38653</v>
      </c>
      <c r="D15" s="27">
        <v>42638</v>
      </c>
      <c r="E15" s="27">
        <v>53670</v>
      </c>
      <c r="F15" s="27">
        <v>46127</v>
      </c>
      <c r="G15" s="27">
        <v>55436</v>
      </c>
      <c r="H15" s="27">
        <v>59373</v>
      </c>
      <c r="I15" s="27">
        <v>75346</v>
      </c>
      <c r="J15" s="27">
        <v>64366</v>
      </c>
      <c r="K15" s="27">
        <v>67550</v>
      </c>
      <c r="L15" s="27">
        <v>65557</v>
      </c>
      <c r="M15" s="27">
        <v>82360</v>
      </c>
      <c r="N15" s="27">
        <v>69244</v>
      </c>
      <c r="O15" s="27"/>
      <c r="P15" s="27"/>
      <c r="Q15" s="27"/>
      <c r="X15" s="28">
        <v>50834</v>
      </c>
      <c r="Y15" s="28">
        <v>63708</v>
      </c>
      <c r="Z15" s="28">
        <v>79785</v>
      </c>
      <c r="AA15" s="28">
        <v>106110</v>
      </c>
      <c r="AB15" s="28">
        <v>141366</v>
      </c>
      <c r="AC15" s="28">
        <f>SUM(B15:E15)</f>
        <v>170773</v>
      </c>
      <c r="AD15" s="28">
        <f>SUM(F15:I15)</f>
        <v>236282</v>
      </c>
      <c r="AE15" s="28">
        <f>SUM(J15:M15)</f>
        <v>279833</v>
      </c>
    </row>
    <row r="16" spans="1:36" s="8" customFormat="1">
      <c r="A16" s="8" t="s">
        <v>68</v>
      </c>
      <c r="B16" s="25">
        <f t="shared" ref="B16:N16" si="5">B15/B$11</f>
        <v>0.59986599664991624</v>
      </c>
      <c r="C16" s="25">
        <f t="shared" si="5"/>
        <v>0.60963030723613654</v>
      </c>
      <c r="D16" s="25">
        <f t="shared" si="5"/>
        <v>0.6092796616224404</v>
      </c>
      <c r="E16" s="25">
        <f t="shared" si="5"/>
        <v>0.61381337420085313</v>
      </c>
      <c r="F16" s="25">
        <f t="shared" si="5"/>
        <v>0.61134231034299957</v>
      </c>
      <c r="G16" s="25">
        <f t="shared" si="5"/>
        <v>0.62349289184811951</v>
      </c>
      <c r="H16" s="25">
        <f t="shared" si="5"/>
        <v>0.61753601331322483</v>
      </c>
      <c r="I16" s="25">
        <f t="shared" si="5"/>
        <v>0.60010354028115165</v>
      </c>
      <c r="J16" s="25">
        <f t="shared" si="5"/>
        <v>0.59313662249580712</v>
      </c>
      <c r="K16" s="25">
        <f t="shared" si="5"/>
        <v>0.59736469755925004</v>
      </c>
      <c r="L16" s="25">
        <f t="shared" si="5"/>
        <v>0.5916056022813414</v>
      </c>
      <c r="M16" s="25">
        <f t="shared" si="5"/>
        <v>0.59936541204552729</v>
      </c>
      <c r="N16" s="25">
        <f t="shared" si="5"/>
        <v>0.59465494143107411</v>
      </c>
      <c r="O16" s="9"/>
      <c r="P16" s="9"/>
      <c r="Q16" s="9"/>
    </row>
    <row r="17" spans="1:31" s="8" customFormat="1">
      <c r="A17" s="5" t="s">
        <v>69</v>
      </c>
      <c r="B17" s="25"/>
      <c r="C17" s="25"/>
      <c r="D17" s="25"/>
      <c r="E17" s="25"/>
      <c r="F17" s="25">
        <f>F15/B15-1</f>
        <v>0.2880319445995756</v>
      </c>
      <c r="G17" s="25">
        <f t="shared" ref="G17:N17" si="6">G15/C15-1</f>
        <v>0.4341965694771428</v>
      </c>
      <c r="H17" s="25">
        <f t="shared" si="6"/>
        <v>0.39249026689807209</v>
      </c>
      <c r="I17" s="25">
        <f t="shared" si="6"/>
        <v>0.40387553568101353</v>
      </c>
      <c r="J17" s="25">
        <f t="shared" si="6"/>
        <v>0.39540832917813851</v>
      </c>
      <c r="K17" s="25">
        <f t="shared" si="6"/>
        <v>0.21852225990331187</v>
      </c>
      <c r="L17" s="25">
        <f t="shared" si="6"/>
        <v>0.10415508732925738</v>
      </c>
      <c r="M17" s="25">
        <f t="shared" si="6"/>
        <v>9.3090542298197576E-2</v>
      </c>
      <c r="N17" s="25">
        <f t="shared" si="6"/>
        <v>7.5785352515303162E-2</v>
      </c>
      <c r="O17" s="9"/>
      <c r="P17" s="9"/>
      <c r="Q17" s="9"/>
    </row>
    <row r="18" spans="1:31" s="8" customFormat="1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9"/>
      <c r="P18" s="9"/>
      <c r="Q18" s="9"/>
    </row>
    <row r="19" spans="1:31" s="8" customFormat="1">
      <c r="A19" s="8" t="s">
        <v>34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X19" s="8">
        <v>11567</v>
      </c>
      <c r="Y19" s="8">
        <v>12483</v>
      </c>
      <c r="Z19" s="8">
        <v>13580</v>
      </c>
    </row>
    <row r="20" spans="1:31" s="8" customForma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31" s="8" customFormat="1">
      <c r="A21" s="8" t="s">
        <v>35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X21" s="8">
        <v>38517</v>
      </c>
      <c r="Y21" s="8">
        <v>50401</v>
      </c>
      <c r="Z21" s="8">
        <v>64887</v>
      </c>
    </row>
    <row r="22" spans="1:31" s="8" customForma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31" s="28" customFormat="1">
      <c r="A23" s="26" t="s">
        <v>19</v>
      </c>
      <c r="B23" s="27">
        <v>16192</v>
      </c>
      <c r="C23" s="27">
        <v>16370</v>
      </c>
      <c r="D23" s="27">
        <v>18348</v>
      </c>
      <c r="E23" s="27">
        <v>23813</v>
      </c>
      <c r="F23" s="27">
        <v>19106</v>
      </c>
      <c r="G23" s="27">
        <v>22668</v>
      </c>
      <c r="H23" s="27">
        <v>25171</v>
      </c>
      <c r="I23" s="27">
        <v>37467</v>
      </c>
      <c r="J23" s="27">
        <v>30649</v>
      </c>
      <c r="K23" s="27">
        <v>30721</v>
      </c>
      <c r="L23" s="27">
        <v>29145</v>
      </c>
      <c r="M23" s="27">
        <v>37272</v>
      </c>
      <c r="N23" s="27">
        <v>28759</v>
      </c>
      <c r="O23" s="27"/>
      <c r="P23" s="27"/>
      <c r="Q23" s="27"/>
      <c r="X23" s="28">
        <v>33510</v>
      </c>
      <c r="Y23" s="28">
        <v>35418</v>
      </c>
      <c r="Z23" s="28">
        <v>43983</v>
      </c>
      <c r="AA23" s="28">
        <v>103273</v>
      </c>
      <c r="AB23" s="28">
        <v>134099</v>
      </c>
      <c r="AC23" s="28">
        <f>SUM(B23:E23)</f>
        <v>74723</v>
      </c>
      <c r="AD23" s="28">
        <f>SUM(F23:I23)</f>
        <v>104412</v>
      </c>
      <c r="AE23" s="28">
        <f>SUM(J23:M23)</f>
        <v>127787</v>
      </c>
    </row>
    <row r="24" spans="1:31" s="8" customFormat="1">
      <c r="A24" s="8" t="s">
        <v>68</v>
      </c>
      <c r="B24" s="25">
        <f t="shared" ref="B24:N24" si="7">B23/B$11</f>
        <v>0.27122278056951421</v>
      </c>
      <c r="C24" s="25">
        <f t="shared" si="7"/>
        <v>0.25818560343196012</v>
      </c>
      <c r="D24" s="25">
        <f t="shared" si="7"/>
        <v>0.26218545033651991</v>
      </c>
      <c r="E24" s="25">
        <f t="shared" si="7"/>
        <v>0.27234465958347154</v>
      </c>
      <c r="F24" s="25">
        <f t="shared" si="7"/>
        <v>0.25322059057413987</v>
      </c>
      <c r="G24" s="25">
        <f t="shared" si="7"/>
        <v>0.25494871333453301</v>
      </c>
      <c r="H24" s="25">
        <f t="shared" si="7"/>
        <v>0.26180248582869625</v>
      </c>
      <c r="I24" s="25">
        <f t="shared" si="7"/>
        <v>0.2984110549161722</v>
      </c>
      <c r="J24" s="25">
        <f t="shared" si="7"/>
        <v>0.28243240752686188</v>
      </c>
      <c r="K24" s="25">
        <f t="shared" si="7"/>
        <v>0.27167492041032898</v>
      </c>
      <c r="L24" s="25">
        <f t="shared" si="7"/>
        <v>0.26301303107966645</v>
      </c>
      <c r="M24" s="25">
        <f t="shared" si="7"/>
        <v>0.27124268622827702</v>
      </c>
      <c r="N24" s="25">
        <f t="shared" si="7"/>
        <v>0.24697708769880802</v>
      </c>
      <c r="O24" s="9"/>
      <c r="P24" s="9"/>
      <c r="Q24" s="9"/>
    </row>
    <row r="25" spans="1:31" s="8" customFormat="1">
      <c r="A25" s="5" t="s">
        <v>69</v>
      </c>
      <c r="B25" s="25"/>
      <c r="C25" s="25"/>
      <c r="D25" s="25"/>
      <c r="E25" s="25"/>
      <c r="F25" s="25">
        <f>F23/B23-1</f>
        <v>0.17996541501976293</v>
      </c>
      <c r="G25" s="25">
        <f t="shared" ref="G25:N25" si="8">G23/C23-1</f>
        <v>0.38472816127061704</v>
      </c>
      <c r="H25" s="25">
        <f t="shared" si="8"/>
        <v>0.37186614344887725</v>
      </c>
      <c r="I25" s="25">
        <f t="shared" si="8"/>
        <v>0.57338428589425949</v>
      </c>
      <c r="J25" s="25">
        <f t="shared" si="8"/>
        <v>0.60415576258766879</v>
      </c>
      <c r="K25" s="25">
        <f t="shared" si="8"/>
        <v>0.35525851420504684</v>
      </c>
      <c r="L25" s="25">
        <f t="shared" si="8"/>
        <v>0.15788010011521192</v>
      </c>
      <c r="M25" s="25">
        <f t="shared" si="8"/>
        <v>-5.2045800304267864E-3</v>
      </c>
      <c r="N25" s="25">
        <f t="shared" si="8"/>
        <v>-6.1665959737674969E-2</v>
      </c>
      <c r="O25" s="9"/>
      <c r="P25" s="9"/>
      <c r="Q25" s="9"/>
    </row>
    <row r="26" spans="1:31" s="8" customFormat="1">
      <c r="A26" s="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9"/>
      <c r="P26" s="9"/>
      <c r="Q26" s="9"/>
    </row>
    <row r="27" spans="1:31" s="8" customFormat="1">
      <c r="A27" s="8" t="s">
        <v>34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X27" s="8">
        <v>10938</v>
      </c>
      <c r="Y27" s="8">
        <v>10026</v>
      </c>
      <c r="Z27" s="8">
        <v>10631</v>
      </c>
    </row>
    <row r="28" spans="1:31" s="8" customForma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31" s="8" customFormat="1">
      <c r="A29" s="8" t="s">
        <v>35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X29" s="8">
        <v>22369</v>
      </c>
      <c r="Y29" s="8">
        <v>25196</v>
      </c>
      <c r="Z29" s="8">
        <v>33107</v>
      </c>
    </row>
    <row r="30" spans="1:31" s="8" customForma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31" s="28" customFormat="1">
      <c r="A31" s="26" t="s">
        <v>20</v>
      </c>
      <c r="B31" s="27">
        <v>7696</v>
      </c>
      <c r="C31" s="27">
        <v>8381</v>
      </c>
      <c r="D31" s="27">
        <v>8995</v>
      </c>
      <c r="E31" s="27">
        <v>9954</v>
      </c>
      <c r="F31" s="27">
        <v>10219</v>
      </c>
      <c r="G31" s="27">
        <v>10808</v>
      </c>
      <c r="H31" s="27">
        <v>11601</v>
      </c>
      <c r="I31" s="27">
        <v>12742</v>
      </c>
      <c r="J31" s="27">
        <v>13503</v>
      </c>
      <c r="K31" s="27">
        <v>14809</v>
      </c>
      <c r="L31" s="27">
        <v>16110</v>
      </c>
      <c r="M31" s="27">
        <v>17780</v>
      </c>
      <c r="N31" s="27">
        <v>18441</v>
      </c>
      <c r="O31" s="27"/>
      <c r="P31" s="27"/>
      <c r="Q31" s="27"/>
      <c r="X31" s="28">
        <v>4644</v>
      </c>
      <c r="Y31" s="28">
        <v>7880</v>
      </c>
      <c r="Z31" s="28">
        <v>12219</v>
      </c>
      <c r="AA31" s="28">
        <v>17459</v>
      </c>
      <c r="AB31" s="28">
        <v>25655</v>
      </c>
      <c r="AC31" s="28">
        <f>SUM(B31:E31)</f>
        <v>35026</v>
      </c>
      <c r="AD31" s="28">
        <f>SUM(F31:I31)</f>
        <v>45370</v>
      </c>
      <c r="AE31" s="28">
        <f>SUM(J31:M31)</f>
        <v>62202</v>
      </c>
    </row>
    <row r="32" spans="1:31" s="8" customFormat="1">
      <c r="A32" s="8" t="s">
        <v>68</v>
      </c>
      <c r="B32" s="25">
        <f t="shared" ref="B32:N32" si="9">B31/B$11</f>
        <v>0.12891122278056952</v>
      </c>
      <c r="C32" s="25">
        <f t="shared" si="9"/>
        <v>0.13218408933190334</v>
      </c>
      <c r="D32" s="25">
        <f t="shared" si="9"/>
        <v>0.12853488804103971</v>
      </c>
      <c r="E32" s="25">
        <f t="shared" si="9"/>
        <v>0.11384196621567529</v>
      </c>
      <c r="F32" s="25">
        <f t="shared" si="9"/>
        <v>0.13543709908286064</v>
      </c>
      <c r="G32" s="25">
        <f t="shared" si="9"/>
        <v>0.1215583948173475</v>
      </c>
      <c r="H32" s="25">
        <f t="shared" si="9"/>
        <v>0.12066150085807895</v>
      </c>
      <c r="I32" s="25">
        <f t="shared" si="9"/>
        <v>0.10148540480267612</v>
      </c>
      <c r="J32" s="25">
        <f t="shared" si="9"/>
        <v>0.12443096997733095</v>
      </c>
      <c r="K32" s="25">
        <f t="shared" si="9"/>
        <v>0.13096038203042093</v>
      </c>
      <c r="L32" s="25">
        <f t="shared" si="9"/>
        <v>0.14538136663899218</v>
      </c>
      <c r="M32" s="25">
        <f t="shared" si="9"/>
        <v>0.12939190172619566</v>
      </c>
      <c r="N32" s="25">
        <f t="shared" si="9"/>
        <v>0.15836797087011784</v>
      </c>
      <c r="O32" s="9"/>
      <c r="P32" s="9"/>
      <c r="Q32" s="9"/>
    </row>
    <row r="33" spans="1:31">
      <c r="A33" s="5" t="s">
        <v>69</v>
      </c>
      <c r="F33" s="25">
        <f>F31/B31-1</f>
        <v>0.32783264033264037</v>
      </c>
      <c r="G33" s="25">
        <f t="shared" ref="G33:N33" si="10">G31/C31-1</f>
        <v>0.28958358191146649</v>
      </c>
      <c r="H33" s="25">
        <f t="shared" si="10"/>
        <v>0.28971650917176217</v>
      </c>
      <c r="I33" s="25">
        <f t="shared" si="10"/>
        <v>0.28008840667068524</v>
      </c>
      <c r="J33" s="25">
        <f t="shared" si="10"/>
        <v>0.32136216850963883</v>
      </c>
      <c r="K33" s="25">
        <f t="shared" si="10"/>
        <v>0.37018874907475952</v>
      </c>
      <c r="L33" s="25">
        <f t="shared" si="10"/>
        <v>0.3886733902249806</v>
      </c>
      <c r="M33" s="25">
        <f t="shared" si="10"/>
        <v>0.39538533982106427</v>
      </c>
      <c r="N33" s="25">
        <f t="shared" si="10"/>
        <v>0.36569651188624741</v>
      </c>
    </row>
    <row r="35" spans="1:31" s="8" customFormat="1">
      <c r="A35" s="8" t="s">
        <v>23</v>
      </c>
      <c r="B35" s="9">
        <v>29498</v>
      </c>
      <c r="C35" s="9">
        <v>31053</v>
      </c>
      <c r="D35" s="9">
        <v>35039</v>
      </c>
      <c r="E35" s="9">
        <v>45657</v>
      </c>
      <c r="F35" s="9">
        <v>36652</v>
      </c>
      <c r="G35" s="9">
        <v>45896</v>
      </c>
      <c r="H35" s="9">
        <v>48350</v>
      </c>
      <c r="I35" s="9">
        <v>66451</v>
      </c>
      <c r="J35" s="9">
        <v>52901</v>
      </c>
      <c r="K35" s="9">
        <v>53157</v>
      </c>
      <c r="L35" s="9">
        <v>49942</v>
      </c>
      <c r="M35" s="9">
        <v>66075</v>
      </c>
      <c r="N35" s="9">
        <v>51129</v>
      </c>
      <c r="O35" s="9"/>
      <c r="P35" s="9"/>
      <c r="Q35" s="9"/>
      <c r="AB35" s="8">
        <f>26939+27165+29061+39822</f>
        <v>122987</v>
      </c>
      <c r="AC35" s="8">
        <f>SUM(B35:E35)</f>
        <v>141247</v>
      </c>
      <c r="AD35" s="8">
        <f>SUM(F35:I35)</f>
        <v>197349</v>
      </c>
      <c r="AE35" s="8">
        <f>SUM(J35:M35)</f>
        <v>222075</v>
      </c>
    </row>
    <row r="36" spans="1:31" s="8" customForma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31" s="8" customFormat="1">
      <c r="A37" s="8" t="s">
        <v>24</v>
      </c>
      <c r="B37" s="9">
        <v>4307</v>
      </c>
      <c r="C37" s="9">
        <v>4330</v>
      </c>
      <c r="D37" s="9">
        <v>4192</v>
      </c>
      <c r="E37" s="9">
        <v>4363</v>
      </c>
      <c r="F37" s="9">
        <v>4640</v>
      </c>
      <c r="G37" s="9">
        <v>3774</v>
      </c>
      <c r="H37" s="9">
        <v>3788</v>
      </c>
      <c r="I37" s="9">
        <v>4022</v>
      </c>
      <c r="J37" s="9">
        <v>3920</v>
      </c>
      <c r="K37" s="9">
        <v>4198</v>
      </c>
      <c r="L37" s="9">
        <v>4269</v>
      </c>
      <c r="M37" s="9">
        <v>4688</v>
      </c>
      <c r="N37" s="9">
        <v>4591</v>
      </c>
      <c r="O37" s="9"/>
      <c r="P37" s="9"/>
      <c r="Q37" s="9"/>
      <c r="AB37" s="8">
        <f>4263+4312+4248+4401</f>
        <v>17224</v>
      </c>
      <c r="AC37" s="8">
        <f>SUM(B37:E37)</f>
        <v>17192</v>
      </c>
      <c r="AD37" s="8">
        <f>SUM(F37:I37)</f>
        <v>16224</v>
      </c>
      <c r="AE37" s="8">
        <f>SUM(J37:M37)</f>
        <v>17075</v>
      </c>
    </row>
    <row r="38" spans="1:31" s="8" customFormat="1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31" s="8" customFormat="1">
      <c r="A39" s="8" t="s">
        <v>25</v>
      </c>
      <c r="B39" s="9">
        <v>11141</v>
      </c>
      <c r="C39" s="9">
        <v>11962</v>
      </c>
      <c r="D39" s="9">
        <v>13212</v>
      </c>
      <c r="E39" s="9">
        <v>17446</v>
      </c>
      <c r="F39" s="9">
        <v>14479</v>
      </c>
      <c r="G39" s="9">
        <v>18195</v>
      </c>
      <c r="H39" s="9">
        <v>20436</v>
      </c>
      <c r="I39" s="9">
        <v>27327</v>
      </c>
      <c r="J39" s="9">
        <v>23709</v>
      </c>
      <c r="K39" s="9">
        <v>25085</v>
      </c>
      <c r="L39" s="9">
        <v>24252</v>
      </c>
      <c r="M39" s="9">
        <v>30320</v>
      </c>
      <c r="N39" s="9">
        <v>25335</v>
      </c>
      <c r="O39" s="9"/>
      <c r="P39" s="9"/>
      <c r="Q39" s="9"/>
      <c r="AB39" s="8">
        <f>9265+9702+10395+13383</f>
        <v>42745</v>
      </c>
      <c r="AC39" s="8">
        <f>SUM(B39:E39)</f>
        <v>53761</v>
      </c>
      <c r="AD39" s="8">
        <f>SUM(F39:I39)</f>
        <v>80437</v>
      </c>
      <c r="AE39" s="8">
        <f>SUM(J39:M39)</f>
        <v>103366</v>
      </c>
    </row>
    <row r="40" spans="1:31" s="8" customFormat="1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31" s="8" customFormat="1">
      <c r="A41" s="8" t="s">
        <v>26</v>
      </c>
      <c r="B41" s="9">
        <v>4342</v>
      </c>
      <c r="C41" s="9">
        <v>4676</v>
      </c>
      <c r="D41" s="9">
        <v>4957</v>
      </c>
      <c r="E41" s="9">
        <v>5235</v>
      </c>
      <c r="F41" s="9">
        <v>5556</v>
      </c>
      <c r="G41" s="9">
        <v>6018</v>
      </c>
      <c r="H41" s="9">
        <v>6572</v>
      </c>
      <c r="I41" s="9">
        <v>7061</v>
      </c>
      <c r="J41" s="9">
        <v>7580</v>
      </c>
      <c r="K41" s="9">
        <v>7917</v>
      </c>
      <c r="L41" s="9">
        <v>8148</v>
      </c>
      <c r="M41" s="9">
        <v>8123</v>
      </c>
      <c r="N41" s="9">
        <v>8410</v>
      </c>
      <c r="O41" s="9"/>
      <c r="P41" s="9"/>
      <c r="Q41" s="9"/>
      <c r="AB41" s="8">
        <f>3102+3408+3698+3959</f>
        <v>14167</v>
      </c>
      <c r="AC41" s="8">
        <f>SUM(B41:E41)</f>
        <v>19210</v>
      </c>
      <c r="AD41" s="8">
        <f>SUM(F41:I41)</f>
        <v>25207</v>
      </c>
      <c r="AE41" s="8">
        <f>SUM(J41:M41)</f>
        <v>31768</v>
      </c>
    </row>
    <row r="42" spans="1:31" s="8" customFormat="1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31" s="8" customFormat="1">
      <c r="A43" s="8" t="s">
        <v>27</v>
      </c>
      <c r="B43" s="9">
        <v>2716</v>
      </c>
      <c r="C43" s="9">
        <v>3002</v>
      </c>
      <c r="D43" s="9">
        <v>3586</v>
      </c>
      <c r="E43" s="9">
        <v>4782</v>
      </c>
      <c r="F43" s="9">
        <v>3906</v>
      </c>
      <c r="G43" s="9">
        <v>4221</v>
      </c>
      <c r="H43" s="9">
        <v>5398</v>
      </c>
      <c r="I43" s="9">
        <v>7350</v>
      </c>
      <c r="J43" s="9">
        <v>6381</v>
      </c>
      <c r="K43" s="9">
        <v>7451</v>
      </c>
      <c r="L43" s="9">
        <v>7612</v>
      </c>
      <c r="M43" s="9">
        <v>9716</v>
      </c>
      <c r="N43" s="9">
        <v>7877</v>
      </c>
      <c r="O43" s="9"/>
      <c r="P43" s="9"/>
      <c r="Q43" s="9"/>
      <c r="AB43" s="8">
        <f>2031+2194+2495+3388</f>
        <v>10108</v>
      </c>
      <c r="AC43" s="8">
        <f>SUM(B43:E43)</f>
        <v>14086</v>
      </c>
      <c r="AD43" s="8">
        <f>SUM(F43:I43)</f>
        <v>20875</v>
      </c>
      <c r="AE43" s="8">
        <f>SUM(J43:M43)</f>
        <v>31160</v>
      </c>
    </row>
    <row r="44" spans="1:31" s="8" customFormat="1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31" s="8" customFormat="1">
      <c r="A45" s="8" t="s">
        <v>28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602</v>
      </c>
      <c r="J45" s="9">
        <v>524</v>
      </c>
      <c r="K45" s="9">
        <v>463</v>
      </c>
      <c r="L45" s="9">
        <v>479</v>
      </c>
      <c r="M45" s="9">
        <v>710</v>
      </c>
      <c r="N45" s="9">
        <v>661</v>
      </c>
      <c r="O45" s="9"/>
      <c r="P45" s="9"/>
      <c r="Q45" s="9"/>
      <c r="AC45" s="8">
        <f>SUM(B45:E45)</f>
        <v>0</v>
      </c>
      <c r="AD45" s="8">
        <f>SUM(F45:I45)</f>
        <v>602</v>
      </c>
      <c r="AE45" s="8">
        <f>SUM(J45:M45)</f>
        <v>2176</v>
      </c>
    </row>
    <row r="47" spans="1:31" s="8" customFormat="1">
      <c r="A47" s="8" t="s">
        <v>3</v>
      </c>
      <c r="B47" s="9">
        <v>34283</v>
      </c>
      <c r="C47" s="9">
        <v>35856</v>
      </c>
      <c r="D47" s="9">
        <v>39726</v>
      </c>
      <c r="E47" s="9">
        <v>50542</v>
      </c>
      <c r="F47" s="9">
        <v>41841</v>
      </c>
      <c r="G47" s="9">
        <v>50244</v>
      </c>
      <c r="H47" s="9">
        <v>52774</v>
      </c>
      <c r="I47" s="9">
        <v>71056</v>
      </c>
      <c r="J47" s="9">
        <v>57491</v>
      </c>
      <c r="K47" s="9">
        <v>58004</v>
      </c>
      <c r="L47" s="9">
        <v>54876</v>
      </c>
      <c r="M47" s="9">
        <v>71416</v>
      </c>
      <c r="N47" s="9">
        <v>56455</v>
      </c>
      <c r="O47" s="9"/>
      <c r="P47" s="9"/>
      <c r="Q47" s="9"/>
      <c r="AA47" s="8">
        <v>118573</v>
      </c>
      <c r="AB47" s="8">
        <v>141915</v>
      </c>
      <c r="AC47" s="8">
        <f>SUM(B47:E47)</f>
        <v>160407</v>
      </c>
      <c r="AD47" s="8">
        <f>SUM(F47:I47)</f>
        <v>215915</v>
      </c>
      <c r="AE47" s="8">
        <f>SUM(J47:M47)</f>
        <v>241787</v>
      </c>
    </row>
    <row r="48" spans="1:31" s="8" customFormat="1">
      <c r="A48" s="8" t="s">
        <v>4</v>
      </c>
      <c r="B48" s="9">
        <v>25417</v>
      </c>
      <c r="C48" s="9">
        <v>27548</v>
      </c>
      <c r="D48" s="9">
        <v>30255</v>
      </c>
      <c r="E48" s="9">
        <v>36895</v>
      </c>
      <c r="F48" s="9">
        <v>33611</v>
      </c>
      <c r="G48" s="9">
        <v>38668</v>
      </c>
      <c r="H48" s="9">
        <v>43371</v>
      </c>
      <c r="I48" s="9">
        <v>54499</v>
      </c>
      <c r="J48" s="9">
        <v>51027</v>
      </c>
      <c r="K48" s="9">
        <v>55076</v>
      </c>
      <c r="L48" s="9">
        <v>55936</v>
      </c>
      <c r="M48" s="9">
        <v>65996</v>
      </c>
      <c r="N48" s="9">
        <v>59989</v>
      </c>
      <c r="O48" s="9"/>
      <c r="P48" s="9"/>
      <c r="Q48" s="9"/>
      <c r="AA48" s="8">
        <v>59293</v>
      </c>
      <c r="AB48" s="8">
        <v>90972</v>
      </c>
      <c r="AC48" s="8">
        <f>SUM(B48:E48)</f>
        <v>120115</v>
      </c>
      <c r="AD48" s="8">
        <f>SUM(F48:I48)</f>
        <v>170149</v>
      </c>
      <c r="AE48" s="8">
        <f>SUM(J48:M48)</f>
        <v>228035</v>
      </c>
    </row>
    <row r="49" spans="1:31" s="8" customFormat="1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31" s="10" customFormat="1">
      <c r="A50" s="10" t="s">
        <v>67</v>
      </c>
      <c r="B50" s="11">
        <f t="shared" ref="B50:M50" si="11">B47+B48</f>
        <v>59700</v>
      </c>
      <c r="C50" s="11">
        <f t="shared" si="11"/>
        <v>63404</v>
      </c>
      <c r="D50" s="11">
        <f t="shared" si="11"/>
        <v>69981</v>
      </c>
      <c r="E50" s="11">
        <f t="shared" si="11"/>
        <v>87437</v>
      </c>
      <c r="F50" s="11">
        <f t="shared" si="11"/>
        <v>75452</v>
      </c>
      <c r="G50" s="11">
        <f t="shared" si="11"/>
        <v>88912</v>
      </c>
      <c r="H50" s="11">
        <f t="shared" si="11"/>
        <v>96145</v>
      </c>
      <c r="I50" s="11">
        <f t="shared" si="11"/>
        <v>125555</v>
      </c>
      <c r="J50" s="11">
        <f t="shared" si="11"/>
        <v>108518</v>
      </c>
      <c r="K50" s="11">
        <f t="shared" si="11"/>
        <v>113080</v>
      </c>
      <c r="L50" s="11">
        <f t="shared" si="11"/>
        <v>110812</v>
      </c>
      <c r="M50" s="11">
        <f t="shared" si="11"/>
        <v>137412</v>
      </c>
      <c r="N50" s="11">
        <f>N47+N48</f>
        <v>116444</v>
      </c>
      <c r="O50" s="11">
        <f t="shared" ref="O50:U50" si="12">O47+O48</f>
        <v>0</v>
      </c>
      <c r="P50" s="11">
        <f t="shared" si="12"/>
        <v>0</v>
      </c>
      <c r="Q50" s="11">
        <f t="shared" si="12"/>
        <v>0</v>
      </c>
      <c r="R50" s="11">
        <f t="shared" si="12"/>
        <v>0</v>
      </c>
      <c r="S50" s="11">
        <f t="shared" si="12"/>
        <v>0</v>
      </c>
      <c r="T50" s="11">
        <f t="shared" si="12"/>
        <v>0</v>
      </c>
      <c r="U50" s="11">
        <f t="shared" si="12"/>
        <v>0</v>
      </c>
      <c r="X50" s="10">
        <f>+X15+X23+X31</f>
        <v>88988</v>
      </c>
      <c r="Y50" s="10">
        <f>+Y15+Y23+Y31</f>
        <v>107006</v>
      </c>
      <c r="Z50" s="10">
        <f>+Z15+Z23+Z31</f>
        <v>135987</v>
      </c>
      <c r="AA50" s="11">
        <f t="shared" ref="AA50:AB50" si="13">AA47+AA48</f>
        <v>177866</v>
      </c>
      <c r="AB50" s="11">
        <f t="shared" si="13"/>
        <v>232887</v>
      </c>
      <c r="AC50" s="11">
        <f>AC47+AC48</f>
        <v>280522</v>
      </c>
      <c r="AD50" s="11">
        <f>AD47+AD48</f>
        <v>386064</v>
      </c>
      <c r="AE50" s="11">
        <f>AE47+AE48</f>
        <v>469822</v>
      </c>
    </row>
    <row r="51" spans="1:31" s="10" customFormat="1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AA51" s="11"/>
      <c r="AB51" s="11"/>
      <c r="AC51" s="11"/>
      <c r="AD51" s="11"/>
      <c r="AE51" s="11"/>
    </row>
    <row r="52" spans="1:31" s="8" customFormat="1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31" s="8" customFormat="1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31" s="8" customFormat="1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X54" s="9"/>
      <c r="Y54" s="9"/>
      <c r="Z54" s="9"/>
      <c r="AA54" s="9"/>
      <c r="AB54" s="9"/>
      <c r="AC54" s="9"/>
      <c r="AD54" s="9"/>
      <c r="AE54" s="9"/>
    </row>
    <row r="55" spans="1:31" s="8" customFormat="1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31" s="8" customFormat="1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31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X57" s="8"/>
      <c r="Y57" s="8"/>
      <c r="Z57" s="8"/>
      <c r="AA57" s="8"/>
      <c r="AB57" s="8"/>
      <c r="AC57" s="8"/>
      <c r="AD57" s="8"/>
      <c r="AE57" s="8"/>
    </row>
    <row r="58" spans="1:3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X58" s="9"/>
      <c r="Y58" s="9"/>
      <c r="Z58" s="9"/>
      <c r="AA58" s="9"/>
      <c r="AB58" s="9"/>
      <c r="AC58" s="9"/>
      <c r="AD58" s="9"/>
      <c r="AE58" s="9"/>
    </row>
    <row r="59" spans="1:31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X59" s="9"/>
      <c r="Y59" s="9"/>
      <c r="Z59" s="9"/>
      <c r="AA59" s="9"/>
      <c r="AB59" s="9"/>
      <c r="AC59" s="9"/>
      <c r="AD59" s="9"/>
      <c r="AE59" s="9"/>
    </row>
    <row r="60" spans="1:31" s="8" customFormat="1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31" s="8" customFormat="1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X61" s="9"/>
      <c r="Y61" s="9"/>
      <c r="Z61" s="9"/>
      <c r="AA61" s="9"/>
      <c r="AB61" s="9"/>
      <c r="AC61" s="9"/>
      <c r="AD61" s="9"/>
      <c r="AE61" s="9"/>
    </row>
    <row r="62" spans="1:31" s="8" customFormat="1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31" s="8" customFormat="1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X63" s="9"/>
      <c r="Y63" s="9"/>
      <c r="Z63" s="9"/>
      <c r="AA63" s="9"/>
      <c r="AB63" s="9"/>
      <c r="AC63" s="9"/>
      <c r="AD63" s="9"/>
      <c r="AE63" s="9"/>
    </row>
    <row r="64" spans="1:31">
      <c r="A64" s="8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X64" s="12"/>
      <c r="Y64" s="12"/>
      <c r="Z64" s="12"/>
      <c r="AA64" s="12"/>
      <c r="AB64" s="12"/>
      <c r="AC64" s="12"/>
      <c r="AD64" s="12"/>
      <c r="AE64" s="12"/>
    </row>
    <row r="65" spans="1:31">
      <c r="A65" s="8"/>
      <c r="AA65" s="9"/>
      <c r="AB65" s="9"/>
      <c r="AC65" s="9"/>
      <c r="AD65" s="9"/>
      <c r="AE65" s="9"/>
    </row>
    <row r="67" spans="1:31" s="15" customFormat="1">
      <c r="A67" s="10"/>
      <c r="B67" s="13"/>
      <c r="C67" s="13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3"/>
      <c r="P67" s="13"/>
      <c r="Q67" s="13"/>
      <c r="X67" s="16"/>
      <c r="Y67" s="16"/>
      <c r="Z67" s="16"/>
      <c r="AA67" s="16"/>
      <c r="AB67" s="16"/>
      <c r="AC67" s="16"/>
      <c r="AD67" s="16"/>
      <c r="AE67" s="16"/>
    </row>
    <row r="68" spans="1:31">
      <c r="A68" s="8"/>
      <c r="E68" s="17"/>
      <c r="F68" s="17"/>
      <c r="G68" s="17"/>
      <c r="H68" s="17"/>
      <c r="I68" s="17"/>
      <c r="J68" s="17"/>
      <c r="K68" s="17"/>
      <c r="L68" s="17"/>
      <c r="M68" s="17"/>
      <c r="N68" s="17"/>
      <c r="AB68" s="18"/>
      <c r="AC68" s="18"/>
      <c r="AD68" s="18"/>
      <c r="AE68" s="18"/>
    </row>
    <row r="69" spans="1:31">
      <c r="A69" s="8"/>
      <c r="E69" s="17"/>
      <c r="F69" s="17"/>
      <c r="G69" s="17"/>
      <c r="H69" s="17"/>
      <c r="I69" s="17"/>
      <c r="J69" s="17"/>
      <c r="K69" s="17"/>
      <c r="L69" s="17"/>
      <c r="M69" s="17"/>
      <c r="N69" s="17"/>
      <c r="AB69" s="18"/>
      <c r="AC69" s="18"/>
      <c r="AD69" s="18"/>
      <c r="AE69" s="18"/>
    </row>
    <row r="70" spans="1:31">
      <c r="A70" s="8"/>
      <c r="E70" s="17"/>
      <c r="F70" s="17"/>
      <c r="G70" s="17"/>
      <c r="H70" s="17"/>
      <c r="I70" s="17"/>
      <c r="J70" s="17"/>
      <c r="K70" s="17"/>
      <c r="L70" s="17"/>
      <c r="M70" s="17"/>
      <c r="N70" s="17"/>
      <c r="AB70" s="18"/>
      <c r="AC70" s="18"/>
      <c r="AD70" s="18"/>
      <c r="AE70" s="18"/>
    </row>
    <row r="71" spans="1:31">
      <c r="A71" s="8"/>
      <c r="E71" s="17"/>
      <c r="F71" s="17"/>
      <c r="G71" s="17"/>
      <c r="H71" s="17"/>
      <c r="I71" s="17"/>
      <c r="J71" s="17"/>
      <c r="K71" s="17"/>
      <c r="L71" s="17"/>
      <c r="M71" s="17"/>
      <c r="N71" s="17"/>
      <c r="AB71" s="18"/>
      <c r="AC71" s="18"/>
      <c r="AD71" s="18"/>
      <c r="AE71" s="18"/>
    </row>
    <row r="72" spans="1:31">
      <c r="A72" s="8"/>
      <c r="E72" s="17"/>
      <c r="F72" s="17"/>
      <c r="G72" s="17"/>
      <c r="H72" s="17"/>
      <c r="I72" s="17"/>
      <c r="J72" s="17"/>
      <c r="K72" s="17"/>
      <c r="L72" s="17"/>
      <c r="M72" s="17"/>
      <c r="N72" s="17"/>
      <c r="Y72" s="18"/>
      <c r="Z72" s="18"/>
      <c r="AA72" s="18"/>
      <c r="AB72" s="18"/>
      <c r="AC72" s="18"/>
      <c r="AD72" s="18"/>
      <c r="AE72" s="18"/>
    </row>
    <row r="73" spans="1:31">
      <c r="A73" s="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X73" s="19"/>
      <c r="Y73" s="19"/>
      <c r="Z73" s="19"/>
      <c r="AA73" s="19"/>
      <c r="AB73" s="19"/>
      <c r="AC73" s="19"/>
      <c r="AD73" s="19"/>
      <c r="AE73" s="19"/>
    </row>
    <row r="96" spans="1:17" s="8" customFormat="1">
      <c r="A96" s="8" t="s">
        <v>29</v>
      </c>
      <c r="B96" s="9"/>
      <c r="C96" s="9"/>
      <c r="D96" s="9"/>
      <c r="E96" s="9"/>
      <c r="F96" s="9"/>
      <c r="G96" s="9"/>
      <c r="H96" s="9"/>
      <c r="I96" s="9">
        <v>1298</v>
      </c>
      <c r="J96" s="9">
        <v>1271</v>
      </c>
      <c r="K96" s="9">
        <v>1335</v>
      </c>
      <c r="L96" s="9">
        <v>1468</v>
      </c>
      <c r="M96" s="9">
        <v>1608</v>
      </c>
      <c r="N96" s="9">
        <v>1622</v>
      </c>
      <c r="O96" s="9"/>
      <c r="P96" s="9"/>
      <c r="Q96" s="9"/>
    </row>
  </sheetData>
  <conditionalFormatting sqref="A1:XFD2">
    <cfRule type="cellIs" dxfId="3" priority="1" operator="lessThan">
      <formula>0</formula>
    </cfRule>
  </conditionalFormatting>
  <hyperlinks>
    <hyperlink ref="A7" location="Main!A1" display="Main" xr:uid="{BEDCAA24-E6DB-1043-A756-4388BA8FB8BE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AX90"/>
  <sheetViews>
    <sheetView workbookViewId="0">
      <pane xSplit="1" ySplit="12" topLeftCell="B28" activePane="bottomRight" state="frozen"/>
      <selection pane="topRight" activeCell="C1" sqref="C1"/>
      <selection pane="bottomLeft" activeCell="A5" sqref="A5"/>
      <selection pane="bottomRight" activeCell="E13" sqref="E13"/>
    </sheetView>
  </sheetViews>
  <sheetFormatPr baseColWidth="10" defaultColWidth="8.83203125" defaultRowHeight="16" outlineLevelCol="1"/>
  <cols>
    <col min="1" max="1" width="36.83203125" style="5" customWidth="1"/>
    <col min="2" max="5" width="8.83203125" style="4" customWidth="1" outlineLevel="1"/>
    <col min="6" max="17" width="9.1640625" style="4"/>
    <col min="18" max="16384" width="8.83203125" style="5"/>
  </cols>
  <sheetData>
    <row r="1" spans="1:50" s="21" customFormat="1" ht="81" customHeight="1">
      <c r="A1" s="20" t="s">
        <v>57</v>
      </c>
    </row>
    <row r="2" spans="1:50" s="21" customFormat="1" ht="28">
      <c r="A2" s="22" t="s">
        <v>59</v>
      </c>
    </row>
    <row r="3" spans="1:50">
      <c r="A3" s="5" t="s">
        <v>58</v>
      </c>
    </row>
    <row r="9" spans="1:50">
      <c r="A9" s="6" t="s">
        <v>0</v>
      </c>
    </row>
    <row r="11" spans="1:50"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  <c r="G11" s="4" t="s">
        <v>42</v>
      </c>
      <c r="H11" s="4" t="s">
        <v>43</v>
      </c>
      <c r="I11" s="4" t="s">
        <v>44</v>
      </c>
      <c r="J11" s="4" t="s">
        <v>45</v>
      </c>
      <c r="K11" s="4" t="s">
        <v>46</v>
      </c>
      <c r="L11" s="4" t="s">
        <v>47</v>
      </c>
      <c r="M11" s="4" t="s">
        <v>48</v>
      </c>
      <c r="N11" s="4" t="s">
        <v>49</v>
      </c>
      <c r="O11" s="4" t="s">
        <v>50</v>
      </c>
      <c r="P11" s="4" t="s">
        <v>53</v>
      </c>
      <c r="Q11" s="4" t="s">
        <v>54</v>
      </c>
      <c r="R11" s="4" t="s">
        <v>55</v>
      </c>
      <c r="S11" s="4" t="s">
        <v>56</v>
      </c>
      <c r="T11" s="4" t="s">
        <v>51</v>
      </c>
      <c r="U11" s="4" t="s">
        <v>52</v>
      </c>
      <c r="X11" s="5">
        <v>2014</v>
      </c>
      <c r="Y11" s="5">
        <f t="shared" ref="Y11:AX11" si="0">+X11+1</f>
        <v>2015</v>
      </c>
      <c r="Z11" s="5">
        <f t="shared" si="0"/>
        <v>2016</v>
      </c>
      <c r="AA11" s="5">
        <f t="shared" si="0"/>
        <v>2017</v>
      </c>
      <c r="AB11" s="5">
        <f t="shared" si="0"/>
        <v>2018</v>
      </c>
      <c r="AC11" s="5">
        <f t="shared" si="0"/>
        <v>2019</v>
      </c>
      <c r="AD11" s="5">
        <f t="shared" si="0"/>
        <v>2020</v>
      </c>
      <c r="AE11" s="5">
        <f t="shared" si="0"/>
        <v>2021</v>
      </c>
      <c r="AF11" s="5">
        <f t="shared" si="0"/>
        <v>2022</v>
      </c>
      <c r="AG11" s="5">
        <f t="shared" si="0"/>
        <v>2023</v>
      </c>
      <c r="AH11" s="5">
        <f t="shared" si="0"/>
        <v>2024</v>
      </c>
      <c r="AI11" s="5">
        <f t="shared" si="0"/>
        <v>2025</v>
      </c>
      <c r="AJ11" s="5">
        <f t="shared" si="0"/>
        <v>2026</v>
      </c>
      <c r="AK11" s="5">
        <f t="shared" si="0"/>
        <v>2027</v>
      </c>
      <c r="AL11" s="5">
        <f t="shared" si="0"/>
        <v>2028</v>
      </c>
      <c r="AM11" s="5">
        <f t="shared" si="0"/>
        <v>2029</v>
      </c>
      <c r="AN11" s="5">
        <f t="shared" si="0"/>
        <v>2030</v>
      </c>
      <c r="AO11" s="5">
        <f t="shared" si="0"/>
        <v>2031</v>
      </c>
      <c r="AP11" s="5">
        <f t="shared" si="0"/>
        <v>2032</v>
      </c>
      <c r="AQ11" s="5">
        <f t="shared" si="0"/>
        <v>2033</v>
      </c>
      <c r="AR11" s="5">
        <f t="shared" si="0"/>
        <v>2034</v>
      </c>
      <c r="AS11" s="5">
        <f t="shared" si="0"/>
        <v>2035</v>
      </c>
      <c r="AT11" s="5">
        <f t="shared" si="0"/>
        <v>2036</v>
      </c>
      <c r="AU11" s="5">
        <f t="shared" si="0"/>
        <v>2037</v>
      </c>
      <c r="AV11" s="5">
        <f t="shared" si="0"/>
        <v>2038</v>
      </c>
      <c r="AW11" s="5">
        <f t="shared" si="0"/>
        <v>2039</v>
      </c>
      <c r="AX11" s="5">
        <f t="shared" si="0"/>
        <v>2040</v>
      </c>
    </row>
    <row r="12" spans="1:50">
      <c r="B12" s="7">
        <v>43555</v>
      </c>
      <c r="C12" s="7">
        <v>43646</v>
      </c>
      <c r="D12" s="7">
        <v>43738</v>
      </c>
      <c r="E12" s="7">
        <v>43830</v>
      </c>
      <c r="F12" s="7">
        <f>B12+366</f>
        <v>43921</v>
      </c>
      <c r="G12" s="7">
        <f t="shared" ref="G12:N12" si="1">C12+366</f>
        <v>44012</v>
      </c>
      <c r="H12" s="7">
        <f t="shared" si="1"/>
        <v>44104</v>
      </c>
      <c r="I12" s="7">
        <f t="shared" si="1"/>
        <v>44196</v>
      </c>
      <c r="J12" s="7">
        <f>F12+365</f>
        <v>44286</v>
      </c>
      <c r="K12" s="7">
        <f t="shared" ref="K12:N12" si="2">G12+365</f>
        <v>44377</v>
      </c>
      <c r="L12" s="7">
        <f t="shared" si="2"/>
        <v>44469</v>
      </c>
      <c r="M12" s="7">
        <f t="shared" si="2"/>
        <v>44561</v>
      </c>
      <c r="N12" s="7">
        <f t="shared" si="2"/>
        <v>44651</v>
      </c>
      <c r="R12" s="4"/>
      <c r="S12" s="4"/>
      <c r="T12" s="4"/>
      <c r="U12" s="4"/>
    </row>
    <row r="13" spans="1:50" s="8" customFormat="1">
      <c r="A13" s="8" t="s">
        <v>18</v>
      </c>
      <c r="B13" s="9">
        <v>35812</v>
      </c>
      <c r="C13" s="9">
        <v>38653</v>
      </c>
      <c r="D13" s="9">
        <v>42638</v>
      </c>
      <c r="E13" s="9">
        <v>53670</v>
      </c>
      <c r="F13" s="9">
        <v>46127</v>
      </c>
      <c r="G13" s="9">
        <v>55436</v>
      </c>
      <c r="H13" s="9">
        <v>59373</v>
      </c>
      <c r="I13" s="9">
        <v>75346</v>
      </c>
      <c r="J13" s="9">
        <v>64366</v>
      </c>
      <c r="K13" s="9">
        <v>67550</v>
      </c>
      <c r="L13" s="9">
        <v>65557</v>
      </c>
      <c r="M13" s="9">
        <v>82360</v>
      </c>
      <c r="N13" s="9">
        <v>69244</v>
      </c>
      <c r="O13" s="9"/>
      <c r="P13" s="9"/>
      <c r="Q13" s="9"/>
      <c r="X13" s="8">
        <v>50834</v>
      </c>
      <c r="Y13" s="8">
        <v>63708</v>
      </c>
      <c r="Z13" s="8">
        <v>79785</v>
      </c>
      <c r="AA13" s="8">
        <v>106110</v>
      </c>
      <c r="AB13" s="8">
        <v>141366</v>
      </c>
      <c r="AC13" s="8">
        <f>SUM(B13:E13)</f>
        <v>170773</v>
      </c>
      <c r="AD13" s="8">
        <f>SUM(F13:I13)</f>
        <v>236282</v>
      </c>
      <c r="AE13" s="8">
        <f>SUM(J13:M13)</f>
        <v>279833</v>
      </c>
    </row>
    <row r="14" spans="1:50" s="8" customFormat="1">
      <c r="A14" s="8" t="s">
        <v>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X14" s="8">
        <v>11567</v>
      </c>
      <c r="Y14" s="8">
        <v>12483</v>
      </c>
      <c r="Z14" s="8">
        <v>13580</v>
      </c>
    </row>
    <row r="15" spans="1:50" s="8" customFormat="1">
      <c r="A15" s="8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X15" s="8">
        <v>38517</v>
      </c>
      <c r="Y15" s="8">
        <v>50401</v>
      </c>
      <c r="Z15" s="8">
        <v>64887</v>
      </c>
    </row>
    <row r="16" spans="1:50" s="8" customFormat="1">
      <c r="A16" s="8" t="s">
        <v>19</v>
      </c>
      <c r="B16" s="9">
        <v>16192</v>
      </c>
      <c r="C16" s="9">
        <v>16370</v>
      </c>
      <c r="D16" s="9">
        <v>18348</v>
      </c>
      <c r="E16" s="9">
        <v>23813</v>
      </c>
      <c r="F16" s="9">
        <v>19106</v>
      </c>
      <c r="G16" s="9">
        <v>22668</v>
      </c>
      <c r="H16" s="9">
        <v>25171</v>
      </c>
      <c r="I16" s="9">
        <v>37467</v>
      </c>
      <c r="J16" s="9">
        <v>30649</v>
      </c>
      <c r="K16" s="9">
        <v>30721</v>
      </c>
      <c r="L16" s="9">
        <v>29145</v>
      </c>
      <c r="M16" s="9">
        <v>37272</v>
      </c>
      <c r="N16" s="9">
        <v>28759</v>
      </c>
      <c r="O16" s="9"/>
      <c r="P16" s="9"/>
      <c r="Q16" s="9"/>
      <c r="X16" s="8">
        <v>33510</v>
      </c>
      <c r="Y16" s="8">
        <v>35418</v>
      </c>
      <c r="Z16" s="8">
        <v>43983</v>
      </c>
      <c r="AA16" s="8">
        <v>103273</v>
      </c>
      <c r="AB16" s="8">
        <v>134099</v>
      </c>
      <c r="AC16" s="8">
        <f>SUM(B16:E16)</f>
        <v>74723</v>
      </c>
      <c r="AD16" s="8">
        <f>SUM(F16:I16)</f>
        <v>104412</v>
      </c>
      <c r="AE16" s="8">
        <f>SUM(J16:M16)</f>
        <v>127787</v>
      </c>
    </row>
    <row r="17" spans="1:31" s="8" customFormat="1">
      <c r="A17" s="8" t="s">
        <v>34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X17" s="8">
        <v>10938</v>
      </c>
      <c r="Y17" s="8">
        <v>10026</v>
      </c>
      <c r="Z17" s="8">
        <v>10631</v>
      </c>
    </row>
    <row r="18" spans="1:31" s="8" customFormat="1">
      <c r="A18" s="8" t="s">
        <v>35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X18" s="8">
        <v>22369</v>
      </c>
      <c r="Y18" s="8">
        <v>25196</v>
      </c>
      <c r="Z18" s="8">
        <v>33107</v>
      </c>
    </row>
    <row r="19" spans="1:31" s="8" customFormat="1">
      <c r="A19" s="8" t="s">
        <v>20</v>
      </c>
      <c r="B19" s="9">
        <v>7696</v>
      </c>
      <c r="C19" s="9">
        <v>8381</v>
      </c>
      <c r="D19" s="9">
        <v>8995</v>
      </c>
      <c r="E19" s="9">
        <v>9954</v>
      </c>
      <c r="F19" s="9">
        <v>10219</v>
      </c>
      <c r="G19" s="9">
        <v>10808</v>
      </c>
      <c r="H19" s="9">
        <v>11601</v>
      </c>
      <c r="I19" s="9">
        <v>12742</v>
      </c>
      <c r="J19" s="9">
        <v>13503</v>
      </c>
      <c r="K19" s="9">
        <v>14809</v>
      </c>
      <c r="L19" s="9">
        <v>16110</v>
      </c>
      <c r="M19" s="9">
        <v>17780</v>
      </c>
      <c r="N19" s="9">
        <v>18441</v>
      </c>
      <c r="O19" s="9"/>
      <c r="P19" s="9"/>
      <c r="Q19" s="9"/>
      <c r="X19" s="8">
        <v>4644</v>
      </c>
      <c r="Y19" s="8">
        <v>7880</v>
      </c>
      <c r="Z19" s="8">
        <v>12219</v>
      </c>
      <c r="AA19" s="8">
        <v>17459</v>
      </c>
      <c r="AB19" s="8">
        <v>25655</v>
      </c>
      <c r="AC19" s="8">
        <f>SUM(B19:E19)</f>
        <v>35026</v>
      </c>
      <c r="AD19" s="8">
        <f>SUM(F19:I19)</f>
        <v>45370</v>
      </c>
      <c r="AE19" s="8">
        <f>SUM(J19:M19)</f>
        <v>62202</v>
      </c>
    </row>
    <row r="21" spans="1:31" s="8" customFormat="1">
      <c r="A21" s="8" t="s">
        <v>23</v>
      </c>
      <c r="B21" s="9">
        <v>29498</v>
      </c>
      <c r="C21" s="9">
        <v>31053</v>
      </c>
      <c r="D21" s="9">
        <v>35039</v>
      </c>
      <c r="E21" s="9">
        <v>45657</v>
      </c>
      <c r="F21" s="9">
        <v>36652</v>
      </c>
      <c r="G21" s="9">
        <v>45896</v>
      </c>
      <c r="H21" s="9">
        <v>48350</v>
      </c>
      <c r="I21" s="9">
        <v>66451</v>
      </c>
      <c r="J21" s="9">
        <v>52901</v>
      </c>
      <c r="K21" s="9">
        <v>53157</v>
      </c>
      <c r="L21" s="9">
        <v>49942</v>
      </c>
      <c r="M21" s="9">
        <v>66075</v>
      </c>
      <c r="N21" s="9">
        <v>51129</v>
      </c>
      <c r="O21" s="9"/>
      <c r="P21" s="9"/>
      <c r="Q21" s="9"/>
      <c r="AB21" s="8">
        <f>26939+27165+29061+39822</f>
        <v>122987</v>
      </c>
      <c r="AC21" s="8">
        <f>SUM(B21:E21)</f>
        <v>141247</v>
      </c>
      <c r="AD21" s="8">
        <f>SUM(F21:I21)</f>
        <v>197349</v>
      </c>
      <c r="AE21" s="8">
        <f>SUM(J21:M21)</f>
        <v>222075</v>
      </c>
    </row>
    <row r="22" spans="1:31" s="8" customFormat="1">
      <c r="A22" s="8" t="s">
        <v>24</v>
      </c>
      <c r="B22" s="9">
        <v>4307</v>
      </c>
      <c r="C22" s="9">
        <v>4330</v>
      </c>
      <c r="D22" s="9">
        <v>4192</v>
      </c>
      <c r="E22" s="9">
        <v>4363</v>
      </c>
      <c r="F22" s="9">
        <v>4640</v>
      </c>
      <c r="G22" s="9">
        <v>3774</v>
      </c>
      <c r="H22" s="9">
        <v>3788</v>
      </c>
      <c r="I22" s="9">
        <v>4022</v>
      </c>
      <c r="J22" s="9">
        <v>3920</v>
      </c>
      <c r="K22" s="9">
        <v>4198</v>
      </c>
      <c r="L22" s="9">
        <v>4269</v>
      </c>
      <c r="M22" s="9">
        <v>4688</v>
      </c>
      <c r="N22" s="9">
        <v>4591</v>
      </c>
      <c r="O22" s="9"/>
      <c r="P22" s="9"/>
      <c r="Q22" s="9"/>
      <c r="AB22" s="8">
        <f>4263+4312+4248+4401</f>
        <v>17224</v>
      </c>
      <c r="AC22" s="8">
        <f>SUM(B22:E22)</f>
        <v>17192</v>
      </c>
      <c r="AD22" s="8">
        <f>SUM(F22:I22)</f>
        <v>16224</v>
      </c>
      <c r="AE22" s="8">
        <f>SUM(J22:M22)</f>
        <v>17075</v>
      </c>
    </row>
    <row r="23" spans="1:31" s="8" customFormat="1">
      <c r="A23" s="8" t="s">
        <v>25</v>
      </c>
      <c r="B23" s="9">
        <v>11141</v>
      </c>
      <c r="C23" s="9">
        <v>11962</v>
      </c>
      <c r="D23" s="9">
        <v>13212</v>
      </c>
      <c r="E23" s="9">
        <v>17446</v>
      </c>
      <c r="F23" s="9">
        <v>14479</v>
      </c>
      <c r="G23" s="9">
        <v>18195</v>
      </c>
      <c r="H23" s="9">
        <v>20436</v>
      </c>
      <c r="I23" s="9">
        <v>27327</v>
      </c>
      <c r="J23" s="9">
        <v>23709</v>
      </c>
      <c r="K23" s="9">
        <v>25085</v>
      </c>
      <c r="L23" s="9">
        <v>24252</v>
      </c>
      <c r="M23" s="9">
        <v>30320</v>
      </c>
      <c r="N23" s="9">
        <v>25335</v>
      </c>
      <c r="O23" s="9"/>
      <c r="P23" s="9"/>
      <c r="Q23" s="9"/>
      <c r="AB23" s="8">
        <f>9265+9702+10395+13383</f>
        <v>42745</v>
      </c>
      <c r="AC23" s="8">
        <f>SUM(B23:E23)</f>
        <v>53761</v>
      </c>
      <c r="AD23" s="8">
        <f>SUM(F23:I23)</f>
        <v>80437</v>
      </c>
      <c r="AE23" s="8">
        <f>SUM(J23:M23)</f>
        <v>103366</v>
      </c>
    </row>
    <row r="24" spans="1:31" s="8" customFormat="1">
      <c r="A24" s="8" t="s">
        <v>26</v>
      </c>
      <c r="B24" s="9">
        <v>4342</v>
      </c>
      <c r="C24" s="9">
        <v>4676</v>
      </c>
      <c r="D24" s="9">
        <v>4957</v>
      </c>
      <c r="E24" s="9">
        <v>5235</v>
      </c>
      <c r="F24" s="9">
        <v>5556</v>
      </c>
      <c r="G24" s="9">
        <v>6018</v>
      </c>
      <c r="H24" s="9">
        <v>6572</v>
      </c>
      <c r="I24" s="9">
        <v>7061</v>
      </c>
      <c r="J24" s="9">
        <v>7580</v>
      </c>
      <c r="K24" s="9">
        <v>7917</v>
      </c>
      <c r="L24" s="9">
        <v>8148</v>
      </c>
      <c r="M24" s="9">
        <v>8123</v>
      </c>
      <c r="N24" s="9">
        <v>8410</v>
      </c>
      <c r="O24" s="9"/>
      <c r="P24" s="9"/>
      <c r="Q24" s="9"/>
      <c r="AB24" s="8">
        <f>3102+3408+3698+3959</f>
        <v>14167</v>
      </c>
      <c r="AC24" s="8">
        <f>SUM(B24:E24)</f>
        <v>19210</v>
      </c>
      <c r="AD24" s="8">
        <f>SUM(F24:I24)</f>
        <v>25207</v>
      </c>
      <c r="AE24" s="8">
        <f>SUM(J24:M24)</f>
        <v>31768</v>
      </c>
    </row>
    <row r="25" spans="1:31" s="8" customFormat="1">
      <c r="A25" s="8" t="s">
        <v>27</v>
      </c>
      <c r="B25" s="9">
        <v>2716</v>
      </c>
      <c r="C25" s="9">
        <v>3002</v>
      </c>
      <c r="D25" s="9">
        <v>3586</v>
      </c>
      <c r="E25" s="9">
        <v>4782</v>
      </c>
      <c r="F25" s="9">
        <v>3906</v>
      </c>
      <c r="G25" s="9">
        <v>4221</v>
      </c>
      <c r="H25" s="9">
        <v>5398</v>
      </c>
      <c r="I25" s="9">
        <v>7350</v>
      </c>
      <c r="J25" s="9">
        <v>6381</v>
      </c>
      <c r="K25" s="9">
        <v>7451</v>
      </c>
      <c r="L25" s="9">
        <v>7612</v>
      </c>
      <c r="M25" s="9">
        <v>9716</v>
      </c>
      <c r="N25" s="9">
        <v>7877</v>
      </c>
      <c r="O25" s="9"/>
      <c r="P25" s="9"/>
      <c r="Q25" s="9"/>
      <c r="AB25" s="8">
        <f>2031+2194+2495+3388</f>
        <v>10108</v>
      </c>
      <c r="AC25" s="8">
        <f>SUM(B25:E25)</f>
        <v>14086</v>
      </c>
      <c r="AD25" s="8">
        <f>SUM(F25:I25)</f>
        <v>20875</v>
      </c>
      <c r="AE25" s="8">
        <f>SUM(J25:M25)</f>
        <v>31160</v>
      </c>
    </row>
    <row r="26" spans="1:31" s="8" customFormat="1">
      <c r="A26" s="8" t="s">
        <v>28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602</v>
      </c>
      <c r="J26" s="9">
        <v>524</v>
      </c>
      <c r="K26" s="9">
        <v>463</v>
      </c>
      <c r="L26" s="9">
        <v>479</v>
      </c>
      <c r="M26" s="9">
        <v>710</v>
      </c>
      <c r="N26" s="9">
        <v>661</v>
      </c>
      <c r="O26" s="9"/>
      <c r="P26" s="9"/>
      <c r="Q26" s="9"/>
      <c r="AC26" s="8">
        <f>SUM(B26:E26)</f>
        <v>0</v>
      </c>
      <c r="AD26" s="8">
        <f>SUM(F26:I26)</f>
        <v>602</v>
      </c>
      <c r="AE26" s="8">
        <f>SUM(J26:M26)</f>
        <v>2176</v>
      </c>
    </row>
    <row r="28" spans="1:31" s="8" customFormat="1">
      <c r="A28" s="8" t="s">
        <v>3</v>
      </c>
      <c r="B28" s="9">
        <v>34283</v>
      </c>
      <c r="C28" s="9">
        <v>35856</v>
      </c>
      <c r="D28" s="9">
        <v>39726</v>
      </c>
      <c r="E28" s="9">
        <v>50542</v>
      </c>
      <c r="F28" s="9">
        <v>41841</v>
      </c>
      <c r="G28" s="9">
        <v>50244</v>
      </c>
      <c r="H28" s="9">
        <v>52774</v>
      </c>
      <c r="I28" s="9">
        <v>71056</v>
      </c>
      <c r="J28" s="9">
        <v>57491</v>
      </c>
      <c r="K28" s="9">
        <v>58004</v>
      </c>
      <c r="L28" s="9">
        <v>54876</v>
      </c>
      <c r="M28" s="9">
        <v>71416</v>
      </c>
      <c r="N28" s="9">
        <v>56455</v>
      </c>
      <c r="O28" s="9"/>
      <c r="P28" s="9"/>
      <c r="Q28" s="9"/>
      <c r="AA28" s="8">
        <v>118573</v>
      </c>
      <c r="AB28" s="8">
        <v>141915</v>
      </c>
      <c r="AC28" s="8">
        <f>SUM(B28:E28)</f>
        <v>160407</v>
      </c>
      <c r="AD28" s="8">
        <f>SUM(F28:I28)</f>
        <v>215915</v>
      </c>
      <c r="AE28" s="8">
        <f>SUM(J28:M28)</f>
        <v>241787</v>
      </c>
    </row>
    <row r="29" spans="1:31" s="8" customFormat="1">
      <c r="A29" s="8" t="s">
        <v>4</v>
      </c>
      <c r="B29" s="9">
        <v>25417</v>
      </c>
      <c r="C29" s="9">
        <v>27548</v>
      </c>
      <c r="D29" s="9">
        <v>30255</v>
      </c>
      <c r="E29" s="9">
        <v>36895</v>
      </c>
      <c r="F29" s="9">
        <v>33611</v>
      </c>
      <c r="G29" s="9">
        <v>38668</v>
      </c>
      <c r="H29" s="9">
        <v>43371</v>
      </c>
      <c r="I29" s="9">
        <v>54499</v>
      </c>
      <c r="J29" s="9">
        <v>51027</v>
      </c>
      <c r="K29" s="9">
        <v>55076</v>
      </c>
      <c r="L29" s="9">
        <v>55936</v>
      </c>
      <c r="M29" s="9">
        <v>65996</v>
      </c>
      <c r="N29" s="9">
        <v>59989</v>
      </c>
      <c r="O29" s="9"/>
      <c r="P29" s="9"/>
      <c r="Q29" s="9"/>
      <c r="AA29" s="8">
        <v>59293</v>
      </c>
      <c r="AB29" s="8">
        <v>90972</v>
      </c>
      <c r="AC29" s="8">
        <f>SUM(B29:E29)</f>
        <v>120115</v>
      </c>
      <c r="AD29" s="8">
        <f>SUM(F29:I29)</f>
        <v>170149</v>
      </c>
      <c r="AE29" s="8">
        <f>SUM(J29:M29)</f>
        <v>228035</v>
      </c>
    </row>
    <row r="30" spans="1:31" s="8" customForma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31" s="8" customForma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31" s="8" customForma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31" s="10" customFormat="1">
      <c r="A33" s="10" t="s">
        <v>2</v>
      </c>
      <c r="B33" s="11">
        <f t="shared" ref="B33:D33" si="3">B28+B29</f>
        <v>59700</v>
      </c>
      <c r="C33" s="11">
        <f t="shared" ref="C33" si="4">C28+C29</f>
        <v>63404</v>
      </c>
      <c r="D33" s="11">
        <f t="shared" si="3"/>
        <v>69981</v>
      </c>
      <c r="E33" s="11">
        <f t="shared" ref="E33" si="5">E28+E29</f>
        <v>87437</v>
      </c>
      <c r="F33" s="11">
        <f t="shared" ref="F33" si="6">F28+F29</f>
        <v>75452</v>
      </c>
      <c r="G33" s="11">
        <f t="shared" ref="G33" si="7">G28+G29</f>
        <v>88912</v>
      </c>
      <c r="H33" s="11">
        <f t="shared" ref="H33:M33" si="8">H28+H29</f>
        <v>96145</v>
      </c>
      <c r="I33" s="11">
        <f t="shared" si="8"/>
        <v>125555</v>
      </c>
      <c r="J33" s="11">
        <f t="shared" si="8"/>
        <v>108518</v>
      </c>
      <c r="K33" s="11">
        <f t="shared" si="8"/>
        <v>113080</v>
      </c>
      <c r="L33" s="11">
        <f t="shared" si="8"/>
        <v>110812</v>
      </c>
      <c r="M33" s="11">
        <f t="shared" si="8"/>
        <v>137412</v>
      </c>
      <c r="N33" s="11">
        <f>N28+N29</f>
        <v>116444</v>
      </c>
      <c r="O33" s="11">
        <f t="shared" ref="O33:Q33" si="9">O28+O29</f>
        <v>0</v>
      </c>
      <c r="P33" s="11">
        <f t="shared" si="9"/>
        <v>0</v>
      </c>
      <c r="Q33" s="11">
        <f t="shared" si="9"/>
        <v>0</v>
      </c>
      <c r="R33" s="11">
        <f t="shared" ref="R33" si="10">R28+R29</f>
        <v>0</v>
      </c>
      <c r="S33" s="11">
        <f t="shared" ref="S33" si="11">S28+S29</f>
        <v>0</v>
      </c>
      <c r="T33" s="11">
        <f t="shared" ref="T33" si="12">T28+T29</f>
        <v>0</v>
      </c>
      <c r="U33" s="11">
        <f t="shared" ref="U33" si="13">U28+U29</f>
        <v>0</v>
      </c>
      <c r="X33" s="10">
        <f>+X13+X16+X19</f>
        <v>88988</v>
      </c>
      <c r="Y33" s="10">
        <f t="shared" ref="Y33:Z33" si="14">+Y13+Y16+Y19</f>
        <v>107006</v>
      </c>
      <c r="Z33" s="10">
        <f t="shared" si="14"/>
        <v>135987</v>
      </c>
      <c r="AA33" s="11">
        <f t="shared" ref="AA33" si="15">AA28+AA29</f>
        <v>177866</v>
      </c>
      <c r="AB33" s="11">
        <f t="shared" ref="AB33" si="16">AB28+AB29</f>
        <v>232887</v>
      </c>
      <c r="AC33" s="11">
        <f>AC28+AC29</f>
        <v>280522</v>
      </c>
      <c r="AD33" s="11">
        <f>AD28+AD29</f>
        <v>386064</v>
      </c>
      <c r="AE33" s="11">
        <f>AE28+AE29</f>
        <v>469822</v>
      </c>
    </row>
    <row r="34" spans="1:31" s="10" customFormat="1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AA34" s="11"/>
      <c r="AB34" s="11"/>
      <c r="AC34" s="11"/>
      <c r="AD34" s="11"/>
      <c r="AE34" s="11"/>
    </row>
    <row r="35" spans="1:31" s="8" customFormat="1">
      <c r="A35" s="8" t="s">
        <v>5</v>
      </c>
      <c r="B35" s="9">
        <v>33920</v>
      </c>
      <c r="C35" s="9">
        <v>36337</v>
      </c>
      <c r="D35" s="9">
        <v>41302</v>
      </c>
      <c r="E35" s="9">
        <v>53977</v>
      </c>
      <c r="F35" s="9">
        <v>44257</v>
      </c>
      <c r="G35" s="9">
        <v>52660</v>
      </c>
      <c r="H35" s="9">
        <v>57106</v>
      </c>
      <c r="I35" s="9">
        <v>79284</v>
      </c>
      <c r="J35" s="9">
        <v>62403</v>
      </c>
      <c r="K35" s="9">
        <v>64176</v>
      </c>
      <c r="L35" s="9">
        <v>62930</v>
      </c>
      <c r="M35" s="9">
        <v>82835</v>
      </c>
      <c r="N35" s="9">
        <v>66499</v>
      </c>
      <c r="O35" s="9"/>
      <c r="P35" s="9"/>
      <c r="Q35" s="9"/>
      <c r="X35" s="8">
        <v>62752</v>
      </c>
      <c r="Y35" s="8">
        <v>71651</v>
      </c>
      <c r="Z35" s="8">
        <v>88265</v>
      </c>
      <c r="AA35" s="8">
        <v>111934</v>
      </c>
      <c r="AB35" s="8">
        <v>139156</v>
      </c>
      <c r="AC35" s="8">
        <f>SUM(B35:E35)</f>
        <v>165536</v>
      </c>
      <c r="AD35" s="8">
        <f>SUM(F35:I35)</f>
        <v>233307</v>
      </c>
      <c r="AE35" s="8">
        <f>SUM(J35:M35)</f>
        <v>272344</v>
      </c>
    </row>
    <row r="36" spans="1:31" s="8" customFormat="1">
      <c r="A36" s="8" t="s">
        <v>6</v>
      </c>
      <c r="B36" s="9">
        <v>8601</v>
      </c>
      <c r="C36" s="9">
        <v>9271</v>
      </c>
      <c r="D36" s="9">
        <v>10167</v>
      </c>
      <c r="E36" s="9">
        <v>12192</v>
      </c>
      <c r="F36" s="9">
        <v>11531</v>
      </c>
      <c r="G36" s="9">
        <v>13806</v>
      </c>
      <c r="H36" s="9">
        <v>14705</v>
      </c>
      <c r="I36" s="9">
        <v>18474</v>
      </c>
      <c r="J36" s="9">
        <v>16530</v>
      </c>
      <c r="K36" s="9">
        <v>17638</v>
      </c>
      <c r="L36" s="9">
        <v>18498</v>
      </c>
      <c r="M36" s="9">
        <v>22445</v>
      </c>
      <c r="N36" s="9">
        <v>20271</v>
      </c>
      <c r="O36" s="9"/>
      <c r="P36" s="9"/>
      <c r="Q36" s="9"/>
      <c r="X36" s="8">
        <v>10766</v>
      </c>
      <c r="Y36" s="8">
        <v>13410</v>
      </c>
      <c r="Z36" s="8">
        <v>17619</v>
      </c>
      <c r="AA36" s="8">
        <v>25249</v>
      </c>
      <c r="AB36" s="8">
        <v>34027</v>
      </c>
      <c r="AC36" s="8">
        <f>SUM(B36:E36)</f>
        <v>40231</v>
      </c>
      <c r="AD36" s="8">
        <f>SUM(F36:I36)</f>
        <v>58516</v>
      </c>
      <c r="AE36" s="8">
        <f>SUM(J36:M36)</f>
        <v>75111</v>
      </c>
    </row>
    <row r="37" spans="1:31" s="8" customFormat="1">
      <c r="A37" s="8" t="s">
        <v>12</v>
      </c>
      <c r="B37" s="9">
        <f>B33-B35-B36</f>
        <v>17179</v>
      </c>
      <c r="C37" s="9">
        <f t="shared" ref="C37" si="17">C33-C35-C36</f>
        <v>17796</v>
      </c>
      <c r="D37" s="9">
        <f>D33-D35-D36</f>
        <v>18512</v>
      </c>
      <c r="E37" s="9">
        <f t="shared" ref="E37" si="18">E33-E35-E36</f>
        <v>21268</v>
      </c>
      <c r="F37" s="9">
        <f t="shared" ref="F37" si="19">F33-F35-F36</f>
        <v>19664</v>
      </c>
      <c r="G37" s="9">
        <f t="shared" ref="G37" si="20">G33-G35-G36</f>
        <v>22446</v>
      </c>
      <c r="H37" s="9">
        <f>H33-H35-H36</f>
        <v>24334</v>
      </c>
      <c r="I37" s="9">
        <f t="shared" ref="I37" si="21">I33-I35-I36</f>
        <v>27797</v>
      </c>
      <c r="J37" s="9">
        <f>J33-J35-J36</f>
        <v>29585</v>
      </c>
      <c r="K37" s="9">
        <f t="shared" ref="K37:N37" si="22">K33-K35-K36</f>
        <v>31266</v>
      </c>
      <c r="L37" s="9">
        <f t="shared" si="22"/>
        <v>29384</v>
      </c>
      <c r="M37" s="9">
        <f t="shared" si="22"/>
        <v>32132</v>
      </c>
      <c r="N37" s="9">
        <f t="shared" si="22"/>
        <v>29674</v>
      </c>
      <c r="O37" s="9"/>
      <c r="P37" s="9"/>
      <c r="Q37" s="9"/>
      <c r="X37" s="9">
        <f t="shared" ref="X37:AA37" si="23">X33-X35-X36</f>
        <v>15470</v>
      </c>
      <c r="Y37" s="9">
        <f t="shared" si="23"/>
        <v>21945</v>
      </c>
      <c r="Z37" s="9">
        <f t="shared" si="23"/>
        <v>30103</v>
      </c>
      <c r="AA37" s="9">
        <f t="shared" si="23"/>
        <v>40683</v>
      </c>
      <c r="AB37" s="9">
        <f t="shared" ref="AB37:AC37" si="24">AB33-AB35-AB36</f>
        <v>59704</v>
      </c>
      <c r="AC37" s="9">
        <f t="shared" si="24"/>
        <v>74755</v>
      </c>
      <c r="AD37" s="9">
        <f t="shared" ref="AD37:AE37" si="25">AD33-AD35-AD36</f>
        <v>94241</v>
      </c>
      <c r="AE37" s="9">
        <f t="shared" si="25"/>
        <v>122367</v>
      </c>
    </row>
    <row r="38" spans="1:31" s="8" customFormat="1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X38" s="9"/>
      <c r="Y38" s="9"/>
      <c r="Z38" s="9"/>
      <c r="AA38" s="9"/>
      <c r="AB38" s="9"/>
      <c r="AC38" s="9"/>
      <c r="AD38" s="9"/>
      <c r="AE38" s="9"/>
    </row>
    <row r="39" spans="1:31" s="8" customFormat="1">
      <c r="A39" s="8" t="s">
        <v>76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X39" s="9"/>
      <c r="Y39" s="9"/>
      <c r="Z39" s="9"/>
      <c r="AA39" s="9"/>
      <c r="AB39" s="9"/>
      <c r="AC39" s="9"/>
      <c r="AD39" s="9"/>
      <c r="AE39" s="9"/>
    </row>
    <row r="40" spans="1:31" s="8" customFormat="1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X40" s="9"/>
      <c r="Y40" s="9"/>
      <c r="Z40" s="9"/>
      <c r="AA40" s="9"/>
      <c r="AB40" s="9"/>
      <c r="AC40" s="9"/>
      <c r="AD40" s="9"/>
      <c r="AE40" s="9"/>
    </row>
    <row r="41" spans="1:31" s="8" customFormat="1">
      <c r="A41" s="8" t="s">
        <v>7</v>
      </c>
      <c r="B41" s="9">
        <v>7927</v>
      </c>
      <c r="C41" s="9">
        <v>9065</v>
      </c>
      <c r="D41" s="9">
        <v>9200</v>
      </c>
      <c r="E41" s="9">
        <v>9740</v>
      </c>
      <c r="F41" s="9">
        <v>9325</v>
      </c>
      <c r="G41" s="9">
        <v>10388</v>
      </c>
      <c r="H41" s="9">
        <v>10976</v>
      </c>
      <c r="I41" s="9">
        <v>12049</v>
      </c>
      <c r="J41" s="9">
        <v>12488</v>
      </c>
      <c r="K41" s="9">
        <v>13871</v>
      </c>
      <c r="L41" s="9">
        <v>14380</v>
      </c>
      <c r="M41" s="9">
        <v>15313</v>
      </c>
      <c r="N41" s="9">
        <v>14842</v>
      </c>
      <c r="O41" s="9"/>
      <c r="P41" s="9"/>
      <c r="Q41" s="9"/>
      <c r="X41" s="8">
        <v>9275</v>
      </c>
      <c r="Y41" s="8">
        <v>12540</v>
      </c>
      <c r="Z41" s="8">
        <v>16085</v>
      </c>
      <c r="AA41" s="8">
        <v>22620</v>
      </c>
      <c r="AB41" s="8">
        <v>28837</v>
      </c>
      <c r="AC41" s="8">
        <f>SUM(B41:E41)</f>
        <v>35932</v>
      </c>
      <c r="AD41" s="8">
        <f>SUM(F41:I41)</f>
        <v>42738</v>
      </c>
      <c r="AE41" s="8">
        <f>SUM(J41:M41)</f>
        <v>56052</v>
      </c>
    </row>
    <row r="42" spans="1:31" s="8" customFormat="1">
      <c r="A42" s="8" t="s">
        <v>77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31" s="8" customFormat="1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31" s="8" customFormat="1">
      <c r="A44" s="8" t="s">
        <v>75</v>
      </c>
      <c r="B44" s="9">
        <v>3664</v>
      </c>
      <c r="C44" s="9">
        <v>4291</v>
      </c>
      <c r="D44" s="9">
        <v>4752</v>
      </c>
      <c r="E44" s="9">
        <v>6172</v>
      </c>
      <c r="F44" s="9">
        <v>4828</v>
      </c>
      <c r="G44" s="9">
        <v>4345</v>
      </c>
      <c r="H44" s="9">
        <v>5434</v>
      </c>
      <c r="I44" s="9">
        <v>7403</v>
      </c>
      <c r="J44" s="9">
        <v>6207</v>
      </c>
      <c r="K44" s="9">
        <v>7524</v>
      </c>
      <c r="L44" s="9">
        <v>8010</v>
      </c>
      <c r="M44" s="9">
        <v>10810</v>
      </c>
      <c r="N44" s="9">
        <v>8320</v>
      </c>
      <c r="O44" s="9"/>
      <c r="P44" s="9"/>
      <c r="Q44" s="9"/>
      <c r="X44" s="8">
        <v>4332</v>
      </c>
      <c r="Y44" s="8">
        <v>5254</v>
      </c>
      <c r="Z44" s="8">
        <v>7233</v>
      </c>
      <c r="AA44" s="8">
        <v>10069</v>
      </c>
      <c r="AB44" s="8">
        <v>13814</v>
      </c>
      <c r="AC44" s="8">
        <f>SUM(B44:E44)</f>
        <v>18879</v>
      </c>
      <c r="AD44" s="8">
        <f>SUM(F44:I44)</f>
        <v>22010</v>
      </c>
      <c r="AE44" s="8">
        <f>SUM(J44:M44)</f>
        <v>32551</v>
      </c>
    </row>
    <row r="45" spans="1:31" s="8" customFormat="1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31" s="8" customFormat="1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31">
      <c r="A47" s="8" t="s">
        <v>74</v>
      </c>
      <c r="B47" s="9">
        <v>1173</v>
      </c>
      <c r="C47" s="9">
        <v>1270</v>
      </c>
      <c r="D47" s="9">
        <v>1348</v>
      </c>
      <c r="E47" s="9">
        <v>1412</v>
      </c>
      <c r="F47" s="9">
        <v>1452</v>
      </c>
      <c r="G47" s="9">
        <v>1580</v>
      </c>
      <c r="H47" s="9">
        <v>1668</v>
      </c>
      <c r="I47" s="9">
        <v>1968</v>
      </c>
      <c r="J47" s="9">
        <v>1987</v>
      </c>
      <c r="K47" s="9">
        <v>2158</v>
      </c>
      <c r="L47" s="9">
        <v>2153</v>
      </c>
      <c r="M47" s="9">
        <v>2525</v>
      </c>
      <c r="N47" s="9">
        <v>2594</v>
      </c>
      <c r="X47" s="8">
        <v>1552</v>
      </c>
      <c r="Y47" s="8">
        <v>1747</v>
      </c>
      <c r="Z47" s="8">
        <v>2432</v>
      </c>
      <c r="AA47" s="8">
        <v>3674</v>
      </c>
      <c r="AB47" s="8">
        <v>4336</v>
      </c>
      <c r="AC47" s="8">
        <f>SUM(B47:E47)</f>
        <v>5203</v>
      </c>
      <c r="AD47" s="8">
        <f>SUM(F47:I47)</f>
        <v>6668</v>
      </c>
      <c r="AE47" s="8">
        <f>SUM(J47:M47)</f>
        <v>8823</v>
      </c>
    </row>
    <row r="48" spans="1:31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X48" s="8"/>
      <c r="Y48" s="8"/>
      <c r="Z48" s="8"/>
      <c r="AA48" s="8"/>
      <c r="AB48" s="8"/>
      <c r="AC48" s="8"/>
      <c r="AD48" s="8"/>
      <c r="AE48" s="8"/>
    </row>
    <row r="49" spans="1:31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X49" s="8"/>
      <c r="Y49" s="8"/>
      <c r="Z49" s="8"/>
      <c r="AA49" s="8"/>
      <c r="AB49" s="8"/>
      <c r="AC49" s="8"/>
      <c r="AD49" s="8"/>
      <c r="AE49" s="8"/>
    </row>
    <row r="50" spans="1:3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X50" s="8"/>
      <c r="Y50" s="8"/>
      <c r="Z50" s="8"/>
      <c r="AA50" s="8"/>
      <c r="AB50" s="8"/>
      <c r="AC50" s="8"/>
      <c r="AD50" s="8"/>
      <c r="AE50" s="8"/>
    </row>
    <row r="51" spans="1:31">
      <c r="A51" s="8" t="s">
        <v>73</v>
      </c>
      <c r="B51" s="9">
        <f>SUM(B41:B47)</f>
        <v>12764</v>
      </c>
      <c r="C51" s="9">
        <f>SUM(C41:C47)</f>
        <v>14626</v>
      </c>
      <c r="D51" s="9">
        <f>SUM(D41:D47)</f>
        <v>15300</v>
      </c>
      <c r="E51" s="9">
        <f>SUM(E41:E47)</f>
        <v>17324</v>
      </c>
      <c r="F51" s="9">
        <f>SUM(F41:F47)</f>
        <v>15605</v>
      </c>
      <c r="G51" s="9">
        <f>SUM(G41:G47)</f>
        <v>16313</v>
      </c>
      <c r="H51" s="9">
        <f>SUM(H41:H47)</f>
        <v>18078</v>
      </c>
      <c r="I51" s="9">
        <f>SUM(I41:I47)</f>
        <v>21420</v>
      </c>
      <c r="J51" s="9">
        <f>SUM(J41:J47)</f>
        <v>20682</v>
      </c>
      <c r="K51" s="9">
        <f>SUM(K41:K47)</f>
        <v>23553</v>
      </c>
      <c r="L51" s="9">
        <f>SUM(L41:L47)</f>
        <v>24543</v>
      </c>
      <c r="M51" s="9">
        <f>SUM(M41:M47)</f>
        <v>28648</v>
      </c>
      <c r="N51" s="9">
        <f>SUM(N41:N47)</f>
        <v>25756</v>
      </c>
      <c r="X51" s="9">
        <f>SUM(X41:X47)</f>
        <v>15159</v>
      </c>
      <c r="Y51" s="9">
        <f>SUM(Y41:Y47)</f>
        <v>19541</v>
      </c>
      <c r="Z51" s="9">
        <f>SUM(Z41:Z47)</f>
        <v>25750</v>
      </c>
      <c r="AA51" s="9">
        <f>SUM(AA41:AA47)</f>
        <v>36363</v>
      </c>
      <c r="AB51" s="9">
        <f>SUM(AB41:AB47)</f>
        <v>46987</v>
      </c>
      <c r="AC51" s="9">
        <f>SUM(AC41:AC47)</f>
        <v>60014</v>
      </c>
      <c r="AD51" s="9">
        <f>SUM(AD41:AD47)</f>
        <v>71416</v>
      </c>
      <c r="AE51" s="9">
        <f>SUM(AE41:AE47)</f>
        <v>97426</v>
      </c>
    </row>
    <row r="52" spans="1:31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X52" s="9"/>
      <c r="Y52" s="9"/>
      <c r="Z52" s="9"/>
      <c r="AA52" s="9"/>
      <c r="AB52" s="9"/>
      <c r="AC52" s="9"/>
      <c r="AD52" s="9"/>
      <c r="AE52" s="9"/>
    </row>
    <row r="53" spans="1:31">
      <c r="A53" s="8" t="s">
        <v>72</v>
      </c>
      <c r="B53" s="9">
        <f>B37-B51</f>
        <v>4415</v>
      </c>
      <c r="C53" s="9">
        <f>C37-C51</f>
        <v>3170</v>
      </c>
      <c r="D53" s="9">
        <f>D37-D51</f>
        <v>3212</v>
      </c>
      <c r="E53" s="9">
        <f>E37-E51</f>
        <v>3944</v>
      </c>
      <c r="F53" s="9">
        <f>F37-F51</f>
        <v>4059</v>
      </c>
      <c r="G53" s="9">
        <f>G37-G51</f>
        <v>6133</v>
      </c>
      <c r="H53" s="9">
        <f>H37-H51</f>
        <v>6256</v>
      </c>
      <c r="I53" s="9">
        <f>I37-I51</f>
        <v>6377</v>
      </c>
      <c r="J53" s="9">
        <f>J37-J51</f>
        <v>8903</v>
      </c>
      <c r="K53" s="9">
        <f>K37-K51</f>
        <v>7713</v>
      </c>
      <c r="L53" s="9">
        <f>L37-L51</f>
        <v>4841</v>
      </c>
      <c r="M53" s="9">
        <f>M37-M51</f>
        <v>3484</v>
      </c>
      <c r="N53" s="9">
        <f>N37-N51</f>
        <v>3918</v>
      </c>
      <c r="X53" s="9">
        <f>X37-X51</f>
        <v>311</v>
      </c>
      <c r="Y53" s="9">
        <f>Y37-Y51</f>
        <v>2404</v>
      </c>
      <c r="Z53" s="9">
        <f>Z37-Z51</f>
        <v>4353</v>
      </c>
      <c r="AA53" s="9">
        <f>AA37-AA51</f>
        <v>4320</v>
      </c>
      <c r="AB53" s="9">
        <f>AB37-AB51</f>
        <v>12717</v>
      </c>
      <c r="AC53" s="9">
        <f>AC37-AC51</f>
        <v>14741</v>
      </c>
      <c r="AD53" s="9">
        <f>AD37-AD51</f>
        <v>22825</v>
      </c>
      <c r="AE53" s="9">
        <f>AE37-AE51</f>
        <v>24941</v>
      </c>
    </row>
    <row r="54" spans="1:31" s="8" customFormat="1">
      <c r="A54" s="8" t="s">
        <v>14</v>
      </c>
      <c r="B54" s="9">
        <f>5+183-366+164</f>
        <v>-14</v>
      </c>
      <c r="C54" s="9">
        <f>-86+215-383-27</f>
        <v>-281</v>
      </c>
      <c r="D54" s="9">
        <f>-55+224-396-353</f>
        <v>-580</v>
      </c>
      <c r="E54" s="9">
        <f>-65+211-455+418</f>
        <v>109</v>
      </c>
      <c r="F54" s="9">
        <f>-70+202-402-406</f>
        <v>-676</v>
      </c>
      <c r="G54" s="9">
        <f>-290+135-403+646</f>
        <v>88</v>
      </c>
      <c r="H54" s="9">
        <f>-62+118-428+925</f>
        <v>553</v>
      </c>
      <c r="I54" s="9">
        <f>496+100-414+1206</f>
        <v>1388</v>
      </c>
      <c r="J54" s="9">
        <f>-38+105-399+1697</f>
        <v>1365</v>
      </c>
      <c r="K54" s="9">
        <f>-11+106-435+1261</f>
        <v>921</v>
      </c>
      <c r="L54" s="9">
        <f>11+119-493-163</f>
        <v>-526</v>
      </c>
      <c r="M54" s="9">
        <f>-24+118-482+11838</f>
        <v>11450</v>
      </c>
      <c r="N54" s="9">
        <f>-249+108-472-8570</f>
        <v>-9183</v>
      </c>
      <c r="O54" s="9"/>
      <c r="P54" s="9"/>
      <c r="Q54" s="9"/>
      <c r="X54" s="8">
        <f>-133+39-210-118</f>
        <v>-422</v>
      </c>
      <c r="Y54" s="8">
        <f>-171+50-459-256</f>
        <v>-836</v>
      </c>
      <c r="Z54" s="8">
        <f>-167+100-484+90</f>
        <v>-461</v>
      </c>
      <c r="AA54" s="8">
        <f>-214+202-848+346</f>
        <v>-514</v>
      </c>
      <c r="AB54" s="8">
        <f>-296+440-1417-183</f>
        <v>-1456</v>
      </c>
      <c r="AC54" s="8">
        <f>SUM(B54:E54)</f>
        <v>-766</v>
      </c>
      <c r="AD54" s="8">
        <f>SUM(F54:I54)</f>
        <v>1353</v>
      </c>
      <c r="AE54" s="8">
        <f>SUM(J54:M54)</f>
        <v>13210</v>
      </c>
    </row>
    <row r="55" spans="1:31" s="8" customFormat="1">
      <c r="A55" s="8" t="s">
        <v>13</v>
      </c>
      <c r="B55" s="9">
        <f>B53+B54</f>
        <v>4401</v>
      </c>
      <c r="C55" s="9">
        <f t="shared" ref="C55" si="26">C53+C54</f>
        <v>2889</v>
      </c>
      <c r="D55" s="9">
        <f>D53+D54</f>
        <v>2632</v>
      </c>
      <c r="E55" s="9">
        <f t="shared" ref="E55" si="27">E53+E54</f>
        <v>4053</v>
      </c>
      <c r="F55" s="9">
        <f t="shared" ref="F55" si="28">F53+F54</f>
        <v>3383</v>
      </c>
      <c r="G55" s="9">
        <f t="shared" ref="G55" si="29">G53+G54</f>
        <v>6221</v>
      </c>
      <c r="H55" s="9">
        <f>H53+H54</f>
        <v>6809</v>
      </c>
      <c r="I55" s="9">
        <f t="shared" ref="I55" si="30">I53+I54</f>
        <v>7765</v>
      </c>
      <c r="J55" s="9">
        <f>J53+J54</f>
        <v>10268</v>
      </c>
      <c r="K55" s="9">
        <f t="shared" ref="K55:N55" si="31">K53+K54</f>
        <v>8634</v>
      </c>
      <c r="L55" s="9">
        <f t="shared" si="31"/>
        <v>4315</v>
      </c>
      <c r="M55" s="9">
        <f t="shared" si="31"/>
        <v>14934</v>
      </c>
      <c r="N55" s="9">
        <f t="shared" si="31"/>
        <v>-5265</v>
      </c>
      <c r="O55" s="9"/>
      <c r="P55" s="9"/>
      <c r="Q55" s="9"/>
      <c r="X55" s="9">
        <f t="shared" ref="X55:Z55" si="32">X53+X54</f>
        <v>-111</v>
      </c>
      <c r="Y55" s="9">
        <f t="shared" si="32"/>
        <v>1568</v>
      </c>
      <c r="Z55" s="9">
        <f t="shared" si="32"/>
        <v>3892</v>
      </c>
      <c r="AA55" s="9">
        <f t="shared" ref="AA55" si="33">AA53+AA54</f>
        <v>3806</v>
      </c>
      <c r="AB55" s="9">
        <f t="shared" ref="AB55:AC55" si="34">AB53+AB54</f>
        <v>11261</v>
      </c>
      <c r="AC55" s="9">
        <f t="shared" si="34"/>
        <v>13975</v>
      </c>
      <c r="AD55" s="9">
        <f t="shared" ref="AD55:AE55" si="35">AD53+AD54</f>
        <v>24178</v>
      </c>
      <c r="AE55" s="9">
        <f t="shared" si="35"/>
        <v>38151</v>
      </c>
    </row>
    <row r="56" spans="1:31" s="8" customFormat="1">
      <c r="A56" s="8" t="s">
        <v>15</v>
      </c>
      <c r="B56" s="9">
        <f>836+4</f>
        <v>840</v>
      </c>
      <c r="C56" s="9">
        <f>257+7</f>
        <v>264</v>
      </c>
      <c r="D56" s="9">
        <f>494+4</f>
        <v>498</v>
      </c>
      <c r="E56" s="9">
        <f>786-1</f>
        <v>785</v>
      </c>
      <c r="F56" s="9">
        <f>744+104</f>
        <v>848</v>
      </c>
      <c r="G56" s="9">
        <f>984-6</f>
        <v>978</v>
      </c>
      <c r="H56" s="9">
        <f>569-91</f>
        <v>478</v>
      </c>
      <c r="I56" s="9">
        <f>566-23</f>
        <v>543</v>
      </c>
      <c r="J56" s="9">
        <f>2156+5</f>
        <v>2161</v>
      </c>
      <c r="K56" s="9">
        <f>868-12</f>
        <v>856</v>
      </c>
      <c r="L56" s="9">
        <f>1155+4</f>
        <v>1159</v>
      </c>
      <c r="M56" s="9">
        <f>612-1</f>
        <v>611</v>
      </c>
      <c r="N56" s="9">
        <f>-1422+1</f>
        <v>-1421</v>
      </c>
      <c r="O56" s="9"/>
      <c r="P56" s="9"/>
      <c r="Q56" s="9"/>
      <c r="X56" s="8">
        <f>167-37</f>
        <v>130</v>
      </c>
      <c r="Y56" s="8">
        <f>950+22</f>
        <v>972</v>
      </c>
      <c r="Z56" s="8">
        <f>1425+96</f>
        <v>1521</v>
      </c>
      <c r="AA56" s="8">
        <f>769+4</f>
        <v>773</v>
      </c>
      <c r="AB56" s="8">
        <f>1197-9</f>
        <v>1188</v>
      </c>
      <c r="AC56" s="8">
        <f>SUM(B56:E56)</f>
        <v>2387</v>
      </c>
      <c r="AD56" s="8">
        <f>SUM(F56:I56)</f>
        <v>2847</v>
      </c>
      <c r="AE56" s="8">
        <f>SUM(J56:M56)</f>
        <v>4787</v>
      </c>
    </row>
    <row r="57" spans="1:31" s="8" customFormat="1">
      <c r="A57" s="8" t="s">
        <v>16</v>
      </c>
      <c r="B57" s="9">
        <f>B55-B56</f>
        <v>3561</v>
      </c>
      <c r="C57" s="9">
        <f t="shared" ref="C57" si="36">C55-C56</f>
        <v>2625</v>
      </c>
      <c r="D57" s="9">
        <f>D55-D56</f>
        <v>2134</v>
      </c>
      <c r="E57" s="9">
        <f t="shared" ref="E57" si="37">E55-E56</f>
        <v>3268</v>
      </c>
      <c r="F57" s="9">
        <f t="shared" ref="F57" si="38">F55-F56</f>
        <v>2535</v>
      </c>
      <c r="G57" s="9">
        <f t="shared" ref="G57" si="39">G55-G56</f>
        <v>5243</v>
      </c>
      <c r="H57" s="9">
        <f>H55-H56</f>
        <v>6331</v>
      </c>
      <c r="I57" s="9">
        <f t="shared" ref="I57" si="40">I55-I56</f>
        <v>7222</v>
      </c>
      <c r="J57" s="9">
        <f>J55-J56</f>
        <v>8107</v>
      </c>
      <c r="K57" s="9">
        <f t="shared" ref="K57:N57" si="41">K55-K56</f>
        <v>7778</v>
      </c>
      <c r="L57" s="9">
        <f t="shared" si="41"/>
        <v>3156</v>
      </c>
      <c r="M57" s="9">
        <f t="shared" si="41"/>
        <v>14323</v>
      </c>
      <c r="N57" s="9">
        <f t="shared" si="41"/>
        <v>-3844</v>
      </c>
      <c r="O57" s="9"/>
      <c r="P57" s="9"/>
      <c r="Q57" s="9"/>
      <c r="X57" s="9">
        <f t="shared" ref="X57:Z57" si="42">X55-X56</f>
        <v>-241</v>
      </c>
      <c r="Y57" s="9">
        <f t="shared" si="42"/>
        <v>596</v>
      </c>
      <c r="Z57" s="9">
        <f t="shared" si="42"/>
        <v>2371</v>
      </c>
      <c r="AA57" s="9">
        <f t="shared" ref="AA57" si="43">AA55-AA56</f>
        <v>3033</v>
      </c>
      <c r="AB57" s="9">
        <f t="shared" ref="AB57:AC57" si="44">AB55-AB56</f>
        <v>10073</v>
      </c>
      <c r="AC57" s="9">
        <f t="shared" si="44"/>
        <v>11588</v>
      </c>
      <c r="AD57" s="9">
        <f t="shared" ref="AD57:AE57" si="45">AD55-AD56</f>
        <v>21331</v>
      </c>
      <c r="AE57" s="9">
        <f t="shared" si="45"/>
        <v>33364</v>
      </c>
    </row>
    <row r="58" spans="1:31">
      <c r="A58" s="8" t="s">
        <v>17</v>
      </c>
      <c r="B58" s="12">
        <f>B57/B59</f>
        <v>7.0936254980079685</v>
      </c>
      <c r="C58" s="12">
        <f t="shared" ref="C58" si="46">C57/C59</f>
        <v>5.2186878727634198</v>
      </c>
      <c r="D58" s="12">
        <f>D57/D59</f>
        <v>4.2341269841269842</v>
      </c>
      <c r="E58" s="12">
        <f t="shared" ref="E58" si="47">E57/E59</f>
        <v>6.4712871287128717</v>
      </c>
      <c r="F58" s="12">
        <f t="shared" ref="F58" si="48">F57/F59</f>
        <v>5.0098814229249014</v>
      </c>
      <c r="G58" s="12">
        <f t="shared" ref="G58" si="49">G57/G59</f>
        <v>10.300589390962672</v>
      </c>
      <c r="H58" s="12">
        <f>H57/H59</f>
        <v>12.365234375</v>
      </c>
      <c r="I58" s="12">
        <f t="shared" ref="I58" si="50">I57/I59</f>
        <v>14.077972709551657</v>
      </c>
      <c r="J58" s="12">
        <f>J57/J59</f>
        <v>15.803118908382066</v>
      </c>
      <c r="K58" s="12">
        <f>K57/K59</f>
        <v>15.132295719844358</v>
      </c>
      <c r="L58" s="12">
        <f>L57/L59</f>
        <v>6.1281553398058248</v>
      </c>
      <c r="M58" s="12">
        <f>M57/M59</f>
        <v>27.757751937984494</v>
      </c>
      <c r="N58" s="12">
        <f>N57/N59</f>
        <v>-7.5520628683693518</v>
      </c>
      <c r="O58" s="12"/>
      <c r="X58" s="12">
        <f t="shared" ref="X58" si="51">X57/X59</f>
        <v>-0.52164502164502169</v>
      </c>
      <c r="Y58" s="12">
        <f t="shared" ref="Y58" si="52">Y57/Y59</f>
        <v>1.249475890985325</v>
      </c>
      <c r="Z58" s="12">
        <f t="shared" ref="Z58" si="53">Z57/Z59</f>
        <v>4.8987603305785123</v>
      </c>
      <c r="AA58" s="12">
        <f t="shared" ref="AA58" si="54">AA57/AA59</f>
        <v>6.1521298174442194</v>
      </c>
      <c r="AB58" s="12">
        <f t="shared" ref="AB58:AC58" si="55">AB57/AB59</f>
        <v>20.146000000000001</v>
      </c>
      <c r="AC58" s="12">
        <f t="shared" si="55"/>
        <v>23.014895729890764</v>
      </c>
      <c r="AD58" s="12">
        <f>AD57/AD59</f>
        <v>41.825490196078434</v>
      </c>
      <c r="AE58" s="12">
        <f>AE57/AE59</f>
        <v>64.847424684159378</v>
      </c>
    </row>
    <row r="59" spans="1:31">
      <c r="A59" s="8" t="s">
        <v>1</v>
      </c>
      <c r="B59" s="4">
        <v>502</v>
      </c>
      <c r="C59" s="4">
        <v>503</v>
      </c>
      <c r="D59" s="4">
        <v>504</v>
      </c>
      <c r="E59" s="4">
        <v>505</v>
      </c>
      <c r="F59" s="4">
        <v>506</v>
      </c>
      <c r="G59" s="4">
        <v>509</v>
      </c>
      <c r="H59" s="4">
        <v>512</v>
      </c>
      <c r="I59" s="4">
        <v>513</v>
      </c>
      <c r="J59" s="4">
        <v>513</v>
      </c>
      <c r="K59" s="4">
        <v>514</v>
      </c>
      <c r="L59" s="4">
        <v>515</v>
      </c>
      <c r="M59" s="4">
        <v>516</v>
      </c>
      <c r="N59" s="4">
        <v>509</v>
      </c>
      <c r="X59" s="5">
        <v>462</v>
      </c>
      <c r="Y59" s="5">
        <v>477</v>
      </c>
      <c r="Z59" s="5">
        <v>484</v>
      </c>
      <c r="AA59" s="9">
        <v>493</v>
      </c>
      <c r="AB59" s="9">
        <v>500</v>
      </c>
      <c r="AC59" s="9">
        <f>AVERAGE(B59:E59)</f>
        <v>503.5</v>
      </c>
      <c r="AD59" s="9">
        <f>AVERAGE(F59:I59)</f>
        <v>510</v>
      </c>
      <c r="AE59" s="9">
        <f>AVERAGE(J59:M59)</f>
        <v>514.5</v>
      </c>
    </row>
    <row r="61" spans="1:31" s="15" customFormat="1">
      <c r="A61" s="10" t="s">
        <v>21</v>
      </c>
      <c r="B61" s="13"/>
      <c r="C61" s="13"/>
      <c r="D61" s="13"/>
      <c r="E61" s="14" t="e">
        <f>E33/#REF!-1</f>
        <v>#REF!</v>
      </c>
      <c r="F61" s="14">
        <f>F33/B33-1</f>
        <v>0.26385259631490787</v>
      </c>
      <c r="G61" s="14">
        <f t="shared" ref="G61:I61" si="56">G33/C33-1</f>
        <v>0.40230900258658764</v>
      </c>
      <c r="H61" s="14">
        <f t="shared" si="56"/>
        <v>0.37387290836084075</v>
      </c>
      <c r="I61" s="14">
        <f t="shared" si="56"/>
        <v>0.43594816839553041</v>
      </c>
      <c r="J61" s="14">
        <f t="shared" ref="J61" si="57">J33/F33-1</f>
        <v>0.43823888034777081</v>
      </c>
      <c r="K61" s="14">
        <f t="shared" ref="K61" si="58">K33/G33-1</f>
        <v>0.27181932697498645</v>
      </c>
      <c r="L61" s="14">
        <f t="shared" ref="L61" si="59">L33/H33-1</f>
        <v>0.15255083467679031</v>
      </c>
      <c r="M61" s="14">
        <f t="shared" ref="M61" si="60">M33/I33-1</f>
        <v>9.4436701047349692E-2</v>
      </c>
      <c r="N61" s="14">
        <f>N33/J33-1</f>
        <v>7.3038574245747334E-2</v>
      </c>
      <c r="O61" s="13"/>
      <c r="P61" s="13"/>
      <c r="Q61" s="13"/>
      <c r="X61" s="16">
        <v>0.2</v>
      </c>
      <c r="Y61" s="16">
        <f>Y33/X33-1</f>
        <v>0.20247673843664304</v>
      </c>
      <c r="Z61" s="16">
        <f>Z33/Y33-1</f>
        <v>0.27083528026465808</v>
      </c>
      <c r="AA61" s="16">
        <f>AA33/Z33-1</f>
        <v>0.30796326119408479</v>
      </c>
      <c r="AB61" s="16">
        <f t="shared" ref="AB61" si="61">AB33/AA33-1</f>
        <v>0.3093396152159491</v>
      </c>
      <c r="AC61" s="16">
        <f t="shared" ref="AC61" si="62">AC33/AB33-1</f>
        <v>0.20454125820676983</v>
      </c>
      <c r="AD61" s="16">
        <f t="shared" ref="AD61" si="63">AD33/AC33-1</f>
        <v>0.37623430604373276</v>
      </c>
      <c r="AE61" s="16">
        <f>AE33/AD33-1</f>
        <v>0.21695366571345676</v>
      </c>
    </row>
    <row r="62" spans="1:31">
      <c r="A62" s="8" t="s">
        <v>30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AB62" s="18"/>
      <c r="AC62" s="18">
        <f t="shared" ref="AC62" si="64">AC21/AB21-1</f>
        <v>0.14847097660728359</v>
      </c>
      <c r="AD62" s="18">
        <f t="shared" ref="AD62" si="65">AD21/AC21-1</f>
        <v>0.39719073679440986</v>
      </c>
      <c r="AE62" s="18">
        <f>AE21/AD21-1</f>
        <v>0.12529072860769497</v>
      </c>
    </row>
    <row r="63" spans="1:31">
      <c r="A63" s="8" t="s">
        <v>31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AB63" s="18"/>
      <c r="AC63" s="18">
        <f t="shared" ref="AC63" si="66">AC23/AB23-1</f>
        <v>0.25771435255585451</v>
      </c>
      <c r="AD63" s="18">
        <f t="shared" ref="AD63" si="67">AD23/AC23-1</f>
        <v>0.4961961273041795</v>
      </c>
      <c r="AE63" s="18">
        <f>AE23/AD23-1</f>
        <v>0.28505538495965776</v>
      </c>
    </row>
    <row r="64" spans="1:31">
      <c r="A64" s="8" t="s">
        <v>32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AB64" s="18"/>
      <c r="AC64" s="18">
        <f t="shared" ref="AC64" si="68">AC24/AB24-1</f>
        <v>0.35596809486835612</v>
      </c>
      <c r="AD64" s="18">
        <f t="shared" ref="AD64" si="69">AD24/AC24-1</f>
        <v>0.31218115564810001</v>
      </c>
      <c r="AE64" s="18">
        <f>AE24/AD24-1</f>
        <v>0.26028484151227826</v>
      </c>
    </row>
    <row r="65" spans="1:31">
      <c r="A65" s="8" t="s">
        <v>33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AB65" s="18"/>
      <c r="AC65" s="18">
        <f t="shared" ref="AC65" si="70">AC25/AB25-1</f>
        <v>0.39354966363276622</v>
      </c>
      <c r="AD65" s="18">
        <f t="shared" ref="AD65:AE65" si="71">AD25/AC25-1</f>
        <v>0.4819679114013915</v>
      </c>
      <c r="AE65" s="18">
        <f t="shared" si="71"/>
        <v>0.49269461077844312</v>
      </c>
    </row>
    <row r="66" spans="1:31">
      <c r="A66" s="8" t="s">
        <v>22</v>
      </c>
      <c r="E66" s="17" t="e">
        <f>E19/#REF!-1</f>
        <v>#REF!</v>
      </c>
      <c r="F66" s="17">
        <f t="shared" ref="F66" si="72">F19/B19-1</f>
        <v>0.32783264033264037</v>
      </c>
      <c r="G66" s="17">
        <f t="shared" ref="G66" si="73">G19/C19-1</f>
        <v>0.28958358191146649</v>
      </c>
      <c r="H66" s="17">
        <f t="shared" ref="H66" si="74">H19/D19-1</f>
        <v>0.28971650917176217</v>
      </c>
      <c r="I66" s="17">
        <f t="shared" ref="I66" si="75">I19/E19-1</f>
        <v>0.28008840667068524</v>
      </c>
      <c r="J66" s="17">
        <f t="shared" ref="J66" si="76">J19/F19-1</f>
        <v>0.32136216850963883</v>
      </c>
      <c r="K66" s="17">
        <f t="shared" ref="K66" si="77">K19/G19-1</f>
        <v>0.37018874907475952</v>
      </c>
      <c r="L66" s="17">
        <f t="shared" ref="L66" si="78">L19/H19-1</f>
        <v>0.3886733902249806</v>
      </c>
      <c r="M66" s="17">
        <f t="shared" ref="M66" si="79">M19/I19-1</f>
        <v>0.39538533982106427</v>
      </c>
      <c r="N66" s="17">
        <f>N19/J19-1</f>
        <v>0.36569651188624741</v>
      </c>
      <c r="Y66" s="18">
        <f t="shared" ref="Y66:AA66" si="80">Y19/X19-1</f>
        <v>0.69681309216192933</v>
      </c>
      <c r="Z66" s="18">
        <f t="shared" si="80"/>
        <v>0.55063451776649752</v>
      </c>
      <c r="AA66" s="18">
        <f t="shared" si="80"/>
        <v>0.42884033063262139</v>
      </c>
      <c r="AB66" s="18">
        <f t="shared" ref="AB66" si="81">AB19/AA19-1</f>
        <v>0.46944269431238905</v>
      </c>
      <c r="AC66" s="18">
        <f t="shared" ref="AC66" si="82">AC19/AB19-1</f>
        <v>0.36526992788930035</v>
      </c>
      <c r="AD66" s="18">
        <f t="shared" ref="AD66" si="83">AD19/AC19-1</f>
        <v>0.29532347399074976</v>
      </c>
      <c r="AE66" s="18">
        <f>AE19/AD19-1</f>
        <v>0.37099404893101173</v>
      </c>
    </row>
    <row r="67" spans="1:31">
      <c r="A67" s="8" t="s">
        <v>12</v>
      </c>
      <c r="B67" s="17">
        <f t="shared" ref="B67:F67" si="84">B37/B33</f>
        <v>0.28775544388609714</v>
      </c>
      <c r="C67" s="17">
        <f t="shared" si="84"/>
        <v>0.28067629802536115</v>
      </c>
      <c r="D67" s="17">
        <f t="shared" si="84"/>
        <v>0.26452894357039769</v>
      </c>
      <c r="E67" s="17">
        <f t="shared" si="84"/>
        <v>0.24323798849457323</v>
      </c>
      <c r="F67" s="17">
        <f t="shared" si="84"/>
        <v>0.26061602078142393</v>
      </c>
      <c r="G67" s="17">
        <f>G37/G33</f>
        <v>0.25245186251574592</v>
      </c>
      <c r="H67" s="17">
        <f>H37/H33</f>
        <v>0.25309688491341203</v>
      </c>
      <c r="I67" s="17">
        <f>I37/I33</f>
        <v>0.22139301501334077</v>
      </c>
      <c r="J67" s="17">
        <f>J37/J33</f>
        <v>0.2726275825208721</v>
      </c>
      <c r="K67" s="17">
        <f t="shared" ref="K67:N67" si="85">K37/K33</f>
        <v>0.27649451715599577</v>
      </c>
      <c r="L67" s="17">
        <f t="shared" si="85"/>
        <v>0.26516983720174708</v>
      </c>
      <c r="M67" s="17">
        <f t="shared" si="85"/>
        <v>0.23383692836142403</v>
      </c>
      <c r="N67" s="17">
        <f t="shared" si="85"/>
        <v>0.25483494211809971</v>
      </c>
      <c r="X67" s="19">
        <f t="shared" ref="X67:Z67" si="86">X37/X33</f>
        <v>0.17384366431428958</v>
      </c>
      <c r="Y67" s="19">
        <f t="shared" si="86"/>
        <v>0.20508195802104554</v>
      </c>
      <c r="Z67" s="19">
        <f t="shared" si="86"/>
        <v>0.22136674829211617</v>
      </c>
      <c r="AA67" s="19">
        <f t="shared" ref="AA67" si="87">AA37/AA33</f>
        <v>0.22872836854710848</v>
      </c>
      <c r="AB67" s="19">
        <f t="shared" ref="AB67:AC67" si="88">AB37/AB33</f>
        <v>0.25636467471348767</v>
      </c>
      <c r="AC67" s="19">
        <f t="shared" si="88"/>
        <v>0.26648533804835273</v>
      </c>
      <c r="AD67" s="19">
        <f t="shared" ref="AD67" si="89">AD37/AD33</f>
        <v>0.24410719466202496</v>
      </c>
      <c r="AE67" s="19">
        <f>AE37/AE33</f>
        <v>0.26045395915900066</v>
      </c>
    </row>
    <row r="90" spans="1:17" s="8" customFormat="1">
      <c r="A90" s="8" t="s">
        <v>29</v>
      </c>
      <c r="B90" s="9"/>
      <c r="C90" s="9"/>
      <c r="D90" s="9"/>
      <c r="E90" s="9"/>
      <c r="F90" s="9"/>
      <c r="G90" s="9"/>
      <c r="H90" s="9"/>
      <c r="I90" s="9">
        <v>1298</v>
      </c>
      <c r="J90" s="9">
        <v>1271</v>
      </c>
      <c r="K90" s="9">
        <v>1335</v>
      </c>
      <c r="L90" s="9">
        <v>1468</v>
      </c>
      <c r="M90" s="9">
        <v>1608</v>
      </c>
      <c r="N90" s="9">
        <v>1622</v>
      </c>
      <c r="O90" s="9"/>
      <c r="P90" s="9"/>
      <c r="Q90" s="9"/>
    </row>
  </sheetData>
  <conditionalFormatting sqref="A1:XFD2">
    <cfRule type="cellIs" dxfId="2" priority="1" operator="lessThan">
      <formula>0</formula>
    </cfRule>
  </conditionalFormatting>
  <hyperlinks>
    <hyperlink ref="A9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553-8B23-014A-8FF2-E8D53ECEE859}">
  <dimension ref="A1:AY77"/>
  <sheetViews>
    <sheetView workbookViewId="0">
      <pane xSplit="1" ySplit="12" topLeftCell="G24" activePane="bottomRight" state="frozen"/>
      <selection pane="topRight" activeCell="C1" sqref="C1"/>
      <selection pane="bottomLeft" activeCell="A5" sqref="A5"/>
      <selection pane="bottomRight" activeCell="K30" sqref="K30"/>
    </sheetView>
  </sheetViews>
  <sheetFormatPr baseColWidth="10" defaultColWidth="8.83203125" defaultRowHeight="16" outlineLevelCol="1"/>
  <cols>
    <col min="1" max="1" width="36.83203125" style="5" customWidth="1"/>
    <col min="2" max="6" width="0" style="4" hidden="1" customWidth="1" outlineLevel="1"/>
    <col min="7" max="7" width="8.83203125" style="4" collapsed="1"/>
    <col min="8" max="18" width="8.83203125" style="4"/>
    <col min="19" max="16384" width="8.83203125" style="5"/>
  </cols>
  <sheetData>
    <row r="1" spans="1:51" s="21" customFormat="1" ht="81" customHeight="1">
      <c r="A1" s="20" t="s">
        <v>57</v>
      </c>
    </row>
    <row r="2" spans="1:51" s="21" customFormat="1" ht="28">
      <c r="A2" s="22" t="s">
        <v>59</v>
      </c>
    </row>
    <row r="3" spans="1:51">
      <c r="A3" s="5" t="s">
        <v>58</v>
      </c>
    </row>
    <row r="9" spans="1:51">
      <c r="A9" s="6" t="s">
        <v>0</v>
      </c>
    </row>
    <row r="11" spans="1:51"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  <c r="G11" s="4" t="s">
        <v>41</v>
      </c>
      <c r="H11" s="4" t="s">
        <v>42</v>
      </c>
      <c r="I11" s="4" t="s">
        <v>43</v>
      </c>
      <c r="J11" s="4" t="s">
        <v>44</v>
      </c>
      <c r="K11" s="4" t="s">
        <v>45</v>
      </c>
      <c r="L11" s="4" t="s">
        <v>46</v>
      </c>
      <c r="M11" s="4" t="s">
        <v>47</v>
      </c>
      <c r="N11" s="4" t="s">
        <v>48</v>
      </c>
      <c r="O11" s="4" t="s">
        <v>49</v>
      </c>
      <c r="P11" s="4" t="s">
        <v>50</v>
      </c>
      <c r="Q11" s="4" t="s">
        <v>53</v>
      </c>
      <c r="R11" s="4" t="s">
        <v>54</v>
      </c>
      <c r="S11" s="4" t="s">
        <v>55</v>
      </c>
      <c r="T11" s="4" t="s">
        <v>56</v>
      </c>
      <c r="U11" s="4" t="s">
        <v>51</v>
      </c>
      <c r="V11" s="4" t="s">
        <v>52</v>
      </c>
      <c r="Y11" s="5">
        <v>2014</v>
      </c>
      <c r="Z11" s="5">
        <f t="shared" ref="Z11:AY11" si="0">+Y11+1</f>
        <v>2015</v>
      </c>
      <c r="AA11" s="5">
        <f t="shared" si="0"/>
        <v>2016</v>
      </c>
      <c r="AB11" s="5">
        <f t="shared" si="0"/>
        <v>2017</v>
      </c>
      <c r="AC11" s="5">
        <f t="shared" si="0"/>
        <v>2018</v>
      </c>
      <c r="AD11" s="5">
        <f t="shared" si="0"/>
        <v>2019</v>
      </c>
      <c r="AE11" s="5">
        <f t="shared" si="0"/>
        <v>2020</v>
      </c>
      <c r="AF11" s="5">
        <f t="shared" si="0"/>
        <v>2021</v>
      </c>
      <c r="AG11" s="5">
        <f t="shared" si="0"/>
        <v>2022</v>
      </c>
      <c r="AH11" s="5">
        <f t="shared" si="0"/>
        <v>2023</v>
      </c>
      <c r="AI11" s="5">
        <f t="shared" si="0"/>
        <v>2024</v>
      </c>
      <c r="AJ11" s="5">
        <f t="shared" si="0"/>
        <v>2025</v>
      </c>
      <c r="AK11" s="5">
        <f t="shared" si="0"/>
        <v>2026</v>
      </c>
      <c r="AL11" s="5">
        <f t="shared" si="0"/>
        <v>2027</v>
      </c>
      <c r="AM11" s="5">
        <f t="shared" si="0"/>
        <v>2028</v>
      </c>
      <c r="AN11" s="5">
        <f t="shared" si="0"/>
        <v>2029</v>
      </c>
      <c r="AO11" s="5">
        <f t="shared" si="0"/>
        <v>2030</v>
      </c>
      <c r="AP11" s="5">
        <f t="shared" si="0"/>
        <v>2031</v>
      </c>
      <c r="AQ11" s="5">
        <f t="shared" si="0"/>
        <v>2032</v>
      </c>
      <c r="AR11" s="5">
        <f t="shared" si="0"/>
        <v>2033</v>
      </c>
      <c r="AS11" s="5">
        <f t="shared" si="0"/>
        <v>2034</v>
      </c>
      <c r="AT11" s="5">
        <f t="shared" si="0"/>
        <v>2035</v>
      </c>
      <c r="AU11" s="5">
        <f t="shared" si="0"/>
        <v>2036</v>
      </c>
      <c r="AV11" s="5">
        <f t="shared" si="0"/>
        <v>2037</v>
      </c>
      <c r="AW11" s="5">
        <f t="shared" si="0"/>
        <v>2038</v>
      </c>
      <c r="AX11" s="5">
        <f t="shared" si="0"/>
        <v>2039</v>
      </c>
      <c r="AY11" s="5">
        <f t="shared" si="0"/>
        <v>2040</v>
      </c>
    </row>
    <row r="12" spans="1:51">
      <c r="B12" s="7">
        <v>43465</v>
      </c>
      <c r="C12" s="7">
        <v>43555</v>
      </c>
      <c r="D12" s="7">
        <v>43646</v>
      </c>
      <c r="E12" s="7">
        <v>43738</v>
      </c>
      <c r="F12" s="7">
        <f>B12+365</f>
        <v>43830</v>
      </c>
      <c r="G12" s="7">
        <f>C12+366</f>
        <v>43921</v>
      </c>
      <c r="H12" s="7">
        <f t="shared" ref="H12:J12" si="1">D12+366</f>
        <v>44012</v>
      </c>
      <c r="I12" s="7">
        <f t="shared" si="1"/>
        <v>44104</v>
      </c>
      <c r="J12" s="7">
        <f t="shared" si="1"/>
        <v>44196</v>
      </c>
      <c r="K12" s="7">
        <f>G12+365</f>
        <v>44286</v>
      </c>
      <c r="L12" s="7">
        <f t="shared" ref="L12:O12" si="2">H12+365</f>
        <v>44377</v>
      </c>
      <c r="M12" s="7">
        <f t="shared" si="2"/>
        <v>44469</v>
      </c>
      <c r="N12" s="7">
        <f t="shared" si="2"/>
        <v>44561</v>
      </c>
      <c r="O12" s="7">
        <f t="shared" si="2"/>
        <v>44651</v>
      </c>
      <c r="S12" s="4"/>
      <c r="T12" s="4"/>
      <c r="U12" s="4"/>
      <c r="V12" s="4"/>
    </row>
    <row r="13" spans="1:51" s="8" customFormat="1">
      <c r="A13" s="8" t="s">
        <v>18</v>
      </c>
      <c r="B13" s="9">
        <v>44124</v>
      </c>
      <c r="C13" s="9">
        <v>35812</v>
      </c>
      <c r="D13" s="9">
        <v>38653</v>
      </c>
      <c r="E13" s="9">
        <v>42638</v>
      </c>
      <c r="F13" s="9">
        <v>53670</v>
      </c>
      <c r="G13" s="9">
        <v>46127</v>
      </c>
      <c r="H13" s="9">
        <v>55436</v>
      </c>
      <c r="I13" s="9">
        <v>59373</v>
      </c>
      <c r="J13" s="9">
        <v>75346</v>
      </c>
      <c r="K13" s="9">
        <v>64366</v>
      </c>
      <c r="L13" s="9">
        <v>67550</v>
      </c>
      <c r="M13" s="9">
        <v>65557</v>
      </c>
      <c r="N13" s="9">
        <v>82360</v>
      </c>
      <c r="O13" s="9">
        <v>69244</v>
      </c>
      <c r="P13" s="9"/>
      <c r="Q13" s="9"/>
      <c r="R13" s="9"/>
      <c r="Y13" s="8">
        <v>50834</v>
      </c>
      <c r="Z13" s="8">
        <v>63708</v>
      </c>
      <c r="AA13" s="8">
        <v>79785</v>
      </c>
      <c r="AB13" s="8">
        <v>106110</v>
      </c>
      <c r="AC13" s="8">
        <v>141366</v>
      </c>
      <c r="AD13" s="8">
        <f>SUM(C13:F13)</f>
        <v>170773</v>
      </c>
      <c r="AE13" s="8">
        <f>SUM(G13:J13)</f>
        <v>236282</v>
      </c>
      <c r="AF13" s="8">
        <f>SUM(K13:N13)</f>
        <v>279833</v>
      </c>
    </row>
    <row r="14" spans="1:51" s="8" customFormat="1">
      <c r="A14" s="8" t="s">
        <v>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Y14" s="8">
        <v>11567</v>
      </c>
      <c r="Z14" s="8">
        <v>12483</v>
      </c>
      <c r="AA14" s="8">
        <v>13580</v>
      </c>
    </row>
    <row r="15" spans="1:51" s="8" customFormat="1">
      <c r="A15" s="8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Y15" s="8">
        <v>38517</v>
      </c>
      <c r="Z15" s="8">
        <v>50401</v>
      </c>
      <c r="AA15" s="8">
        <v>64887</v>
      </c>
    </row>
    <row r="16" spans="1:51" s="8" customFormat="1">
      <c r="A16" s="8" t="s">
        <v>19</v>
      </c>
      <c r="B16" s="9">
        <v>41873</v>
      </c>
      <c r="C16" s="9">
        <v>16192</v>
      </c>
      <c r="D16" s="9">
        <v>16370</v>
      </c>
      <c r="E16" s="9">
        <v>18348</v>
      </c>
      <c r="F16" s="9">
        <v>23813</v>
      </c>
      <c r="G16" s="9">
        <v>19106</v>
      </c>
      <c r="H16" s="9">
        <v>22668</v>
      </c>
      <c r="I16" s="9">
        <v>25171</v>
      </c>
      <c r="J16" s="9">
        <v>37467</v>
      </c>
      <c r="K16" s="9">
        <v>30649</v>
      </c>
      <c r="L16" s="9">
        <v>30721</v>
      </c>
      <c r="M16" s="9">
        <v>29145</v>
      </c>
      <c r="N16" s="9">
        <v>37272</v>
      </c>
      <c r="O16" s="9">
        <v>28759</v>
      </c>
      <c r="P16" s="9"/>
      <c r="Q16" s="9"/>
      <c r="R16" s="9"/>
      <c r="Y16" s="8">
        <v>33510</v>
      </c>
      <c r="Z16" s="8">
        <v>35418</v>
      </c>
      <c r="AA16" s="8">
        <v>43983</v>
      </c>
      <c r="AB16" s="8">
        <v>103273</v>
      </c>
      <c r="AC16" s="8">
        <v>134099</v>
      </c>
      <c r="AD16" s="8">
        <f>SUM(C16:F16)</f>
        <v>74723</v>
      </c>
      <c r="AE16" s="8">
        <f>SUM(G16:J16)</f>
        <v>104412</v>
      </c>
      <c r="AF16" s="8">
        <f>SUM(K16:N16)</f>
        <v>127787</v>
      </c>
    </row>
    <row r="17" spans="1:32" s="8" customFormat="1">
      <c r="A17" s="8" t="s">
        <v>34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Y17" s="8">
        <v>10938</v>
      </c>
      <c r="Z17" s="8">
        <v>10026</v>
      </c>
      <c r="AA17" s="8">
        <v>10631</v>
      </c>
    </row>
    <row r="18" spans="1:32" s="8" customFormat="1">
      <c r="A18" s="8" t="s">
        <v>35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Y18" s="8">
        <v>22369</v>
      </c>
      <c r="Z18" s="8">
        <v>25196</v>
      </c>
      <c r="AA18" s="8">
        <v>33107</v>
      </c>
    </row>
    <row r="19" spans="1:32" s="8" customFormat="1">
      <c r="A19" s="8" t="s">
        <v>20</v>
      </c>
      <c r="B19" s="9">
        <v>7430</v>
      </c>
      <c r="C19" s="9">
        <v>7696</v>
      </c>
      <c r="D19" s="9">
        <v>8381</v>
      </c>
      <c r="E19" s="9">
        <v>8995</v>
      </c>
      <c r="F19" s="9">
        <v>9954</v>
      </c>
      <c r="G19" s="9">
        <v>10219</v>
      </c>
      <c r="H19" s="9">
        <v>10808</v>
      </c>
      <c r="I19" s="9">
        <v>11601</v>
      </c>
      <c r="J19" s="9">
        <v>12742</v>
      </c>
      <c r="K19" s="9">
        <v>13503</v>
      </c>
      <c r="L19" s="9">
        <v>14809</v>
      </c>
      <c r="M19" s="9">
        <v>16110</v>
      </c>
      <c r="N19" s="9">
        <v>17780</v>
      </c>
      <c r="O19" s="9">
        <v>18441</v>
      </c>
      <c r="P19" s="9"/>
      <c r="Q19" s="9"/>
      <c r="R19" s="9"/>
      <c r="Y19" s="8">
        <v>4644</v>
      </c>
      <c r="Z19" s="8">
        <v>7880</v>
      </c>
      <c r="AA19" s="8">
        <v>12219</v>
      </c>
      <c r="AB19" s="8">
        <v>17459</v>
      </c>
      <c r="AC19" s="8">
        <v>25655</v>
      </c>
      <c r="AD19" s="8">
        <f>SUM(C19:F19)</f>
        <v>35026</v>
      </c>
      <c r="AE19" s="8">
        <f>SUM(G19:J19)</f>
        <v>45370</v>
      </c>
      <c r="AF19" s="8">
        <f>SUM(K19:N19)</f>
        <v>62202</v>
      </c>
    </row>
    <row r="21" spans="1:32" s="8" customFormat="1">
      <c r="A21" s="8" t="s">
        <v>23</v>
      </c>
      <c r="B21" s="9">
        <v>39822</v>
      </c>
      <c r="C21" s="9">
        <v>29498</v>
      </c>
      <c r="D21" s="9">
        <v>31053</v>
      </c>
      <c r="E21" s="9">
        <v>35039</v>
      </c>
      <c r="F21" s="9">
        <v>45657</v>
      </c>
      <c r="G21" s="9">
        <v>36652</v>
      </c>
      <c r="H21" s="9">
        <v>45896</v>
      </c>
      <c r="I21" s="9">
        <v>48350</v>
      </c>
      <c r="J21" s="9">
        <v>66451</v>
      </c>
      <c r="K21" s="9">
        <v>52901</v>
      </c>
      <c r="L21" s="9">
        <v>53157</v>
      </c>
      <c r="M21" s="9">
        <v>49942</v>
      </c>
      <c r="N21" s="9">
        <v>66075</v>
      </c>
      <c r="O21" s="9">
        <v>51129</v>
      </c>
      <c r="P21" s="9"/>
      <c r="Q21" s="9"/>
      <c r="R21" s="9"/>
      <c r="AC21" s="8">
        <f>26939+27165+29061+39822</f>
        <v>122987</v>
      </c>
      <c r="AD21" s="8">
        <f>SUM(C21:F21)</f>
        <v>141247</v>
      </c>
      <c r="AE21" s="8">
        <f>SUM(G21:J21)</f>
        <v>197349</v>
      </c>
      <c r="AF21" s="8">
        <f>SUM(K21:N21)</f>
        <v>222075</v>
      </c>
    </row>
    <row r="22" spans="1:32" s="8" customFormat="1">
      <c r="A22" s="8" t="s">
        <v>24</v>
      </c>
      <c r="B22" s="9">
        <v>4401</v>
      </c>
      <c r="C22" s="9">
        <v>4307</v>
      </c>
      <c r="D22" s="9">
        <v>4330</v>
      </c>
      <c r="E22" s="9">
        <v>4192</v>
      </c>
      <c r="F22" s="9">
        <v>4363</v>
      </c>
      <c r="G22" s="9">
        <v>4640</v>
      </c>
      <c r="H22" s="9">
        <v>3774</v>
      </c>
      <c r="I22" s="9">
        <v>3788</v>
      </c>
      <c r="J22" s="9">
        <v>4022</v>
      </c>
      <c r="K22" s="9">
        <v>3920</v>
      </c>
      <c r="L22" s="9">
        <v>4198</v>
      </c>
      <c r="M22" s="9">
        <v>4269</v>
      </c>
      <c r="N22" s="9">
        <v>4688</v>
      </c>
      <c r="O22" s="9">
        <v>4591</v>
      </c>
      <c r="P22" s="9"/>
      <c r="Q22" s="9"/>
      <c r="R22" s="9"/>
      <c r="AC22" s="8">
        <f>4263+4312+4248+4401</f>
        <v>17224</v>
      </c>
      <c r="AD22" s="8">
        <f>SUM(C22:F22)</f>
        <v>17192</v>
      </c>
      <c r="AE22" s="8">
        <f>SUM(G22:J22)</f>
        <v>16224</v>
      </c>
      <c r="AF22" s="8">
        <f>SUM(K22:N22)</f>
        <v>17075</v>
      </c>
    </row>
    <row r="23" spans="1:32" s="8" customFormat="1">
      <c r="A23" s="8" t="s">
        <v>25</v>
      </c>
      <c r="B23" s="9">
        <v>13383</v>
      </c>
      <c r="C23" s="9">
        <v>11141</v>
      </c>
      <c r="D23" s="9">
        <v>11962</v>
      </c>
      <c r="E23" s="9">
        <v>13212</v>
      </c>
      <c r="F23" s="9">
        <v>17446</v>
      </c>
      <c r="G23" s="9">
        <v>14479</v>
      </c>
      <c r="H23" s="9">
        <v>18195</v>
      </c>
      <c r="I23" s="9">
        <v>20436</v>
      </c>
      <c r="J23" s="9">
        <v>27327</v>
      </c>
      <c r="K23" s="9">
        <v>23709</v>
      </c>
      <c r="L23" s="9">
        <v>25085</v>
      </c>
      <c r="M23" s="9">
        <v>24252</v>
      </c>
      <c r="N23" s="9">
        <v>30320</v>
      </c>
      <c r="O23" s="9">
        <v>25335</v>
      </c>
      <c r="P23" s="9"/>
      <c r="Q23" s="9"/>
      <c r="R23" s="9"/>
      <c r="AC23" s="8">
        <f>9265+9702+10395+13383</f>
        <v>42745</v>
      </c>
      <c r="AD23" s="8">
        <f>SUM(C23:F23)</f>
        <v>53761</v>
      </c>
      <c r="AE23" s="8">
        <f>SUM(G23:J23)</f>
        <v>80437</v>
      </c>
      <c r="AF23" s="8">
        <f>SUM(K23:N23)</f>
        <v>103366</v>
      </c>
    </row>
    <row r="24" spans="1:32" s="8" customFormat="1">
      <c r="A24" s="8" t="s">
        <v>26</v>
      </c>
      <c r="B24" s="9">
        <v>3959</v>
      </c>
      <c r="C24" s="9">
        <v>4342</v>
      </c>
      <c r="D24" s="9">
        <v>4676</v>
      </c>
      <c r="E24" s="9">
        <v>4957</v>
      </c>
      <c r="F24" s="9">
        <v>5235</v>
      </c>
      <c r="G24" s="9">
        <v>5556</v>
      </c>
      <c r="H24" s="9">
        <v>6018</v>
      </c>
      <c r="I24" s="9">
        <v>6572</v>
      </c>
      <c r="J24" s="9">
        <v>7061</v>
      </c>
      <c r="K24" s="9">
        <v>7580</v>
      </c>
      <c r="L24" s="9">
        <v>7917</v>
      </c>
      <c r="M24" s="9">
        <v>8148</v>
      </c>
      <c r="N24" s="9">
        <v>8123</v>
      </c>
      <c r="O24" s="9">
        <v>8410</v>
      </c>
      <c r="P24" s="9"/>
      <c r="Q24" s="9"/>
      <c r="R24" s="9"/>
      <c r="AC24" s="8">
        <f>3102+3408+3698+3959</f>
        <v>14167</v>
      </c>
      <c r="AD24" s="8">
        <f>SUM(C24:F24)</f>
        <v>19210</v>
      </c>
      <c r="AE24" s="8">
        <f>SUM(G24:J24)</f>
        <v>25207</v>
      </c>
      <c r="AF24" s="8">
        <f>SUM(K24:N24)</f>
        <v>31768</v>
      </c>
    </row>
    <row r="25" spans="1:32" s="8" customFormat="1">
      <c r="A25" s="8" t="s">
        <v>27</v>
      </c>
      <c r="B25" s="9">
        <v>3388</v>
      </c>
      <c r="C25" s="9">
        <v>2716</v>
      </c>
      <c r="D25" s="9">
        <v>3002</v>
      </c>
      <c r="E25" s="9">
        <v>3586</v>
      </c>
      <c r="F25" s="9">
        <v>4782</v>
      </c>
      <c r="G25" s="9">
        <v>3906</v>
      </c>
      <c r="H25" s="9">
        <v>4221</v>
      </c>
      <c r="I25" s="9">
        <v>5398</v>
      </c>
      <c r="J25" s="9">
        <v>7350</v>
      </c>
      <c r="K25" s="9">
        <v>6381</v>
      </c>
      <c r="L25" s="9">
        <v>7451</v>
      </c>
      <c r="M25" s="9">
        <v>7612</v>
      </c>
      <c r="N25" s="9">
        <v>9716</v>
      </c>
      <c r="O25" s="9">
        <v>7877</v>
      </c>
      <c r="P25" s="9"/>
      <c r="Q25" s="9"/>
      <c r="R25" s="9"/>
      <c r="AC25" s="8">
        <f>2031+2194+2495+3388</f>
        <v>10108</v>
      </c>
      <c r="AD25" s="8">
        <f>SUM(C25:F25)</f>
        <v>14086</v>
      </c>
      <c r="AE25" s="8">
        <f>SUM(G25:J25)</f>
        <v>20875</v>
      </c>
      <c r="AF25" s="8">
        <f>SUM(K25:N25)</f>
        <v>31160</v>
      </c>
    </row>
    <row r="26" spans="1:32" s="8" customFormat="1">
      <c r="A26" s="8" t="s">
        <v>28</v>
      </c>
      <c r="B26" s="9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602</v>
      </c>
      <c r="K26" s="9">
        <v>524</v>
      </c>
      <c r="L26" s="9">
        <v>463</v>
      </c>
      <c r="M26" s="9">
        <v>479</v>
      </c>
      <c r="N26" s="9">
        <v>710</v>
      </c>
      <c r="O26" s="9">
        <v>661</v>
      </c>
      <c r="P26" s="9"/>
      <c r="Q26" s="9"/>
      <c r="R26" s="9"/>
      <c r="AD26" s="8">
        <f>SUM(C26:F26)</f>
        <v>0</v>
      </c>
      <c r="AE26" s="8">
        <f>SUM(G26:J26)</f>
        <v>602</v>
      </c>
      <c r="AF26" s="8">
        <f>SUM(K26:N26)</f>
        <v>2176</v>
      </c>
    </row>
    <row r="28" spans="1:32" s="8" customFormat="1">
      <c r="A28" s="8" t="s">
        <v>3</v>
      </c>
      <c r="B28" s="9">
        <v>44700</v>
      </c>
      <c r="C28" s="9">
        <v>34283</v>
      </c>
      <c r="D28" s="9">
        <v>35856</v>
      </c>
      <c r="E28" s="9">
        <v>39726</v>
      </c>
      <c r="F28" s="9">
        <v>50542</v>
      </c>
      <c r="G28" s="9">
        <v>41841</v>
      </c>
      <c r="H28" s="9">
        <v>50244</v>
      </c>
      <c r="I28" s="9">
        <v>52774</v>
      </c>
      <c r="J28" s="9">
        <v>71056</v>
      </c>
      <c r="K28" s="9">
        <v>57491</v>
      </c>
      <c r="L28" s="9">
        <v>58004</v>
      </c>
      <c r="M28" s="9">
        <v>54876</v>
      </c>
      <c r="N28" s="9">
        <v>71416</v>
      </c>
      <c r="O28" s="9">
        <v>56455</v>
      </c>
      <c r="P28" s="9"/>
      <c r="Q28" s="9"/>
      <c r="R28" s="9"/>
      <c r="AB28" s="8">
        <v>118573</v>
      </c>
      <c r="AC28" s="8">
        <v>141915</v>
      </c>
      <c r="AD28" s="8">
        <f>SUM(C28:F28)</f>
        <v>160407</v>
      </c>
      <c r="AE28" s="8">
        <f>SUM(G28:J28)</f>
        <v>215915</v>
      </c>
      <c r="AF28" s="8">
        <f>SUM(K28:N28)</f>
        <v>241787</v>
      </c>
    </row>
    <row r="29" spans="1:32" s="8" customFormat="1">
      <c r="A29" s="8" t="s">
        <v>4</v>
      </c>
      <c r="B29" s="9">
        <v>27683</v>
      </c>
      <c r="C29" s="9">
        <v>25417</v>
      </c>
      <c r="D29" s="9">
        <v>27548</v>
      </c>
      <c r="E29" s="9">
        <v>30255</v>
      </c>
      <c r="F29" s="9">
        <v>36895</v>
      </c>
      <c r="G29" s="9">
        <v>33611</v>
      </c>
      <c r="H29" s="9">
        <v>38668</v>
      </c>
      <c r="I29" s="9">
        <v>43371</v>
      </c>
      <c r="J29" s="9">
        <v>54499</v>
      </c>
      <c r="K29" s="9">
        <v>51027</v>
      </c>
      <c r="L29" s="9">
        <v>55076</v>
      </c>
      <c r="M29" s="9">
        <v>55936</v>
      </c>
      <c r="N29" s="9">
        <v>65996</v>
      </c>
      <c r="O29" s="9">
        <v>59989</v>
      </c>
      <c r="P29" s="9"/>
      <c r="Q29" s="9"/>
      <c r="R29" s="9"/>
      <c r="AB29" s="8">
        <v>59293</v>
      </c>
      <c r="AC29" s="8">
        <v>90972</v>
      </c>
      <c r="AD29" s="8">
        <f>SUM(C29:F29)</f>
        <v>120115</v>
      </c>
      <c r="AE29" s="8">
        <f>SUM(G29:J29)</f>
        <v>170149</v>
      </c>
      <c r="AF29" s="8">
        <f>SUM(K29:N29)</f>
        <v>228035</v>
      </c>
    </row>
    <row r="30" spans="1:32" s="8" customForma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32" s="10" customFormat="1">
      <c r="A31" s="10" t="s">
        <v>2</v>
      </c>
      <c r="B31" s="11">
        <f t="shared" ref="B31:N31" si="3">B28+B29</f>
        <v>72383</v>
      </c>
      <c r="C31" s="11">
        <f t="shared" si="3"/>
        <v>59700</v>
      </c>
      <c r="D31" s="11">
        <f t="shared" si="3"/>
        <v>63404</v>
      </c>
      <c r="E31" s="11">
        <f t="shared" si="3"/>
        <v>69981</v>
      </c>
      <c r="F31" s="11">
        <f t="shared" si="3"/>
        <v>87437</v>
      </c>
      <c r="G31" s="11">
        <f t="shared" si="3"/>
        <v>75452</v>
      </c>
      <c r="H31" s="11">
        <f t="shared" si="3"/>
        <v>88912</v>
      </c>
      <c r="I31" s="11">
        <f t="shared" si="3"/>
        <v>96145</v>
      </c>
      <c r="J31" s="11">
        <f t="shared" si="3"/>
        <v>125555</v>
      </c>
      <c r="K31" s="11">
        <f t="shared" si="3"/>
        <v>108518</v>
      </c>
      <c r="L31" s="11">
        <f t="shared" si="3"/>
        <v>113080</v>
      </c>
      <c r="M31" s="11">
        <f t="shared" si="3"/>
        <v>110812</v>
      </c>
      <c r="N31" s="11">
        <f t="shared" si="3"/>
        <v>137412</v>
      </c>
      <c r="O31" s="11">
        <f>O28+O29</f>
        <v>116444</v>
      </c>
      <c r="P31" s="11">
        <f t="shared" ref="P31:V31" si="4">P28+P29</f>
        <v>0</v>
      </c>
      <c r="Q31" s="11">
        <f t="shared" si="4"/>
        <v>0</v>
      </c>
      <c r="R31" s="11">
        <f t="shared" si="4"/>
        <v>0</v>
      </c>
      <c r="S31" s="11">
        <f t="shared" si="4"/>
        <v>0</v>
      </c>
      <c r="T31" s="11">
        <f t="shared" si="4"/>
        <v>0</v>
      </c>
      <c r="U31" s="11">
        <f t="shared" si="4"/>
        <v>0</v>
      </c>
      <c r="V31" s="11">
        <f t="shared" si="4"/>
        <v>0</v>
      </c>
      <c r="Y31" s="10">
        <f>+Y13+Y16+Y19</f>
        <v>88988</v>
      </c>
      <c r="Z31" s="10">
        <f t="shared" ref="Z31:AA31" si="5">+Z13+Z16+Z19</f>
        <v>107006</v>
      </c>
      <c r="AA31" s="10">
        <f t="shared" si="5"/>
        <v>135987</v>
      </c>
      <c r="AB31" s="11">
        <f t="shared" ref="AB31:AC31" si="6">AB28+AB29</f>
        <v>177866</v>
      </c>
      <c r="AC31" s="11">
        <f t="shared" si="6"/>
        <v>232887</v>
      </c>
      <c r="AD31" s="11">
        <f>AD28+AD29</f>
        <v>280522</v>
      </c>
      <c r="AE31" s="11">
        <f>AE28+AE29</f>
        <v>386064</v>
      </c>
      <c r="AF31" s="11">
        <f>AF28+AF29</f>
        <v>469822</v>
      </c>
    </row>
    <row r="32" spans="1:32" s="10" customFormat="1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AB32" s="11"/>
      <c r="AC32" s="11"/>
      <c r="AD32" s="11"/>
      <c r="AE32" s="11"/>
      <c r="AF32" s="11"/>
    </row>
    <row r="33" spans="1:32" s="8" customFormat="1">
      <c r="A33" s="8" t="s">
        <v>5</v>
      </c>
      <c r="B33" s="9">
        <v>44786</v>
      </c>
      <c r="C33" s="9">
        <v>33920</v>
      </c>
      <c r="D33" s="9">
        <v>36337</v>
      </c>
      <c r="E33" s="9">
        <v>41302</v>
      </c>
      <c r="F33" s="9">
        <v>53977</v>
      </c>
      <c r="G33" s="9">
        <v>44257</v>
      </c>
      <c r="H33" s="9">
        <v>52660</v>
      </c>
      <c r="I33" s="9">
        <v>57106</v>
      </c>
      <c r="J33" s="9">
        <v>79284</v>
      </c>
      <c r="K33" s="9">
        <v>62403</v>
      </c>
      <c r="L33" s="9">
        <v>64176</v>
      </c>
      <c r="M33" s="9">
        <v>62930</v>
      </c>
      <c r="N33" s="9">
        <v>82835</v>
      </c>
      <c r="O33" s="9">
        <v>66499</v>
      </c>
      <c r="P33" s="9"/>
      <c r="Q33" s="9"/>
      <c r="R33" s="9"/>
      <c r="Y33" s="8">
        <v>62752</v>
      </c>
      <c r="Z33" s="8">
        <v>71651</v>
      </c>
      <c r="AA33" s="8">
        <v>88265</v>
      </c>
      <c r="AB33" s="8">
        <v>111934</v>
      </c>
      <c r="AC33" s="8">
        <v>139156</v>
      </c>
      <c r="AD33" s="8">
        <f>SUM(C33:F33)</f>
        <v>165536</v>
      </c>
      <c r="AE33" s="8">
        <f>SUM(G33:J33)</f>
        <v>233307</v>
      </c>
      <c r="AF33" s="8">
        <f>SUM(K33:N33)</f>
        <v>272344</v>
      </c>
    </row>
    <row r="34" spans="1:32" s="8" customFormat="1">
      <c r="A34" s="8" t="s">
        <v>6</v>
      </c>
      <c r="B34" s="9">
        <v>10028</v>
      </c>
      <c r="C34" s="9">
        <v>8601</v>
      </c>
      <c r="D34" s="9">
        <v>9271</v>
      </c>
      <c r="E34" s="9">
        <v>10167</v>
      </c>
      <c r="F34" s="9">
        <v>12192</v>
      </c>
      <c r="G34" s="9">
        <v>11531</v>
      </c>
      <c r="H34" s="9">
        <v>13806</v>
      </c>
      <c r="I34" s="9">
        <v>14705</v>
      </c>
      <c r="J34" s="9">
        <v>18474</v>
      </c>
      <c r="K34" s="9">
        <v>16530</v>
      </c>
      <c r="L34" s="9">
        <v>17638</v>
      </c>
      <c r="M34" s="9">
        <v>18498</v>
      </c>
      <c r="N34" s="9">
        <v>22445</v>
      </c>
      <c r="O34" s="9">
        <v>20271</v>
      </c>
      <c r="P34" s="9"/>
      <c r="Q34" s="9"/>
      <c r="R34" s="9"/>
      <c r="Y34" s="8">
        <v>10766</v>
      </c>
      <c r="Z34" s="8">
        <v>13410</v>
      </c>
      <c r="AA34" s="8">
        <v>17619</v>
      </c>
      <c r="AB34" s="8">
        <v>25249</v>
      </c>
      <c r="AC34" s="8">
        <v>34027</v>
      </c>
      <c r="AD34" s="8">
        <f>SUM(C34:F34)</f>
        <v>40231</v>
      </c>
      <c r="AE34" s="8">
        <f>SUM(G34:J34)</f>
        <v>58516</v>
      </c>
      <c r="AF34" s="8">
        <f>SUM(K34:N34)</f>
        <v>75111</v>
      </c>
    </row>
    <row r="35" spans="1:32" s="8" customFormat="1">
      <c r="A35" s="8" t="s">
        <v>12</v>
      </c>
      <c r="B35" s="9">
        <f t="shared" ref="B35" si="7">B31-B33-B34</f>
        <v>17569</v>
      </c>
      <c r="C35" s="9">
        <f>C31-C33-C34</f>
        <v>17179</v>
      </c>
      <c r="D35" s="9">
        <f t="shared" ref="D35" si="8">D31-D33-D34</f>
        <v>17796</v>
      </c>
      <c r="E35" s="9">
        <f>E31-E33-E34</f>
        <v>18512</v>
      </c>
      <c r="F35" s="9">
        <f t="shared" ref="F35:H35" si="9">F31-F33-F34</f>
        <v>21268</v>
      </c>
      <c r="G35" s="9">
        <f t="shared" si="9"/>
        <v>19664</v>
      </c>
      <c r="H35" s="9">
        <f t="shared" si="9"/>
        <v>22446</v>
      </c>
      <c r="I35" s="9">
        <f>I31-I33-I34</f>
        <v>24334</v>
      </c>
      <c r="J35" s="9">
        <f t="shared" ref="J35" si="10">J31-J33-J34</f>
        <v>27797</v>
      </c>
      <c r="K35" s="9">
        <f>K31-K33-K34</f>
        <v>29585</v>
      </c>
      <c r="L35" s="9">
        <f t="shared" ref="L35:O35" si="11">L31-L33-L34</f>
        <v>31266</v>
      </c>
      <c r="M35" s="9">
        <f t="shared" si="11"/>
        <v>29384</v>
      </c>
      <c r="N35" s="9">
        <f t="shared" si="11"/>
        <v>32132</v>
      </c>
      <c r="O35" s="9">
        <f t="shared" si="11"/>
        <v>29674</v>
      </c>
      <c r="P35" s="9"/>
      <c r="Q35" s="9"/>
      <c r="R35" s="9"/>
      <c r="Y35" s="9">
        <f t="shared" ref="Y35:AF35" si="12">Y31-Y33-Y34</f>
        <v>15470</v>
      </c>
      <c r="Z35" s="9">
        <f t="shared" si="12"/>
        <v>21945</v>
      </c>
      <c r="AA35" s="9">
        <f t="shared" si="12"/>
        <v>30103</v>
      </c>
      <c r="AB35" s="9">
        <f t="shared" si="12"/>
        <v>40683</v>
      </c>
      <c r="AC35" s="9">
        <f t="shared" si="12"/>
        <v>59704</v>
      </c>
      <c r="AD35" s="9">
        <f t="shared" si="12"/>
        <v>74755</v>
      </c>
      <c r="AE35" s="9">
        <f t="shared" si="12"/>
        <v>94241</v>
      </c>
      <c r="AF35" s="9">
        <f t="shared" si="12"/>
        <v>122367</v>
      </c>
    </row>
    <row r="36" spans="1:32" s="8" customFormat="1">
      <c r="A36" s="8" t="s">
        <v>7</v>
      </c>
      <c r="B36" s="9">
        <v>7669</v>
      </c>
      <c r="C36" s="9">
        <v>7927</v>
      </c>
      <c r="D36" s="9">
        <v>9065</v>
      </c>
      <c r="E36" s="9">
        <v>9200</v>
      </c>
      <c r="F36" s="9">
        <v>9740</v>
      </c>
      <c r="G36" s="9">
        <v>9325</v>
      </c>
      <c r="H36" s="9">
        <v>10388</v>
      </c>
      <c r="I36" s="9">
        <v>10976</v>
      </c>
      <c r="J36" s="9">
        <v>12049</v>
      </c>
      <c r="K36" s="9">
        <v>12488</v>
      </c>
      <c r="L36" s="9">
        <v>13871</v>
      </c>
      <c r="M36" s="9">
        <v>14380</v>
      </c>
      <c r="N36" s="9">
        <v>15313</v>
      </c>
      <c r="O36" s="9">
        <v>14842</v>
      </c>
      <c r="P36" s="9"/>
      <c r="Q36" s="9"/>
      <c r="R36" s="9"/>
      <c r="Y36" s="8">
        <v>9275</v>
      </c>
      <c r="Z36" s="8">
        <v>12540</v>
      </c>
      <c r="AA36" s="8">
        <v>16085</v>
      </c>
      <c r="AB36" s="8">
        <v>22620</v>
      </c>
      <c r="AC36" s="8">
        <v>28837</v>
      </c>
      <c r="AD36" s="8">
        <f>SUM(C36:F36)</f>
        <v>35932</v>
      </c>
      <c r="AE36" s="8">
        <f>SUM(G36:J36)</f>
        <v>42738</v>
      </c>
      <c r="AF36" s="8">
        <f>SUM(K36:N36)</f>
        <v>56052</v>
      </c>
    </row>
    <row r="37" spans="1:32" s="8" customFormat="1">
      <c r="A37" s="8" t="s">
        <v>8</v>
      </c>
      <c r="B37" s="9">
        <v>4911</v>
      </c>
      <c r="C37" s="9">
        <v>3664</v>
      </c>
      <c r="D37" s="9">
        <v>4291</v>
      </c>
      <c r="E37" s="9">
        <v>4752</v>
      </c>
      <c r="F37" s="9">
        <v>6172</v>
      </c>
      <c r="G37" s="9">
        <v>4828</v>
      </c>
      <c r="H37" s="9">
        <v>4345</v>
      </c>
      <c r="I37" s="9">
        <v>5434</v>
      </c>
      <c r="J37" s="9">
        <v>7403</v>
      </c>
      <c r="K37" s="9">
        <v>6207</v>
      </c>
      <c r="L37" s="9">
        <v>7524</v>
      </c>
      <c r="M37" s="9">
        <v>8010</v>
      </c>
      <c r="N37" s="9">
        <v>10810</v>
      </c>
      <c r="O37" s="9">
        <v>8320</v>
      </c>
      <c r="P37" s="9"/>
      <c r="Q37" s="9"/>
      <c r="R37" s="9"/>
      <c r="Y37" s="8">
        <v>4332</v>
      </c>
      <c r="Z37" s="8">
        <v>5254</v>
      </c>
      <c r="AA37" s="8">
        <v>7233</v>
      </c>
      <c r="AB37" s="8">
        <v>10069</v>
      </c>
      <c r="AC37" s="8">
        <v>13814</v>
      </c>
      <c r="AD37" s="8">
        <f>SUM(C37:F37)</f>
        <v>18879</v>
      </c>
      <c r="AE37" s="8">
        <f>SUM(G37:J37)</f>
        <v>22010</v>
      </c>
      <c r="AF37" s="8">
        <f>SUM(K37:N37)</f>
        <v>32551</v>
      </c>
    </row>
    <row r="38" spans="1:32">
      <c r="A38" s="8" t="s">
        <v>9</v>
      </c>
      <c r="B38" s="9">
        <v>1117</v>
      </c>
      <c r="C38" s="9">
        <v>1173</v>
      </c>
      <c r="D38" s="9">
        <v>1270</v>
      </c>
      <c r="E38" s="9">
        <v>1348</v>
      </c>
      <c r="F38" s="9">
        <v>1412</v>
      </c>
      <c r="G38" s="9">
        <v>1452</v>
      </c>
      <c r="H38" s="9">
        <v>1580</v>
      </c>
      <c r="I38" s="9">
        <v>1668</v>
      </c>
      <c r="J38" s="9">
        <v>1968</v>
      </c>
      <c r="K38" s="9">
        <v>1987</v>
      </c>
      <c r="L38" s="9">
        <v>2158</v>
      </c>
      <c r="M38" s="9">
        <v>2153</v>
      </c>
      <c r="N38" s="9">
        <v>2525</v>
      </c>
      <c r="O38" s="9">
        <v>2594</v>
      </c>
      <c r="Y38" s="8">
        <v>1552</v>
      </c>
      <c r="Z38" s="8">
        <v>1747</v>
      </c>
      <c r="AA38" s="8">
        <v>2432</v>
      </c>
      <c r="AB38" s="8">
        <v>3674</v>
      </c>
      <c r="AC38" s="8">
        <v>4336</v>
      </c>
      <c r="AD38" s="8">
        <f>SUM(C38:F38)</f>
        <v>5203</v>
      </c>
      <c r="AE38" s="8">
        <f>SUM(G38:J38)</f>
        <v>6668</v>
      </c>
      <c r="AF38" s="8">
        <f>SUM(K38:N38)</f>
        <v>8823</v>
      </c>
    </row>
    <row r="39" spans="1:32">
      <c r="A39" s="8" t="s">
        <v>10</v>
      </c>
      <c r="B39" s="9">
        <f t="shared" ref="B39" si="13">SUM(B36:B38)</f>
        <v>13697</v>
      </c>
      <c r="C39" s="9">
        <f>SUM(C36:C38)</f>
        <v>12764</v>
      </c>
      <c r="D39" s="9">
        <f t="shared" ref="D39" si="14">SUM(D36:D38)</f>
        <v>14626</v>
      </c>
      <c r="E39" s="9">
        <f>SUM(E36:E38)</f>
        <v>15300</v>
      </c>
      <c r="F39" s="9">
        <f t="shared" ref="F39:H39" si="15">SUM(F36:F38)</f>
        <v>17324</v>
      </c>
      <c r="G39" s="9">
        <f t="shared" si="15"/>
        <v>15605</v>
      </c>
      <c r="H39" s="9">
        <f t="shared" si="15"/>
        <v>16313</v>
      </c>
      <c r="I39" s="9">
        <f>SUM(I36:I38)</f>
        <v>18078</v>
      </c>
      <c r="J39" s="9">
        <f t="shared" ref="J39" si="16">SUM(J36:J38)</f>
        <v>21420</v>
      </c>
      <c r="K39" s="9">
        <f>SUM(K36:K38)</f>
        <v>20682</v>
      </c>
      <c r="L39" s="9">
        <f t="shared" ref="L39:O39" si="17">SUM(L36:L38)</f>
        <v>23553</v>
      </c>
      <c r="M39" s="9">
        <f t="shared" si="17"/>
        <v>24543</v>
      </c>
      <c r="N39" s="9">
        <f t="shared" si="17"/>
        <v>28648</v>
      </c>
      <c r="O39" s="9">
        <f t="shared" si="17"/>
        <v>25756</v>
      </c>
      <c r="Y39" s="9">
        <f t="shared" ref="Y39:AF39" si="18">SUM(Y36:Y38)</f>
        <v>15159</v>
      </c>
      <c r="Z39" s="9">
        <f t="shared" si="18"/>
        <v>19541</v>
      </c>
      <c r="AA39" s="9">
        <f t="shared" si="18"/>
        <v>25750</v>
      </c>
      <c r="AB39" s="9">
        <f t="shared" si="18"/>
        <v>36363</v>
      </c>
      <c r="AC39" s="9">
        <f t="shared" si="18"/>
        <v>46987</v>
      </c>
      <c r="AD39" s="9">
        <f t="shared" si="18"/>
        <v>60014</v>
      </c>
      <c r="AE39" s="9">
        <f t="shared" si="18"/>
        <v>71416</v>
      </c>
      <c r="AF39" s="9">
        <f t="shared" si="18"/>
        <v>97426</v>
      </c>
    </row>
    <row r="40" spans="1:32">
      <c r="A40" s="8" t="s">
        <v>11</v>
      </c>
      <c r="B40" s="9">
        <f t="shared" ref="B40" si="19">B35-B39</f>
        <v>3872</v>
      </c>
      <c r="C40" s="9">
        <f>C35-C39</f>
        <v>4415</v>
      </c>
      <c r="D40" s="9">
        <f t="shared" ref="D40" si="20">D35-D39</f>
        <v>3170</v>
      </c>
      <c r="E40" s="9">
        <f>E35-E39</f>
        <v>3212</v>
      </c>
      <c r="F40" s="9">
        <f t="shared" ref="F40:H40" si="21">F35-F39</f>
        <v>3944</v>
      </c>
      <c r="G40" s="9">
        <f t="shared" si="21"/>
        <v>4059</v>
      </c>
      <c r="H40" s="9">
        <f t="shared" si="21"/>
        <v>6133</v>
      </c>
      <c r="I40" s="9">
        <f>I35-I39</f>
        <v>6256</v>
      </c>
      <c r="J40" s="9">
        <f t="shared" ref="J40" si="22">J35-J39</f>
        <v>6377</v>
      </c>
      <c r="K40" s="9">
        <f>K35-K39</f>
        <v>8903</v>
      </c>
      <c r="L40" s="9">
        <f t="shared" ref="L40:O40" si="23">L35-L39</f>
        <v>7713</v>
      </c>
      <c r="M40" s="9">
        <f t="shared" si="23"/>
        <v>4841</v>
      </c>
      <c r="N40" s="9">
        <f t="shared" si="23"/>
        <v>3484</v>
      </c>
      <c r="O40" s="9">
        <f t="shared" si="23"/>
        <v>3918</v>
      </c>
      <c r="Y40" s="9">
        <f t="shared" ref="Y40:AF40" si="24">Y35-Y39</f>
        <v>311</v>
      </c>
      <c r="Z40" s="9">
        <f t="shared" si="24"/>
        <v>2404</v>
      </c>
      <c r="AA40" s="9">
        <f t="shared" si="24"/>
        <v>4353</v>
      </c>
      <c r="AB40" s="9">
        <f t="shared" si="24"/>
        <v>4320</v>
      </c>
      <c r="AC40" s="9">
        <f t="shared" si="24"/>
        <v>12717</v>
      </c>
      <c r="AD40" s="9">
        <f t="shared" si="24"/>
        <v>14741</v>
      </c>
      <c r="AE40" s="9">
        <f t="shared" si="24"/>
        <v>22825</v>
      </c>
      <c r="AF40" s="9">
        <f t="shared" si="24"/>
        <v>24941</v>
      </c>
    </row>
    <row r="41" spans="1:32" s="8" customFormat="1">
      <c r="A41" s="8" t="s">
        <v>14</v>
      </c>
      <c r="B41" s="9">
        <f>-86+150-387-199</f>
        <v>-522</v>
      </c>
      <c r="C41" s="9">
        <f>5+183-366+164</f>
        <v>-14</v>
      </c>
      <c r="D41" s="9">
        <f>-86+215-383-27</f>
        <v>-281</v>
      </c>
      <c r="E41" s="9">
        <f>-55+224-396-353</f>
        <v>-580</v>
      </c>
      <c r="F41" s="9">
        <f>-65+211-455+418</f>
        <v>109</v>
      </c>
      <c r="G41" s="9">
        <f>-70+202-402-406</f>
        <v>-676</v>
      </c>
      <c r="H41" s="9">
        <f>-290+135-403+646</f>
        <v>88</v>
      </c>
      <c r="I41" s="9">
        <f>-62+118-428+925</f>
        <v>553</v>
      </c>
      <c r="J41" s="9">
        <f>496+100-414+1206</f>
        <v>1388</v>
      </c>
      <c r="K41" s="9">
        <f>-38+105-399+1697</f>
        <v>1365</v>
      </c>
      <c r="L41" s="9">
        <f>-11+106-435+1261</f>
        <v>921</v>
      </c>
      <c r="M41" s="9">
        <f>11+119-493-163</f>
        <v>-526</v>
      </c>
      <c r="N41" s="9">
        <f>-24+118-482+11838</f>
        <v>11450</v>
      </c>
      <c r="O41" s="9">
        <f>-249+108-472-8570</f>
        <v>-9183</v>
      </c>
      <c r="P41" s="9"/>
      <c r="Q41" s="9"/>
      <c r="R41" s="9"/>
      <c r="Y41" s="8">
        <f>-133+39-210-118</f>
        <v>-422</v>
      </c>
      <c r="Z41" s="8">
        <f>-171+50-459-256</f>
        <v>-836</v>
      </c>
      <c r="AA41" s="8">
        <f>-167+100-484+90</f>
        <v>-461</v>
      </c>
      <c r="AB41" s="8">
        <f>-214+202-848+346</f>
        <v>-514</v>
      </c>
      <c r="AC41" s="8">
        <f>-296+440-1417-183</f>
        <v>-1456</v>
      </c>
      <c r="AD41" s="8">
        <f>SUM(C41:F41)</f>
        <v>-766</v>
      </c>
      <c r="AE41" s="8">
        <f>SUM(G41:J41)</f>
        <v>1353</v>
      </c>
      <c r="AF41" s="8">
        <f>SUM(K41:N41)</f>
        <v>13210</v>
      </c>
    </row>
    <row r="42" spans="1:32" s="8" customFormat="1">
      <c r="A42" s="8" t="s">
        <v>13</v>
      </c>
      <c r="B42" s="9">
        <f t="shared" ref="B42" si="25">B40+B41</f>
        <v>3350</v>
      </c>
      <c r="C42" s="9">
        <f>C40+C41</f>
        <v>4401</v>
      </c>
      <c r="D42" s="9">
        <f t="shared" ref="D42" si="26">D40+D41</f>
        <v>2889</v>
      </c>
      <c r="E42" s="9">
        <f>E40+E41</f>
        <v>2632</v>
      </c>
      <c r="F42" s="9">
        <f t="shared" ref="F42:H42" si="27">F40+F41</f>
        <v>4053</v>
      </c>
      <c r="G42" s="9">
        <f t="shared" si="27"/>
        <v>3383</v>
      </c>
      <c r="H42" s="9">
        <f t="shared" si="27"/>
        <v>6221</v>
      </c>
      <c r="I42" s="9">
        <f>I40+I41</f>
        <v>6809</v>
      </c>
      <c r="J42" s="9">
        <f t="shared" ref="J42" si="28">J40+J41</f>
        <v>7765</v>
      </c>
      <c r="K42" s="9">
        <f>K40+K41</f>
        <v>10268</v>
      </c>
      <c r="L42" s="9">
        <f t="shared" ref="L42:O42" si="29">L40+L41</f>
        <v>8634</v>
      </c>
      <c r="M42" s="9">
        <f t="shared" si="29"/>
        <v>4315</v>
      </c>
      <c r="N42" s="9">
        <f t="shared" si="29"/>
        <v>14934</v>
      </c>
      <c r="O42" s="9">
        <f t="shared" si="29"/>
        <v>-5265</v>
      </c>
      <c r="P42" s="9"/>
      <c r="Q42" s="9"/>
      <c r="R42" s="9"/>
      <c r="Y42" s="9">
        <f t="shared" ref="Y42:AF42" si="30">Y40+Y41</f>
        <v>-111</v>
      </c>
      <c r="Z42" s="9">
        <f t="shared" si="30"/>
        <v>1568</v>
      </c>
      <c r="AA42" s="9">
        <f t="shared" si="30"/>
        <v>3892</v>
      </c>
      <c r="AB42" s="9">
        <f t="shared" si="30"/>
        <v>3806</v>
      </c>
      <c r="AC42" s="9">
        <f t="shared" si="30"/>
        <v>11261</v>
      </c>
      <c r="AD42" s="9">
        <f t="shared" si="30"/>
        <v>13975</v>
      </c>
      <c r="AE42" s="9">
        <f t="shared" si="30"/>
        <v>24178</v>
      </c>
      <c r="AF42" s="9">
        <f t="shared" si="30"/>
        <v>38151</v>
      </c>
    </row>
    <row r="43" spans="1:32" s="8" customFormat="1">
      <c r="A43" s="8" t="s">
        <v>15</v>
      </c>
      <c r="B43" s="9">
        <f>327-4</f>
        <v>323</v>
      </c>
      <c r="C43" s="9">
        <f>836+4</f>
        <v>840</v>
      </c>
      <c r="D43" s="9">
        <f>257+7</f>
        <v>264</v>
      </c>
      <c r="E43" s="9">
        <f>494+4</f>
        <v>498</v>
      </c>
      <c r="F43" s="9">
        <f>786-1</f>
        <v>785</v>
      </c>
      <c r="G43" s="9">
        <f>744+104</f>
        <v>848</v>
      </c>
      <c r="H43" s="9">
        <f>984-6</f>
        <v>978</v>
      </c>
      <c r="I43" s="9">
        <f>569-91</f>
        <v>478</v>
      </c>
      <c r="J43" s="9">
        <f>566-23</f>
        <v>543</v>
      </c>
      <c r="K43" s="9">
        <f>2156+5</f>
        <v>2161</v>
      </c>
      <c r="L43" s="9">
        <f>868-12</f>
        <v>856</v>
      </c>
      <c r="M43" s="9">
        <f>1155+4</f>
        <v>1159</v>
      </c>
      <c r="N43" s="9">
        <f>612-1</f>
        <v>611</v>
      </c>
      <c r="O43" s="9">
        <f>-1422+1</f>
        <v>-1421</v>
      </c>
      <c r="P43" s="9"/>
      <c r="Q43" s="9"/>
      <c r="R43" s="9"/>
      <c r="Y43" s="8">
        <f>167-37</f>
        <v>130</v>
      </c>
      <c r="Z43" s="8">
        <f>950+22</f>
        <v>972</v>
      </c>
      <c r="AA43" s="8">
        <f>1425+96</f>
        <v>1521</v>
      </c>
      <c r="AB43" s="8">
        <f>769+4</f>
        <v>773</v>
      </c>
      <c r="AC43" s="8">
        <f>1197-9</f>
        <v>1188</v>
      </c>
      <c r="AD43" s="8">
        <f>SUM(C43:F43)</f>
        <v>2387</v>
      </c>
      <c r="AE43" s="8">
        <f>SUM(G43:J43)</f>
        <v>2847</v>
      </c>
      <c r="AF43" s="8">
        <f>SUM(K43:N43)</f>
        <v>4787</v>
      </c>
    </row>
    <row r="44" spans="1:32" s="8" customFormat="1">
      <c r="A44" s="8" t="s">
        <v>16</v>
      </c>
      <c r="B44" s="9">
        <f t="shared" ref="B44" si="31">B42-B43</f>
        <v>3027</v>
      </c>
      <c r="C44" s="9">
        <f>C42-C43</f>
        <v>3561</v>
      </c>
      <c r="D44" s="9">
        <f t="shared" ref="D44" si="32">D42-D43</f>
        <v>2625</v>
      </c>
      <c r="E44" s="9">
        <f>E42-E43</f>
        <v>2134</v>
      </c>
      <c r="F44" s="9">
        <f t="shared" ref="F44:H44" si="33">F42-F43</f>
        <v>3268</v>
      </c>
      <c r="G44" s="9">
        <f t="shared" si="33"/>
        <v>2535</v>
      </c>
      <c r="H44" s="9">
        <f t="shared" si="33"/>
        <v>5243</v>
      </c>
      <c r="I44" s="9">
        <f>I42-I43</f>
        <v>6331</v>
      </c>
      <c r="J44" s="9">
        <f t="shared" ref="J44" si="34">J42-J43</f>
        <v>7222</v>
      </c>
      <c r="K44" s="9">
        <f>K42-K43</f>
        <v>8107</v>
      </c>
      <c r="L44" s="9">
        <f t="shared" ref="L44:O44" si="35">L42-L43</f>
        <v>7778</v>
      </c>
      <c r="M44" s="9">
        <f t="shared" si="35"/>
        <v>3156</v>
      </c>
      <c r="N44" s="9">
        <f t="shared" si="35"/>
        <v>14323</v>
      </c>
      <c r="O44" s="9">
        <f t="shared" si="35"/>
        <v>-3844</v>
      </c>
      <c r="P44" s="9"/>
      <c r="Q44" s="9"/>
      <c r="R44" s="9"/>
      <c r="Y44" s="9">
        <f t="shared" ref="Y44:AF44" si="36">Y42-Y43</f>
        <v>-241</v>
      </c>
      <c r="Z44" s="9">
        <f t="shared" si="36"/>
        <v>596</v>
      </c>
      <c r="AA44" s="9">
        <f t="shared" si="36"/>
        <v>2371</v>
      </c>
      <c r="AB44" s="9">
        <f t="shared" si="36"/>
        <v>3033</v>
      </c>
      <c r="AC44" s="9">
        <f t="shared" si="36"/>
        <v>10073</v>
      </c>
      <c r="AD44" s="9">
        <f t="shared" si="36"/>
        <v>11588</v>
      </c>
      <c r="AE44" s="9">
        <f t="shared" si="36"/>
        <v>21331</v>
      </c>
      <c r="AF44" s="9">
        <f t="shared" si="36"/>
        <v>33364</v>
      </c>
    </row>
    <row r="45" spans="1:32">
      <c r="A45" s="8" t="s">
        <v>17</v>
      </c>
      <c r="B45" s="12">
        <f t="shared" ref="B45" si="37">B44/B46</f>
        <v>6.0419161676646711</v>
      </c>
      <c r="C45" s="12">
        <f>C44/C46</f>
        <v>7.0936254980079685</v>
      </c>
      <c r="D45" s="12">
        <f t="shared" ref="D45" si="38">D44/D46</f>
        <v>5.2186878727634198</v>
      </c>
      <c r="E45" s="12">
        <f>E44/E46</f>
        <v>4.2341269841269842</v>
      </c>
      <c r="F45" s="12">
        <f t="shared" ref="F45:H45" si="39">F44/F46</f>
        <v>6.4712871287128717</v>
      </c>
      <c r="G45" s="12">
        <f t="shared" si="39"/>
        <v>5.0098814229249014</v>
      </c>
      <c r="H45" s="12">
        <f t="shared" si="39"/>
        <v>10.300589390962672</v>
      </c>
      <c r="I45" s="12">
        <f>I44/I46</f>
        <v>12.365234375</v>
      </c>
      <c r="J45" s="12">
        <f t="shared" ref="J45" si="40">J44/J46</f>
        <v>14.077972709551657</v>
      </c>
      <c r="K45" s="12">
        <f>K44/K46</f>
        <v>15.803118908382066</v>
      </c>
      <c r="L45" s="12">
        <f>L44/L46</f>
        <v>15.132295719844358</v>
      </c>
      <c r="M45" s="12">
        <f>M44/M46</f>
        <v>6.1281553398058248</v>
      </c>
      <c r="N45" s="12">
        <f>N44/N46</f>
        <v>27.757751937984494</v>
      </c>
      <c r="O45" s="12">
        <f>O44/O46</f>
        <v>-7.5520628683693518</v>
      </c>
      <c r="P45" s="12"/>
      <c r="Y45" s="12">
        <f t="shared" ref="Y45:AD45" si="41">Y44/Y46</f>
        <v>-0.52164502164502169</v>
      </c>
      <c r="Z45" s="12">
        <f t="shared" si="41"/>
        <v>1.249475890985325</v>
      </c>
      <c r="AA45" s="12">
        <f t="shared" si="41"/>
        <v>4.8987603305785123</v>
      </c>
      <c r="AB45" s="12">
        <f t="shared" si="41"/>
        <v>6.1521298174442194</v>
      </c>
      <c r="AC45" s="12">
        <f t="shared" si="41"/>
        <v>20.146000000000001</v>
      </c>
      <c r="AD45" s="12">
        <f t="shared" si="41"/>
        <v>23.014895729890764</v>
      </c>
      <c r="AE45" s="12">
        <f>AE44/AE46</f>
        <v>41.825490196078434</v>
      </c>
      <c r="AF45" s="12">
        <f>AF44/AF46</f>
        <v>64.847424684159378</v>
      </c>
    </row>
    <row r="46" spans="1:32">
      <c r="A46" s="8" t="s">
        <v>1</v>
      </c>
      <c r="B46" s="4">
        <v>501</v>
      </c>
      <c r="C46" s="4">
        <v>502</v>
      </c>
      <c r="D46" s="4">
        <v>503</v>
      </c>
      <c r="E46" s="4">
        <v>504</v>
      </c>
      <c r="F46" s="4">
        <v>505</v>
      </c>
      <c r="G46" s="4">
        <v>506</v>
      </c>
      <c r="H46" s="4">
        <v>509</v>
      </c>
      <c r="I46" s="4">
        <v>512</v>
      </c>
      <c r="J46" s="4">
        <v>513</v>
      </c>
      <c r="K46" s="4">
        <v>513</v>
      </c>
      <c r="L46" s="4">
        <v>514</v>
      </c>
      <c r="M46" s="4">
        <v>515</v>
      </c>
      <c r="N46" s="4">
        <v>516</v>
      </c>
      <c r="O46" s="4">
        <v>509</v>
      </c>
      <c r="Y46" s="5">
        <v>462</v>
      </c>
      <c r="Z46" s="5">
        <v>477</v>
      </c>
      <c r="AA46" s="5">
        <v>484</v>
      </c>
      <c r="AB46" s="9">
        <v>493</v>
      </c>
      <c r="AC46" s="9">
        <v>500</v>
      </c>
      <c r="AD46" s="9">
        <f>AVERAGE(C46:F46)</f>
        <v>503.5</v>
      </c>
      <c r="AE46" s="9">
        <f>AVERAGE(G46:J46)</f>
        <v>510</v>
      </c>
      <c r="AF46" s="9">
        <f>AVERAGE(K46:N46)</f>
        <v>514.5</v>
      </c>
    </row>
    <row r="48" spans="1:32" s="15" customFormat="1">
      <c r="A48" s="10" t="s">
        <v>21</v>
      </c>
      <c r="B48" s="13"/>
      <c r="C48" s="13"/>
      <c r="D48" s="13"/>
      <c r="E48" s="13"/>
      <c r="F48" s="14">
        <f>F31/B31-1</f>
        <v>0.20797701117665746</v>
      </c>
      <c r="G48" s="14">
        <f>G31/C31-1</f>
        <v>0.26385259631490787</v>
      </c>
      <c r="H48" s="14">
        <f t="shared" ref="H48:N48" si="42">H31/D31-1</f>
        <v>0.40230900258658764</v>
      </c>
      <c r="I48" s="14">
        <f t="shared" si="42"/>
        <v>0.37387290836084075</v>
      </c>
      <c r="J48" s="14">
        <f t="shared" si="42"/>
        <v>0.43594816839553041</v>
      </c>
      <c r="K48" s="14">
        <f t="shared" si="42"/>
        <v>0.43823888034777081</v>
      </c>
      <c r="L48" s="14">
        <f t="shared" si="42"/>
        <v>0.27181932697498645</v>
      </c>
      <c r="M48" s="14">
        <f t="shared" si="42"/>
        <v>0.15255083467679031</v>
      </c>
      <c r="N48" s="14">
        <f t="shared" si="42"/>
        <v>9.4436701047349692E-2</v>
      </c>
      <c r="O48" s="14">
        <f>O31/K31-1</f>
        <v>7.3038574245747334E-2</v>
      </c>
      <c r="P48" s="13"/>
      <c r="Q48" s="13"/>
      <c r="R48" s="13"/>
      <c r="Y48" s="16">
        <v>0.2</v>
      </c>
      <c r="Z48" s="16">
        <f>Z31/Y31-1</f>
        <v>0.20247673843664304</v>
      </c>
      <c r="AA48" s="16">
        <f>AA31/Z31-1</f>
        <v>0.27083528026465808</v>
      </c>
      <c r="AB48" s="16">
        <f>AB31/AA31-1</f>
        <v>0.30796326119408479</v>
      </c>
      <c r="AC48" s="16">
        <f t="shared" ref="AC48:AE48" si="43">AC31/AB31-1</f>
        <v>0.3093396152159491</v>
      </c>
      <c r="AD48" s="16">
        <f t="shared" si="43"/>
        <v>0.20454125820676983</v>
      </c>
      <c r="AE48" s="16">
        <f t="shared" si="43"/>
        <v>0.37623430604373276</v>
      </c>
      <c r="AF48" s="16">
        <f>AF31/AE31-1</f>
        <v>0.21695366571345676</v>
      </c>
    </row>
    <row r="49" spans="1:32">
      <c r="A49" s="8" t="s">
        <v>30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AC49" s="18"/>
      <c r="AD49" s="18">
        <f t="shared" ref="AD49:AE49" si="44">AD21/AC21-1</f>
        <v>0.14847097660728359</v>
      </c>
      <c r="AE49" s="18">
        <f t="shared" si="44"/>
        <v>0.39719073679440986</v>
      </c>
      <c r="AF49" s="18">
        <f>AF21/AE21-1</f>
        <v>0.12529072860769497</v>
      </c>
    </row>
    <row r="50" spans="1:32">
      <c r="A50" s="8" t="s">
        <v>31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AC50" s="18"/>
      <c r="AD50" s="18">
        <f t="shared" ref="AD50:AF52" si="45">AD23/AC23-1</f>
        <v>0.25771435255585451</v>
      </c>
      <c r="AE50" s="18">
        <f t="shared" si="45"/>
        <v>0.4961961273041795</v>
      </c>
      <c r="AF50" s="18">
        <f>AF23/AE23-1</f>
        <v>0.28505538495965776</v>
      </c>
    </row>
    <row r="51" spans="1:32">
      <c r="A51" s="8" t="s">
        <v>32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AC51" s="18"/>
      <c r="AD51" s="18">
        <f t="shared" si="45"/>
        <v>0.35596809486835612</v>
      </c>
      <c r="AE51" s="18">
        <f t="shared" si="45"/>
        <v>0.31218115564810001</v>
      </c>
      <c r="AF51" s="18">
        <f>AF24/AE24-1</f>
        <v>0.26028484151227826</v>
      </c>
    </row>
    <row r="52" spans="1:32">
      <c r="A52" s="8" t="s">
        <v>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AC52" s="18"/>
      <c r="AD52" s="18">
        <f t="shared" si="45"/>
        <v>0.39354966363276622</v>
      </c>
      <c r="AE52" s="18">
        <f t="shared" si="45"/>
        <v>0.4819679114013915</v>
      </c>
      <c r="AF52" s="18">
        <f t="shared" si="45"/>
        <v>0.49269461077844312</v>
      </c>
    </row>
    <row r="53" spans="1:32">
      <c r="A53" s="8" t="s">
        <v>22</v>
      </c>
      <c r="F53" s="17">
        <f t="shared" ref="F53:N53" si="46">F19/B19-1</f>
        <v>0.33970390309555865</v>
      </c>
      <c r="G53" s="17">
        <f t="shared" si="46"/>
        <v>0.32783264033264037</v>
      </c>
      <c r="H53" s="17">
        <f t="shared" si="46"/>
        <v>0.28958358191146649</v>
      </c>
      <c r="I53" s="17">
        <f t="shared" si="46"/>
        <v>0.28971650917176217</v>
      </c>
      <c r="J53" s="17">
        <f t="shared" si="46"/>
        <v>0.28008840667068524</v>
      </c>
      <c r="K53" s="17">
        <f t="shared" si="46"/>
        <v>0.32136216850963883</v>
      </c>
      <c r="L53" s="17">
        <f t="shared" si="46"/>
        <v>0.37018874907475952</v>
      </c>
      <c r="M53" s="17">
        <f t="shared" si="46"/>
        <v>0.3886733902249806</v>
      </c>
      <c r="N53" s="17">
        <f t="shared" si="46"/>
        <v>0.39538533982106427</v>
      </c>
      <c r="O53" s="17">
        <f>O19/K19-1</f>
        <v>0.36569651188624741</v>
      </c>
      <c r="Z53" s="18">
        <f t="shared" ref="Z53:AE53" si="47">Z19/Y19-1</f>
        <v>0.69681309216192933</v>
      </c>
      <c r="AA53" s="18">
        <f t="shared" si="47"/>
        <v>0.55063451776649752</v>
      </c>
      <c r="AB53" s="18">
        <f t="shared" si="47"/>
        <v>0.42884033063262139</v>
      </c>
      <c r="AC53" s="18">
        <f t="shared" si="47"/>
        <v>0.46944269431238905</v>
      </c>
      <c r="AD53" s="18">
        <f t="shared" si="47"/>
        <v>0.36526992788930035</v>
      </c>
      <c r="AE53" s="18">
        <f t="shared" si="47"/>
        <v>0.29532347399074976</v>
      </c>
      <c r="AF53" s="18">
        <f>AF19/AE19-1</f>
        <v>0.37099404893101173</v>
      </c>
    </row>
    <row r="54" spans="1:32">
      <c r="A54" s="8" t="s">
        <v>12</v>
      </c>
      <c r="B54" s="17">
        <f t="shared" ref="B54:G54" si="48">B35/B31</f>
        <v>0.24272273876462705</v>
      </c>
      <c r="C54" s="17">
        <f t="shared" si="48"/>
        <v>0.28775544388609714</v>
      </c>
      <c r="D54" s="17">
        <f t="shared" si="48"/>
        <v>0.28067629802536115</v>
      </c>
      <c r="E54" s="17">
        <f t="shared" si="48"/>
        <v>0.26452894357039769</v>
      </c>
      <c r="F54" s="17">
        <f t="shared" si="48"/>
        <v>0.24323798849457323</v>
      </c>
      <c r="G54" s="17">
        <f t="shared" si="48"/>
        <v>0.26061602078142393</v>
      </c>
      <c r="H54" s="17">
        <f>H35/H31</f>
        <v>0.25245186251574592</v>
      </c>
      <c r="I54" s="17">
        <f>I35/I31</f>
        <v>0.25309688491341203</v>
      </c>
      <c r="J54" s="17">
        <f>J35/J31</f>
        <v>0.22139301501334077</v>
      </c>
      <c r="K54" s="17">
        <f>K35/K31</f>
        <v>0.2726275825208721</v>
      </c>
      <c r="L54" s="17">
        <f t="shared" ref="L54:O54" si="49">L35/L31</f>
        <v>0.27649451715599577</v>
      </c>
      <c r="M54" s="17">
        <f t="shared" si="49"/>
        <v>0.26516983720174708</v>
      </c>
      <c r="N54" s="17">
        <f t="shared" si="49"/>
        <v>0.23383692836142403</v>
      </c>
      <c r="O54" s="17">
        <f t="shared" si="49"/>
        <v>0.25483494211809971</v>
      </c>
      <c r="Y54" s="19">
        <f t="shared" ref="Y54:AE54" si="50">Y35/Y31</f>
        <v>0.17384366431428958</v>
      </c>
      <c r="Z54" s="19">
        <f t="shared" si="50"/>
        <v>0.20508195802104554</v>
      </c>
      <c r="AA54" s="19">
        <f t="shared" si="50"/>
        <v>0.22136674829211617</v>
      </c>
      <c r="AB54" s="19">
        <f t="shared" si="50"/>
        <v>0.22872836854710848</v>
      </c>
      <c r="AC54" s="19">
        <f t="shared" si="50"/>
        <v>0.25636467471348767</v>
      </c>
      <c r="AD54" s="19">
        <f t="shared" si="50"/>
        <v>0.26648533804835273</v>
      </c>
      <c r="AE54" s="19">
        <f t="shared" si="50"/>
        <v>0.24410719466202496</v>
      </c>
      <c r="AF54" s="19">
        <f>AF35/AF31</f>
        <v>0.26045395915900066</v>
      </c>
    </row>
    <row r="77" spans="1:18" s="8" customFormat="1">
      <c r="A77" s="8" t="s">
        <v>29</v>
      </c>
      <c r="B77" s="9"/>
      <c r="C77" s="9"/>
      <c r="D77" s="9"/>
      <c r="E77" s="9"/>
      <c r="F77" s="9"/>
      <c r="G77" s="9"/>
      <c r="H77" s="9"/>
      <c r="I77" s="9"/>
      <c r="J77" s="9">
        <v>1298</v>
      </c>
      <c r="K77" s="9">
        <v>1271</v>
      </c>
      <c r="L77" s="9">
        <v>1335</v>
      </c>
      <c r="M77" s="9">
        <v>1468</v>
      </c>
      <c r="N77" s="9">
        <v>1608</v>
      </c>
      <c r="O77" s="9">
        <v>1622</v>
      </c>
      <c r="P77" s="9"/>
      <c r="Q77" s="9"/>
      <c r="R77" s="9"/>
    </row>
  </sheetData>
  <conditionalFormatting sqref="A1:XFD2">
    <cfRule type="cellIs" dxfId="1" priority="1" operator="lessThan">
      <formula>0</formula>
    </cfRule>
  </conditionalFormatting>
  <hyperlinks>
    <hyperlink ref="A9" location="Main!A1" display="Main" xr:uid="{B12DCE76-B88E-2641-9910-57D44BB20CF8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1DE9-9EF2-144A-B456-5F7E8A3F3958}">
  <dimension ref="A1:AY77"/>
  <sheetViews>
    <sheetView workbookViewId="0">
      <pane xSplit="1" ySplit="12" topLeftCell="G24" activePane="bottomRight" state="frozen"/>
      <selection pane="topRight" activeCell="C1" sqref="C1"/>
      <selection pane="bottomLeft" activeCell="A5" sqref="A5"/>
      <selection pane="bottomRight" activeCell="K30" sqref="K30"/>
    </sheetView>
  </sheetViews>
  <sheetFormatPr baseColWidth="10" defaultColWidth="8.83203125" defaultRowHeight="16" outlineLevelCol="1"/>
  <cols>
    <col min="1" max="1" width="36.83203125" style="5" customWidth="1"/>
    <col min="2" max="6" width="0" style="4" hidden="1" customWidth="1" outlineLevel="1"/>
    <col min="7" max="7" width="8.83203125" style="4" collapsed="1"/>
    <col min="8" max="18" width="8.83203125" style="4"/>
    <col min="19" max="16384" width="8.83203125" style="5"/>
  </cols>
  <sheetData>
    <row r="1" spans="1:51" s="21" customFormat="1" ht="81" customHeight="1">
      <c r="A1" s="20" t="s">
        <v>57</v>
      </c>
    </row>
    <row r="2" spans="1:51" s="21" customFormat="1" ht="28">
      <c r="A2" s="22" t="s">
        <v>59</v>
      </c>
    </row>
    <row r="3" spans="1:51">
      <c r="A3" s="5" t="s">
        <v>58</v>
      </c>
    </row>
    <row r="9" spans="1:51">
      <c r="A9" s="6" t="s">
        <v>0</v>
      </c>
    </row>
    <row r="11" spans="1:51"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  <c r="G11" s="4" t="s">
        <v>41</v>
      </c>
      <c r="H11" s="4" t="s">
        <v>42</v>
      </c>
      <c r="I11" s="4" t="s">
        <v>43</v>
      </c>
      <c r="J11" s="4" t="s">
        <v>44</v>
      </c>
      <c r="K11" s="4" t="s">
        <v>45</v>
      </c>
      <c r="L11" s="4" t="s">
        <v>46</v>
      </c>
      <c r="M11" s="4" t="s">
        <v>47</v>
      </c>
      <c r="N11" s="4" t="s">
        <v>48</v>
      </c>
      <c r="O11" s="4" t="s">
        <v>49</v>
      </c>
      <c r="P11" s="4" t="s">
        <v>50</v>
      </c>
      <c r="Q11" s="4" t="s">
        <v>53</v>
      </c>
      <c r="R11" s="4" t="s">
        <v>54</v>
      </c>
      <c r="S11" s="4" t="s">
        <v>55</v>
      </c>
      <c r="T11" s="4" t="s">
        <v>56</v>
      </c>
      <c r="U11" s="4" t="s">
        <v>51</v>
      </c>
      <c r="V11" s="4" t="s">
        <v>52</v>
      </c>
      <c r="Y11" s="5">
        <v>2014</v>
      </c>
      <c r="Z11" s="5">
        <f t="shared" ref="Z11:AY11" si="0">+Y11+1</f>
        <v>2015</v>
      </c>
      <c r="AA11" s="5">
        <f t="shared" si="0"/>
        <v>2016</v>
      </c>
      <c r="AB11" s="5">
        <f t="shared" si="0"/>
        <v>2017</v>
      </c>
      <c r="AC11" s="5">
        <f t="shared" si="0"/>
        <v>2018</v>
      </c>
      <c r="AD11" s="5">
        <f t="shared" si="0"/>
        <v>2019</v>
      </c>
      <c r="AE11" s="5">
        <f t="shared" si="0"/>
        <v>2020</v>
      </c>
      <c r="AF11" s="5">
        <f t="shared" si="0"/>
        <v>2021</v>
      </c>
      <c r="AG11" s="5">
        <f t="shared" si="0"/>
        <v>2022</v>
      </c>
      <c r="AH11" s="5">
        <f t="shared" si="0"/>
        <v>2023</v>
      </c>
      <c r="AI11" s="5">
        <f t="shared" si="0"/>
        <v>2024</v>
      </c>
      <c r="AJ11" s="5">
        <f t="shared" si="0"/>
        <v>2025</v>
      </c>
      <c r="AK11" s="5">
        <f t="shared" si="0"/>
        <v>2026</v>
      </c>
      <c r="AL11" s="5">
        <f t="shared" si="0"/>
        <v>2027</v>
      </c>
      <c r="AM11" s="5">
        <f t="shared" si="0"/>
        <v>2028</v>
      </c>
      <c r="AN11" s="5">
        <f t="shared" si="0"/>
        <v>2029</v>
      </c>
      <c r="AO11" s="5">
        <f t="shared" si="0"/>
        <v>2030</v>
      </c>
      <c r="AP11" s="5">
        <f t="shared" si="0"/>
        <v>2031</v>
      </c>
      <c r="AQ11" s="5">
        <f t="shared" si="0"/>
        <v>2032</v>
      </c>
      <c r="AR11" s="5">
        <f t="shared" si="0"/>
        <v>2033</v>
      </c>
      <c r="AS11" s="5">
        <f t="shared" si="0"/>
        <v>2034</v>
      </c>
      <c r="AT11" s="5">
        <f t="shared" si="0"/>
        <v>2035</v>
      </c>
      <c r="AU11" s="5">
        <f t="shared" si="0"/>
        <v>2036</v>
      </c>
      <c r="AV11" s="5">
        <f t="shared" si="0"/>
        <v>2037</v>
      </c>
      <c r="AW11" s="5">
        <f t="shared" si="0"/>
        <v>2038</v>
      </c>
      <c r="AX11" s="5">
        <f t="shared" si="0"/>
        <v>2039</v>
      </c>
      <c r="AY11" s="5">
        <f t="shared" si="0"/>
        <v>2040</v>
      </c>
    </row>
    <row r="12" spans="1:51">
      <c r="B12" s="7">
        <v>43465</v>
      </c>
      <c r="C12" s="7">
        <v>43555</v>
      </c>
      <c r="D12" s="7">
        <v>43646</v>
      </c>
      <c r="E12" s="7">
        <v>43738</v>
      </c>
      <c r="F12" s="7">
        <f>B12+365</f>
        <v>43830</v>
      </c>
      <c r="G12" s="7">
        <f>C12+366</f>
        <v>43921</v>
      </c>
      <c r="H12" s="7">
        <f t="shared" ref="H12:J12" si="1">D12+366</f>
        <v>44012</v>
      </c>
      <c r="I12" s="7">
        <f t="shared" si="1"/>
        <v>44104</v>
      </c>
      <c r="J12" s="7">
        <f t="shared" si="1"/>
        <v>44196</v>
      </c>
      <c r="K12" s="7">
        <f>G12+365</f>
        <v>44286</v>
      </c>
      <c r="L12" s="7">
        <f t="shared" ref="L12:O12" si="2">H12+365</f>
        <v>44377</v>
      </c>
      <c r="M12" s="7">
        <f t="shared" si="2"/>
        <v>44469</v>
      </c>
      <c r="N12" s="7">
        <f t="shared" si="2"/>
        <v>44561</v>
      </c>
      <c r="O12" s="7">
        <f t="shared" si="2"/>
        <v>44651</v>
      </c>
      <c r="S12" s="4"/>
      <c r="T12" s="4"/>
      <c r="U12" s="4"/>
      <c r="V12" s="4"/>
    </row>
    <row r="13" spans="1:51" s="8" customFormat="1">
      <c r="A13" s="8" t="s">
        <v>18</v>
      </c>
      <c r="B13" s="9">
        <v>44124</v>
      </c>
      <c r="C13" s="9">
        <v>35812</v>
      </c>
      <c r="D13" s="9">
        <v>38653</v>
      </c>
      <c r="E13" s="9">
        <v>42638</v>
      </c>
      <c r="F13" s="9">
        <v>53670</v>
      </c>
      <c r="G13" s="9">
        <v>46127</v>
      </c>
      <c r="H13" s="9">
        <v>55436</v>
      </c>
      <c r="I13" s="9">
        <v>59373</v>
      </c>
      <c r="J13" s="9">
        <v>75346</v>
      </c>
      <c r="K13" s="9">
        <v>64366</v>
      </c>
      <c r="L13" s="9">
        <v>67550</v>
      </c>
      <c r="M13" s="9">
        <v>65557</v>
      </c>
      <c r="N13" s="9">
        <v>82360</v>
      </c>
      <c r="O13" s="9">
        <v>69244</v>
      </c>
      <c r="P13" s="9"/>
      <c r="Q13" s="9"/>
      <c r="R13" s="9"/>
      <c r="Y13" s="8">
        <v>50834</v>
      </c>
      <c r="Z13" s="8">
        <v>63708</v>
      </c>
      <c r="AA13" s="8">
        <v>79785</v>
      </c>
      <c r="AB13" s="8">
        <v>106110</v>
      </c>
      <c r="AC13" s="8">
        <v>141366</v>
      </c>
      <c r="AD13" s="8">
        <f>SUM(C13:F13)</f>
        <v>170773</v>
      </c>
      <c r="AE13" s="8">
        <f>SUM(G13:J13)</f>
        <v>236282</v>
      </c>
      <c r="AF13" s="8">
        <f>SUM(K13:N13)</f>
        <v>279833</v>
      </c>
    </row>
    <row r="14" spans="1:51" s="8" customFormat="1">
      <c r="A14" s="8" t="s">
        <v>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Y14" s="8">
        <v>11567</v>
      </c>
      <c r="Z14" s="8">
        <v>12483</v>
      </c>
      <c r="AA14" s="8">
        <v>13580</v>
      </c>
    </row>
    <row r="15" spans="1:51" s="8" customFormat="1">
      <c r="A15" s="8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Y15" s="8">
        <v>38517</v>
      </c>
      <c r="Z15" s="8">
        <v>50401</v>
      </c>
      <c r="AA15" s="8">
        <v>64887</v>
      </c>
    </row>
    <row r="16" spans="1:51" s="8" customFormat="1">
      <c r="A16" s="8" t="s">
        <v>19</v>
      </c>
      <c r="B16" s="9">
        <v>41873</v>
      </c>
      <c r="C16" s="9">
        <v>16192</v>
      </c>
      <c r="D16" s="9">
        <v>16370</v>
      </c>
      <c r="E16" s="9">
        <v>18348</v>
      </c>
      <c r="F16" s="9">
        <v>23813</v>
      </c>
      <c r="G16" s="9">
        <v>19106</v>
      </c>
      <c r="H16" s="9">
        <v>22668</v>
      </c>
      <c r="I16" s="9">
        <v>25171</v>
      </c>
      <c r="J16" s="9">
        <v>37467</v>
      </c>
      <c r="K16" s="9">
        <v>30649</v>
      </c>
      <c r="L16" s="9">
        <v>30721</v>
      </c>
      <c r="M16" s="9">
        <v>29145</v>
      </c>
      <c r="N16" s="9">
        <v>37272</v>
      </c>
      <c r="O16" s="9">
        <v>28759</v>
      </c>
      <c r="P16" s="9"/>
      <c r="Q16" s="9"/>
      <c r="R16" s="9"/>
      <c r="Y16" s="8">
        <v>33510</v>
      </c>
      <c r="Z16" s="8">
        <v>35418</v>
      </c>
      <c r="AA16" s="8">
        <v>43983</v>
      </c>
      <c r="AB16" s="8">
        <v>103273</v>
      </c>
      <c r="AC16" s="8">
        <v>134099</v>
      </c>
      <c r="AD16" s="8">
        <f>SUM(C16:F16)</f>
        <v>74723</v>
      </c>
      <c r="AE16" s="8">
        <f>SUM(G16:J16)</f>
        <v>104412</v>
      </c>
      <c r="AF16" s="8">
        <f>SUM(K16:N16)</f>
        <v>127787</v>
      </c>
    </row>
    <row r="17" spans="1:32" s="8" customFormat="1">
      <c r="A17" s="8" t="s">
        <v>34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Y17" s="8">
        <v>10938</v>
      </c>
      <c r="Z17" s="8">
        <v>10026</v>
      </c>
      <c r="AA17" s="8">
        <v>10631</v>
      </c>
    </row>
    <row r="18" spans="1:32" s="8" customFormat="1">
      <c r="A18" s="8" t="s">
        <v>35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Y18" s="8">
        <v>22369</v>
      </c>
      <c r="Z18" s="8">
        <v>25196</v>
      </c>
      <c r="AA18" s="8">
        <v>33107</v>
      </c>
    </row>
    <row r="19" spans="1:32" s="8" customFormat="1">
      <c r="A19" s="8" t="s">
        <v>20</v>
      </c>
      <c r="B19" s="9">
        <v>7430</v>
      </c>
      <c r="C19" s="9">
        <v>7696</v>
      </c>
      <c r="D19" s="9">
        <v>8381</v>
      </c>
      <c r="E19" s="9">
        <v>8995</v>
      </c>
      <c r="F19" s="9">
        <v>9954</v>
      </c>
      <c r="G19" s="9">
        <v>10219</v>
      </c>
      <c r="H19" s="9">
        <v>10808</v>
      </c>
      <c r="I19" s="9">
        <v>11601</v>
      </c>
      <c r="J19" s="9">
        <v>12742</v>
      </c>
      <c r="K19" s="9">
        <v>13503</v>
      </c>
      <c r="L19" s="9">
        <v>14809</v>
      </c>
      <c r="M19" s="9">
        <v>16110</v>
      </c>
      <c r="N19" s="9">
        <v>17780</v>
      </c>
      <c r="O19" s="9">
        <v>18441</v>
      </c>
      <c r="P19" s="9"/>
      <c r="Q19" s="9"/>
      <c r="R19" s="9"/>
      <c r="Y19" s="8">
        <v>4644</v>
      </c>
      <c r="Z19" s="8">
        <v>7880</v>
      </c>
      <c r="AA19" s="8">
        <v>12219</v>
      </c>
      <c r="AB19" s="8">
        <v>17459</v>
      </c>
      <c r="AC19" s="8">
        <v>25655</v>
      </c>
      <c r="AD19" s="8">
        <f>SUM(C19:F19)</f>
        <v>35026</v>
      </c>
      <c r="AE19" s="8">
        <f>SUM(G19:J19)</f>
        <v>45370</v>
      </c>
      <c r="AF19" s="8">
        <f>SUM(K19:N19)</f>
        <v>62202</v>
      </c>
    </row>
    <row r="21" spans="1:32" s="8" customFormat="1">
      <c r="A21" s="8" t="s">
        <v>23</v>
      </c>
      <c r="B21" s="9">
        <v>39822</v>
      </c>
      <c r="C21" s="9">
        <v>29498</v>
      </c>
      <c r="D21" s="9">
        <v>31053</v>
      </c>
      <c r="E21" s="9">
        <v>35039</v>
      </c>
      <c r="F21" s="9">
        <v>45657</v>
      </c>
      <c r="G21" s="9">
        <v>36652</v>
      </c>
      <c r="H21" s="9">
        <v>45896</v>
      </c>
      <c r="I21" s="9">
        <v>48350</v>
      </c>
      <c r="J21" s="9">
        <v>66451</v>
      </c>
      <c r="K21" s="9">
        <v>52901</v>
      </c>
      <c r="L21" s="9">
        <v>53157</v>
      </c>
      <c r="M21" s="9">
        <v>49942</v>
      </c>
      <c r="N21" s="9">
        <v>66075</v>
      </c>
      <c r="O21" s="9">
        <v>51129</v>
      </c>
      <c r="P21" s="9"/>
      <c r="Q21" s="9"/>
      <c r="R21" s="9"/>
      <c r="AC21" s="8">
        <f>26939+27165+29061+39822</f>
        <v>122987</v>
      </c>
      <c r="AD21" s="8">
        <f>SUM(C21:F21)</f>
        <v>141247</v>
      </c>
      <c r="AE21" s="8">
        <f>SUM(G21:J21)</f>
        <v>197349</v>
      </c>
      <c r="AF21" s="8">
        <f>SUM(K21:N21)</f>
        <v>222075</v>
      </c>
    </row>
    <row r="22" spans="1:32" s="8" customFormat="1">
      <c r="A22" s="8" t="s">
        <v>24</v>
      </c>
      <c r="B22" s="9">
        <v>4401</v>
      </c>
      <c r="C22" s="9">
        <v>4307</v>
      </c>
      <c r="D22" s="9">
        <v>4330</v>
      </c>
      <c r="E22" s="9">
        <v>4192</v>
      </c>
      <c r="F22" s="9">
        <v>4363</v>
      </c>
      <c r="G22" s="9">
        <v>4640</v>
      </c>
      <c r="H22" s="9">
        <v>3774</v>
      </c>
      <c r="I22" s="9">
        <v>3788</v>
      </c>
      <c r="J22" s="9">
        <v>4022</v>
      </c>
      <c r="K22" s="9">
        <v>3920</v>
      </c>
      <c r="L22" s="9">
        <v>4198</v>
      </c>
      <c r="M22" s="9">
        <v>4269</v>
      </c>
      <c r="N22" s="9">
        <v>4688</v>
      </c>
      <c r="O22" s="9">
        <v>4591</v>
      </c>
      <c r="P22" s="9"/>
      <c r="Q22" s="9"/>
      <c r="R22" s="9"/>
      <c r="AC22" s="8">
        <f>4263+4312+4248+4401</f>
        <v>17224</v>
      </c>
      <c r="AD22" s="8">
        <f>SUM(C22:F22)</f>
        <v>17192</v>
      </c>
      <c r="AE22" s="8">
        <f>SUM(G22:J22)</f>
        <v>16224</v>
      </c>
      <c r="AF22" s="8">
        <f>SUM(K22:N22)</f>
        <v>17075</v>
      </c>
    </row>
    <row r="23" spans="1:32" s="8" customFormat="1">
      <c r="A23" s="8" t="s">
        <v>25</v>
      </c>
      <c r="B23" s="9">
        <v>13383</v>
      </c>
      <c r="C23" s="9">
        <v>11141</v>
      </c>
      <c r="D23" s="9">
        <v>11962</v>
      </c>
      <c r="E23" s="9">
        <v>13212</v>
      </c>
      <c r="F23" s="9">
        <v>17446</v>
      </c>
      <c r="G23" s="9">
        <v>14479</v>
      </c>
      <c r="H23" s="9">
        <v>18195</v>
      </c>
      <c r="I23" s="9">
        <v>20436</v>
      </c>
      <c r="J23" s="9">
        <v>27327</v>
      </c>
      <c r="K23" s="9">
        <v>23709</v>
      </c>
      <c r="L23" s="9">
        <v>25085</v>
      </c>
      <c r="M23" s="9">
        <v>24252</v>
      </c>
      <c r="N23" s="9">
        <v>30320</v>
      </c>
      <c r="O23" s="9">
        <v>25335</v>
      </c>
      <c r="P23" s="9"/>
      <c r="Q23" s="9"/>
      <c r="R23" s="9"/>
      <c r="AC23" s="8">
        <f>9265+9702+10395+13383</f>
        <v>42745</v>
      </c>
      <c r="AD23" s="8">
        <f>SUM(C23:F23)</f>
        <v>53761</v>
      </c>
      <c r="AE23" s="8">
        <f>SUM(G23:J23)</f>
        <v>80437</v>
      </c>
      <c r="AF23" s="8">
        <f>SUM(K23:N23)</f>
        <v>103366</v>
      </c>
    </row>
    <row r="24" spans="1:32" s="8" customFormat="1">
      <c r="A24" s="8" t="s">
        <v>26</v>
      </c>
      <c r="B24" s="9">
        <v>3959</v>
      </c>
      <c r="C24" s="9">
        <v>4342</v>
      </c>
      <c r="D24" s="9">
        <v>4676</v>
      </c>
      <c r="E24" s="9">
        <v>4957</v>
      </c>
      <c r="F24" s="9">
        <v>5235</v>
      </c>
      <c r="G24" s="9">
        <v>5556</v>
      </c>
      <c r="H24" s="9">
        <v>6018</v>
      </c>
      <c r="I24" s="9">
        <v>6572</v>
      </c>
      <c r="J24" s="9">
        <v>7061</v>
      </c>
      <c r="K24" s="9">
        <v>7580</v>
      </c>
      <c r="L24" s="9">
        <v>7917</v>
      </c>
      <c r="M24" s="9">
        <v>8148</v>
      </c>
      <c r="N24" s="9">
        <v>8123</v>
      </c>
      <c r="O24" s="9">
        <v>8410</v>
      </c>
      <c r="P24" s="9"/>
      <c r="Q24" s="9"/>
      <c r="R24" s="9"/>
      <c r="AC24" s="8">
        <f>3102+3408+3698+3959</f>
        <v>14167</v>
      </c>
      <c r="AD24" s="8">
        <f>SUM(C24:F24)</f>
        <v>19210</v>
      </c>
      <c r="AE24" s="8">
        <f>SUM(G24:J24)</f>
        <v>25207</v>
      </c>
      <c r="AF24" s="8">
        <f>SUM(K24:N24)</f>
        <v>31768</v>
      </c>
    </row>
    <row r="25" spans="1:32" s="8" customFormat="1">
      <c r="A25" s="8" t="s">
        <v>27</v>
      </c>
      <c r="B25" s="9">
        <v>3388</v>
      </c>
      <c r="C25" s="9">
        <v>2716</v>
      </c>
      <c r="D25" s="9">
        <v>3002</v>
      </c>
      <c r="E25" s="9">
        <v>3586</v>
      </c>
      <c r="F25" s="9">
        <v>4782</v>
      </c>
      <c r="G25" s="9">
        <v>3906</v>
      </c>
      <c r="H25" s="9">
        <v>4221</v>
      </c>
      <c r="I25" s="9">
        <v>5398</v>
      </c>
      <c r="J25" s="9">
        <v>7350</v>
      </c>
      <c r="K25" s="9">
        <v>6381</v>
      </c>
      <c r="L25" s="9">
        <v>7451</v>
      </c>
      <c r="M25" s="9">
        <v>7612</v>
      </c>
      <c r="N25" s="9">
        <v>9716</v>
      </c>
      <c r="O25" s="9">
        <v>7877</v>
      </c>
      <c r="P25" s="9"/>
      <c r="Q25" s="9"/>
      <c r="R25" s="9"/>
      <c r="AC25" s="8">
        <f>2031+2194+2495+3388</f>
        <v>10108</v>
      </c>
      <c r="AD25" s="8">
        <f>SUM(C25:F25)</f>
        <v>14086</v>
      </c>
      <c r="AE25" s="8">
        <f>SUM(G25:J25)</f>
        <v>20875</v>
      </c>
      <c r="AF25" s="8">
        <f>SUM(K25:N25)</f>
        <v>31160</v>
      </c>
    </row>
    <row r="26" spans="1:32" s="8" customFormat="1">
      <c r="A26" s="8" t="s">
        <v>28</v>
      </c>
      <c r="B26" s="9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602</v>
      </c>
      <c r="K26" s="9">
        <v>524</v>
      </c>
      <c r="L26" s="9">
        <v>463</v>
      </c>
      <c r="M26" s="9">
        <v>479</v>
      </c>
      <c r="N26" s="9">
        <v>710</v>
      </c>
      <c r="O26" s="9">
        <v>661</v>
      </c>
      <c r="P26" s="9"/>
      <c r="Q26" s="9"/>
      <c r="R26" s="9"/>
      <c r="AD26" s="8">
        <f>SUM(C26:F26)</f>
        <v>0</v>
      </c>
      <c r="AE26" s="8">
        <f>SUM(G26:J26)</f>
        <v>602</v>
      </c>
      <c r="AF26" s="8">
        <f>SUM(K26:N26)</f>
        <v>2176</v>
      </c>
    </row>
    <row r="28" spans="1:32" s="8" customFormat="1">
      <c r="A28" s="8" t="s">
        <v>3</v>
      </c>
      <c r="B28" s="9">
        <v>44700</v>
      </c>
      <c r="C28" s="9">
        <v>34283</v>
      </c>
      <c r="D28" s="9">
        <v>35856</v>
      </c>
      <c r="E28" s="9">
        <v>39726</v>
      </c>
      <c r="F28" s="9">
        <v>50542</v>
      </c>
      <c r="G28" s="9">
        <v>41841</v>
      </c>
      <c r="H28" s="9">
        <v>50244</v>
      </c>
      <c r="I28" s="9">
        <v>52774</v>
      </c>
      <c r="J28" s="9">
        <v>71056</v>
      </c>
      <c r="K28" s="9">
        <v>57491</v>
      </c>
      <c r="L28" s="9">
        <v>58004</v>
      </c>
      <c r="M28" s="9">
        <v>54876</v>
      </c>
      <c r="N28" s="9">
        <v>71416</v>
      </c>
      <c r="O28" s="9">
        <v>56455</v>
      </c>
      <c r="P28" s="9"/>
      <c r="Q28" s="9"/>
      <c r="R28" s="9"/>
      <c r="AB28" s="8">
        <v>118573</v>
      </c>
      <c r="AC28" s="8">
        <v>141915</v>
      </c>
      <c r="AD28" s="8">
        <f>SUM(C28:F28)</f>
        <v>160407</v>
      </c>
      <c r="AE28" s="8">
        <f>SUM(G28:J28)</f>
        <v>215915</v>
      </c>
      <c r="AF28" s="8">
        <f>SUM(K28:N28)</f>
        <v>241787</v>
      </c>
    </row>
    <row r="29" spans="1:32" s="8" customFormat="1">
      <c r="A29" s="8" t="s">
        <v>4</v>
      </c>
      <c r="B29" s="9">
        <v>27683</v>
      </c>
      <c r="C29" s="9">
        <v>25417</v>
      </c>
      <c r="D29" s="9">
        <v>27548</v>
      </c>
      <c r="E29" s="9">
        <v>30255</v>
      </c>
      <c r="F29" s="9">
        <v>36895</v>
      </c>
      <c r="G29" s="9">
        <v>33611</v>
      </c>
      <c r="H29" s="9">
        <v>38668</v>
      </c>
      <c r="I29" s="9">
        <v>43371</v>
      </c>
      <c r="J29" s="9">
        <v>54499</v>
      </c>
      <c r="K29" s="9">
        <v>51027</v>
      </c>
      <c r="L29" s="9">
        <v>55076</v>
      </c>
      <c r="M29" s="9">
        <v>55936</v>
      </c>
      <c r="N29" s="9">
        <v>65996</v>
      </c>
      <c r="O29" s="9">
        <v>59989</v>
      </c>
      <c r="P29" s="9"/>
      <c r="Q29" s="9"/>
      <c r="R29" s="9"/>
      <c r="AB29" s="8">
        <v>59293</v>
      </c>
      <c r="AC29" s="8">
        <v>90972</v>
      </c>
      <c r="AD29" s="8">
        <f>SUM(C29:F29)</f>
        <v>120115</v>
      </c>
      <c r="AE29" s="8">
        <f>SUM(G29:J29)</f>
        <v>170149</v>
      </c>
      <c r="AF29" s="8">
        <f>SUM(K29:N29)</f>
        <v>228035</v>
      </c>
    </row>
    <row r="30" spans="1:32" s="8" customForma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32" s="10" customFormat="1">
      <c r="A31" s="10" t="s">
        <v>2</v>
      </c>
      <c r="B31" s="11">
        <f t="shared" ref="B31:N31" si="3">B28+B29</f>
        <v>72383</v>
      </c>
      <c r="C31" s="11">
        <f t="shared" si="3"/>
        <v>59700</v>
      </c>
      <c r="D31" s="11">
        <f t="shared" si="3"/>
        <v>63404</v>
      </c>
      <c r="E31" s="11">
        <f t="shared" si="3"/>
        <v>69981</v>
      </c>
      <c r="F31" s="11">
        <f t="shared" si="3"/>
        <v>87437</v>
      </c>
      <c r="G31" s="11">
        <f t="shared" si="3"/>
        <v>75452</v>
      </c>
      <c r="H31" s="11">
        <f t="shared" si="3"/>
        <v>88912</v>
      </c>
      <c r="I31" s="11">
        <f t="shared" si="3"/>
        <v>96145</v>
      </c>
      <c r="J31" s="11">
        <f t="shared" si="3"/>
        <v>125555</v>
      </c>
      <c r="K31" s="11">
        <f t="shared" si="3"/>
        <v>108518</v>
      </c>
      <c r="L31" s="11">
        <f t="shared" si="3"/>
        <v>113080</v>
      </c>
      <c r="M31" s="11">
        <f t="shared" si="3"/>
        <v>110812</v>
      </c>
      <c r="N31" s="11">
        <f t="shared" si="3"/>
        <v>137412</v>
      </c>
      <c r="O31" s="11">
        <f>O28+O29</f>
        <v>116444</v>
      </c>
      <c r="P31" s="11">
        <f t="shared" ref="P31:V31" si="4">P28+P29</f>
        <v>0</v>
      </c>
      <c r="Q31" s="11">
        <f t="shared" si="4"/>
        <v>0</v>
      </c>
      <c r="R31" s="11">
        <f t="shared" si="4"/>
        <v>0</v>
      </c>
      <c r="S31" s="11">
        <f t="shared" si="4"/>
        <v>0</v>
      </c>
      <c r="T31" s="11">
        <f t="shared" si="4"/>
        <v>0</v>
      </c>
      <c r="U31" s="11">
        <f t="shared" si="4"/>
        <v>0</v>
      </c>
      <c r="V31" s="11">
        <f t="shared" si="4"/>
        <v>0</v>
      </c>
      <c r="Y31" s="10">
        <f>+Y13+Y16+Y19</f>
        <v>88988</v>
      </c>
      <c r="Z31" s="10">
        <f t="shared" ref="Z31:AA31" si="5">+Z13+Z16+Z19</f>
        <v>107006</v>
      </c>
      <c r="AA31" s="10">
        <f t="shared" si="5"/>
        <v>135987</v>
      </c>
      <c r="AB31" s="11">
        <f t="shared" ref="AB31:AC31" si="6">AB28+AB29</f>
        <v>177866</v>
      </c>
      <c r="AC31" s="11">
        <f t="shared" si="6"/>
        <v>232887</v>
      </c>
      <c r="AD31" s="11">
        <f>AD28+AD29</f>
        <v>280522</v>
      </c>
      <c r="AE31" s="11">
        <f>AE28+AE29</f>
        <v>386064</v>
      </c>
      <c r="AF31" s="11">
        <f>AF28+AF29</f>
        <v>469822</v>
      </c>
    </row>
    <row r="32" spans="1:32" s="10" customFormat="1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AB32" s="11"/>
      <c r="AC32" s="11"/>
      <c r="AD32" s="11"/>
      <c r="AE32" s="11"/>
      <c r="AF32" s="11"/>
    </row>
    <row r="33" spans="1:32" s="8" customFormat="1">
      <c r="A33" s="8" t="s">
        <v>5</v>
      </c>
      <c r="B33" s="9">
        <v>44786</v>
      </c>
      <c r="C33" s="9">
        <v>33920</v>
      </c>
      <c r="D33" s="9">
        <v>36337</v>
      </c>
      <c r="E33" s="9">
        <v>41302</v>
      </c>
      <c r="F33" s="9">
        <v>53977</v>
      </c>
      <c r="G33" s="9">
        <v>44257</v>
      </c>
      <c r="H33" s="9">
        <v>52660</v>
      </c>
      <c r="I33" s="9">
        <v>57106</v>
      </c>
      <c r="J33" s="9">
        <v>79284</v>
      </c>
      <c r="K33" s="9">
        <v>62403</v>
      </c>
      <c r="L33" s="9">
        <v>64176</v>
      </c>
      <c r="M33" s="9">
        <v>62930</v>
      </c>
      <c r="N33" s="9">
        <v>82835</v>
      </c>
      <c r="O33" s="9">
        <v>66499</v>
      </c>
      <c r="P33" s="9"/>
      <c r="Q33" s="9"/>
      <c r="R33" s="9"/>
      <c r="Y33" s="8">
        <v>62752</v>
      </c>
      <c r="Z33" s="8">
        <v>71651</v>
      </c>
      <c r="AA33" s="8">
        <v>88265</v>
      </c>
      <c r="AB33" s="8">
        <v>111934</v>
      </c>
      <c r="AC33" s="8">
        <v>139156</v>
      </c>
      <c r="AD33" s="8">
        <f>SUM(C33:F33)</f>
        <v>165536</v>
      </c>
      <c r="AE33" s="8">
        <f>SUM(G33:J33)</f>
        <v>233307</v>
      </c>
      <c r="AF33" s="8">
        <f>SUM(K33:N33)</f>
        <v>272344</v>
      </c>
    </row>
    <row r="34" spans="1:32" s="8" customFormat="1">
      <c r="A34" s="8" t="s">
        <v>6</v>
      </c>
      <c r="B34" s="9">
        <v>10028</v>
      </c>
      <c r="C34" s="9">
        <v>8601</v>
      </c>
      <c r="D34" s="9">
        <v>9271</v>
      </c>
      <c r="E34" s="9">
        <v>10167</v>
      </c>
      <c r="F34" s="9">
        <v>12192</v>
      </c>
      <c r="G34" s="9">
        <v>11531</v>
      </c>
      <c r="H34" s="9">
        <v>13806</v>
      </c>
      <c r="I34" s="9">
        <v>14705</v>
      </c>
      <c r="J34" s="9">
        <v>18474</v>
      </c>
      <c r="K34" s="9">
        <v>16530</v>
      </c>
      <c r="L34" s="9">
        <v>17638</v>
      </c>
      <c r="M34" s="9">
        <v>18498</v>
      </c>
      <c r="N34" s="9">
        <v>22445</v>
      </c>
      <c r="O34" s="9">
        <v>20271</v>
      </c>
      <c r="P34" s="9"/>
      <c r="Q34" s="9"/>
      <c r="R34" s="9"/>
      <c r="Y34" s="8">
        <v>10766</v>
      </c>
      <c r="Z34" s="8">
        <v>13410</v>
      </c>
      <c r="AA34" s="8">
        <v>17619</v>
      </c>
      <c r="AB34" s="8">
        <v>25249</v>
      </c>
      <c r="AC34" s="8">
        <v>34027</v>
      </c>
      <c r="AD34" s="8">
        <f>SUM(C34:F34)</f>
        <v>40231</v>
      </c>
      <c r="AE34" s="8">
        <f>SUM(G34:J34)</f>
        <v>58516</v>
      </c>
      <c r="AF34" s="8">
        <f>SUM(K34:N34)</f>
        <v>75111</v>
      </c>
    </row>
    <row r="35" spans="1:32" s="8" customFormat="1">
      <c r="A35" s="8" t="s">
        <v>12</v>
      </c>
      <c r="B35" s="9">
        <f t="shared" ref="B35" si="7">B31-B33-B34</f>
        <v>17569</v>
      </c>
      <c r="C35" s="9">
        <f>C31-C33-C34</f>
        <v>17179</v>
      </c>
      <c r="D35" s="9">
        <f t="shared" ref="D35" si="8">D31-D33-D34</f>
        <v>17796</v>
      </c>
      <c r="E35" s="9">
        <f>E31-E33-E34</f>
        <v>18512</v>
      </c>
      <c r="F35" s="9">
        <f t="shared" ref="F35:H35" si="9">F31-F33-F34</f>
        <v>21268</v>
      </c>
      <c r="G35" s="9">
        <f t="shared" si="9"/>
        <v>19664</v>
      </c>
      <c r="H35" s="9">
        <f t="shared" si="9"/>
        <v>22446</v>
      </c>
      <c r="I35" s="9">
        <f>I31-I33-I34</f>
        <v>24334</v>
      </c>
      <c r="J35" s="9">
        <f t="shared" ref="J35" si="10">J31-J33-J34</f>
        <v>27797</v>
      </c>
      <c r="K35" s="9">
        <f>K31-K33-K34</f>
        <v>29585</v>
      </c>
      <c r="L35" s="9">
        <f t="shared" ref="L35:O35" si="11">L31-L33-L34</f>
        <v>31266</v>
      </c>
      <c r="M35" s="9">
        <f t="shared" si="11"/>
        <v>29384</v>
      </c>
      <c r="N35" s="9">
        <f t="shared" si="11"/>
        <v>32132</v>
      </c>
      <c r="O35" s="9">
        <f t="shared" si="11"/>
        <v>29674</v>
      </c>
      <c r="P35" s="9"/>
      <c r="Q35" s="9"/>
      <c r="R35" s="9"/>
      <c r="Y35" s="9">
        <f t="shared" ref="Y35:AF35" si="12">Y31-Y33-Y34</f>
        <v>15470</v>
      </c>
      <c r="Z35" s="9">
        <f t="shared" si="12"/>
        <v>21945</v>
      </c>
      <c r="AA35" s="9">
        <f t="shared" si="12"/>
        <v>30103</v>
      </c>
      <c r="AB35" s="9">
        <f t="shared" si="12"/>
        <v>40683</v>
      </c>
      <c r="AC35" s="9">
        <f t="shared" si="12"/>
        <v>59704</v>
      </c>
      <c r="AD35" s="9">
        <f t="shared" si="12"/>
        <v>74755</v>
      </c>
      <c r="AE35" s="9">
        <f t="shared" si="12"/>
        <v>94241</v>
      </c>
      <c r="AF35" s="9">
        <f t="shared" si="12"/>
        <v>122367</v>
      </c>
    </row>
    <row r="36" spans="1:32" s="8" customFormat="1">
      <c r="A36" s="8" t="s">
        <v>7</v>
      </c>
      <c r="B36" s="9">
        <v>7669</v>
      </c>
      <c r="C36" s="9">
        <v>7927</v>
      </c>
      <c r="D36" s="9">
        <v>9065</v>
      </c>
      <c r="E36" s="9">
        <v>9200</v>
      </c>
      <c r="F36" s="9">
        <v>9740</v>
      </c>
      <c r="G36" s="9">
        <v>9325</v>
      </c>
      <c r="H36" s="9">
        <v>10388</v>
      </c>
      <c r="I36" s="9">
        <v>10976</v>
      </c>
      <c r="J36" s="9">
        <v>12049</v>
      </c>
      <c r="K36" s="9">
        <v>12488</v>
      </c>
      <c r="L36" s="9">
        <v>13871</v>
      </c>
      <c r="M36" s="9">
        <v>14380</v>
      </c>
      <c r="N36" s="9">
        <v>15313</v>
      </c>
      <c r="O36" s="9">
        <v>14842</v>
      </c>
      <c r="P36" s="9"/>
      <c r="Q36" s="9"/>
      <c r="R36" s="9"/>
      <c r="Y36" s="8">
        <v>9275</v>
      </c>
      <c r="Z36" s="8">
        <v>12540</v>
      </c>
      <c r="AA36" s="8">
        <v>16085</v>
      </c>
      <c r="AB36" s="8">
        <v>22620</v>
      </c>
      <c r="AC36" s="8">
        <v>28837</v>
      </c>
      <c r="AD36" s="8">
        <f>SUM(C36:F36)</f>
        <v>35932</v>
      </c>
      <c r="AE36" s="8">
        <f>SUM(G36:J36)</f>
        <v>42738</v>
      </c>
      <c r="AF36" s="8">
        <f>SUM(K36:N36)</f>
        <v>56052</v>
      </c>
    </row>
    <row r="37" spans="1:32" s="8" customFormat="1">
      <c r="A37" s="8" t="s">
        <v>8</v>
      </c>
      <c r="B37" s="9">
        <v>4911</v>
      </c>
      <c r="C37" s="9">
        <v>3664</v>
      </c>
      <c r="D37" s="9">
        <v>4291</v>
      </c>
      <c r="E37" s="9">
        <v>4752</v>
      </c>
      <c r="F37" s="9">
        <v>6172</v>
      </c>
      <c r="G37" s="9">
        <v>4828</v>
      </c>
      <c r="H37" s="9">
        <v>4345</v>
      </c>
      <c r="I37" s="9">
        <v>5434</v>
      </c>
      <c r="J37" s="9">
        <v>7403</v>
      </c>
      <c r="K37" s="9">
        <v>6207</v>
      </c>
      <c r="L37" s="9">
        <v>7524</v>
      </c>
      <c r="M37" s="9">
        <v>8010</v>
      </c>
      <c r="N37" s="9">
        <v>10810</v>
      </c>
      <c r="O37" s="9">
        <v>8320</v>
      </c>
      <c r="P37" s="9"/>
      <c r="Q37" s="9"/>
      <c r="R37" s="9"/>
      <c r="Y37" s="8">
        <v>4332</v>
      </c>
      <c r="Z37" s="8">
        <v>5254</v>
      </c>
      <c r="AA37" s="8">
        <v>7233</v>
      </c>
      <c r="AB37" s="8">
        <v>10069</v>
      </c>
      <c r="AC37" s="8">
        <v>13814</v>
      </c>
      <c r="AD37" s="8">
        <f>SUM(C37:F37)</f>
        <v>18879</v>
      </c>
      <c r="AE37" s="8">
        <f>SUM(G37:J37)</f>
        <v>22010</v>
      </c>
      <c r="AF37" s="8">
        <f>SUM(K37:N37)</f>
        <v>32551</v>
      </c>
    </row>
    <row r="38" spans="1:32">
      <c r="A38" s="8" t="s">
        <v>9</v>
      </c>
      <c r="B38" s="9">
        <v>1117</v>
      </c>
      <c r="C38" s="9">
        <v>1173</v>
      </c>
      <c r="D38" s="9">
        <v>1270</v>
      </c>
      <c r="E38" s="9">
        <v>1348</v>
      </c>
      <c r="F38" s="9">
        <v>1412</v>
      </c>
      <c r="G38" s="9">
        <v>1452</v>
      </c>
      <c r="H38" s="9">
        <v>1580</v>
      </c>
      <c r="I38" s="9">
        <v>1668</v>
      </c>
      <c r="J38" s="9">
        <v>1968</v>
      </c>
      <c r="K38" s="9">
        <v>1987</v>
      </c>
      <c r="L38" s="9">
        <v>2158</v>
      </c>
      <c r="M38" s="9">
        <v>2153</v>
      </c>
      <c r="N38" s="9">
        <v>2525</v>
      </c>
      <c r="O38" s="9">
        <v>2594</v>
      </c>
      <c r="Y38" s="8">
        <v>1552</v>
      </c>
      <c r="Z38" s="8">
        <v>1747</v>
      </c>
      <c r="AA38" s="8">
        <v>2432</v>
      </c>
      <c r="AB38" s="8">
        <v>3674</v>
      </c>
      <c r="AC38" s="8">
        <v>4336</v>
      </c>
      <c r="AD38" s="8">
        <f>SUM(C38:F38)</f>
        <v>5203</v>
      </c>
      <c r="AE38" s="8">
        <f>SUM(G38:J38)</f>
        <v>6668</v>
      </c>
      <c r="AF38" s="8">
        <f>SUM(K38:N38)</f>
        <v>8823</v>
      </c>
    </row>
    <row r="39" spans="1:32">
      <c r="A39" s="8" t="s">
        <v>10</v>
      </c>
      <c r="B39" s="9">
        <f t="shared" ref="B39" si="13">SUM(B36:B38)</f>
        <v>13697</v>
      </c>
      <c r="C39" s="9">
        <f>SUM(C36:C38)</f>
        <v>12764</v>
      </c>
      <c r="D39" s="9">
        <f t="shared" ref="D39" si="14">SUM(D36:D38)</f>
        <v>14626</v>
      </c>
      <c r="E39" s="9">
        <f>SUM(E36:E38)</f>
        <v>15300</v>
      </c>
      <c r="F39" s="9">
        <f t="shared" ref="F39:H39" si="15">SUM(F36:F38)</f>
        <v>17324</v>
      </c>
      <c r="G39" s="9">
        <f t="shared" si="15"/>
        <v>15605</v>
      </c>
      <c r="H39" s="9">
        <f t="shared" si="15"/>
        <v>16313</v>
      </c>
      <c r="I39" s="9">
        <f>SUM(I36:I38)</f>
        <v>18078</v>
      </c>
      <c r="J39" s="9">
        <f t="shared" ref="J39" si="16">SUM(J36:J38)</f>
        <v>21420</v>
      </c>
      <c r="K39" s="9">
        <f>SUM(K36:K38)</f>
        <v>20682</v>
      </c>
      <c r="L39" s="9">
        <f t="shared" ref="L39:O39" si="17">SUM(L36:L38)</f>
        <v>23553</v>
      </c>
      <c r="M39" s="9">
        <f t="shared" si="17"/>
        <v>24543</v>
      </c>
      <c r="N39" s="9">
        <f t="shared" si="17"/>
        <v>28648</v>
      </c>
      <c r="O39" s="9">
        <f t="shared" si="17"/>
        <v>25756</v>
      </c>
      <c r="Y39" s="9">
        <f t="shared" ref="Y39:AF39" si="18">SUM(Y36:Y38)</f>
        <v>15159</v>
      </c>
      <c r="Z39" s="9">
        <f t="shared" si="18"/>
        <v>19541</v>
      </c>
      <c r="AA39" s="9">
        <f t="shared" si="18"/>
        <v>25750</v>
      </c>
      <c r="AB39" s="9">
        <f t="shared" si="18"/>
        <v>36363</v>
      </c>
      <c r="AC39" s="9">
        <f t="shared" si="18"/>
        <v>46987</v>
      </c>
      <c r="AD39" s="9">
        <f t="shared" si="18"/>
        <v>60014</v>
      </c>
      <c r="AE39" s="9">
        <f t="shared" si="18"/>
        <v>71416</v>
      </c>
      <c r="AF39" s="9">
        <f t="shared" si="18"/>
        <v>97426</v>
      </c>
    </row>
    <row r="40" spans="1:32">
      <c r="A40" s="8" t="s">
        <v>11</v>
      </c>
      <c r="B40" s="9">
        <f t="shared" ref="B40" si="19">B35-B39</f>
        <v>3872</v>
      </c>
      <c r="C40" s="9">
        <f>C35-C39</f>
        <v>4415</v>
      </c>
      <c r="D40" s="9">
        <f t="shared" ref="D40" si="20">D35-D39</f>
        <v>3170</v>
      </c>
      <c r="E40" s="9">
        <f>E35-E39</f>
        <v>3212</v>
      </c>
      <c r="F40" s="9">
        <f t="shared" ref="F40:H40" si="21">F35-F39</f>
        <v>3944</v>
      </c>
      <c r="G40" s="9">
        <f t="shared" si="21"/>
        <v>4059</v>
      </c>
      <c r="H40" s="9">
        <f t="shared" si="21"/>
        <v>6133</v>
      </c>
      <c r="I40" s="9">
        <f>I35-I39</f>
        <v>6256</v>
      </c>
      <c r="J40" s="9">
        <f t="shared" ref="J40" si="22">J35-J39</f>
        <v>6377</v>
      </c>
      <c r="K40" s="9">
        <f>K35-K39</f>
        <v>8903</v>
      </c>
      <c r="L40" s="9">
        <f t="shared" ref="L40:O40" si="23">L35-L39</f>
        <v>7713</v>
      </c>
      <c r="M40" s="9">
        <f t="shared" si="23"/>
        <v>4841</v>
      </c>
      <c r="N40" s="9">
        <f t="shared" si="23"/>
        <v>3484</v>
      </c>
      <c r="O40" s="9">
        <f t="shared" si="23"/>
        <v>3918</v>
      </c>
      <c r="Y40" s="9">
        <f t="shared" ref="Y40:AF40" si="24">Y35-Y39</f>
        <v>311</v>
      </c>
      <c r="Z40" s="9">
        <f t="shared" si="24"/>
        <v>2404</v>
      </c>
      <c r="AA40" s="9">
        <f t="shared" si="24"/>
        <v>4353</v>
      </c>
      <c r="AB40" s="9">
        <f t="shared" si="24"/>
        <v>4320</v>
      </c>
      <c r="AC40" s="9">
        <f t="shared" si="24"/>
        <v>12717</v>
      </c>
      <c r="AD40" s="9">
        <f t="shared" si="24"/>
        <v>14741</v>
      </c>
      <c r="AE40" s="9">
        <f t="shared" si="24"/>
        <v>22825</v>
      </c>
      <c r="AF40" s="9">
        <f t="shared" si="24"/>
        <v>24941</v>
      </c>
    </row>
    <row r="41" spans="1:32" s="8" customFormat="1">
      <c r="A41" s="8" t="s">
        <v>14</v>
      </c>
      <c r="B41" s="9">
        <f>-86+150-387-199</f>
        <v>-522</v>
      </c>
      <c r="C41" s="9">
        <f>5+183-366+164</f>
        <v>-14</v>
      </c>
      <c r="D41" s="9">
        <f>-86+215-383-27</f>
        <v>-281</v>
      </c>
      <c r="E41" s="9">
        <f>-55+224-396-353</f>
        <v>-580</v>
      </c>
      <c r="F41" s="9">
        <f>-65+211-455+418</f>
        <v>109</v>
      </c>
      <c r="G41" s="9">
        <f>-70+202-402-406</f>
        <v>-676</v>
      </c>
      <c r="H41" s="9">
        <f>-290+135-403+646</f>
        <v>88</v>
      </c>
      <c r="I41" s="9">
        <f>-62+118-428+925</f>
        <v>553</v>
      </c>
      <c r="J41" s="9">
        <f>496+100-414+1206</f>
        <v>1388</v>
      </c>
      <c r="K41" s="9">
        <f>-38+105-399+1697</f>
        <v>1365</v>
      </c>
      <c r="L41" s="9">
        <f>-11+106-435+1261</f>
        <v>921</v>
      </c>
      <c r="M41" s="9">
        <f>11+119-493-163</f>
        <v>-526</v>
      </c>
      <c r="N41" s="9">
        <f>-24+118-482+11838</f>
        <v>11450</v>
      </c>
      <c r="O41" s="9">
        <f>-249+108-472-8570</f>
        <v>-9183</v>
      </c>
      <c r="P41" s="9"/>
      <c r="Q41" s="9"/>
      <c r="R41" s="9"/>
      <c r="Y41" s="8">
        <f>-133+39-210-118</f>
        <v>-422</v>
      </c>
      <c r="Z41" s="8">
        <f>-171+50-459-256</f>
        <v>-836</v>
      </c>
      <c r="AA41" s="8">
        <f>-167+100-484+90</f>
        <v>-461</v>
      </c>
      <c r="AB41" s="8">
        <f>-214+202-848+346</f>
        <v>-514</v>
      </c>
      <c r="AC41" s="8">
        <f>-296+440-1417-183</f>
        <v>-1456</v>
      </c>
      <c r="AD41" s="8">
        <f>SUM(C41:F41)</f>
        <v>-766</v>
      </c>
      <c r="AE41" s="8">
        <f>SUM(G41:J41)</f>
        <v>1353</v>
      </c>
      <c r="AF41" s="8">
        <f>SUM(K41:N41)</f>
        <v>13210</v>
      </c>
    </row>
    <row r="42" spans="1:32" s="8" customFormat="1">
      <c r="A42" s="8" t="s">
        <v>13</v>
      </c>
      <c r="B42" s="9">
        <f t="shared" ref="B42" si="25">B40+B41</f>
        <v>3350</v>
      </c>
      <c r="C42" s="9">
        <f>C40+C41</f>
        <v>4401</v>
      </c>
      <c r="D42" s="9">
        <f t="shared" ref="D42" si="26">D40+D41</f>
        <v>2889</v>
      </c>
      <c r="E42" s="9">
        <f>E40+E41</f>
        <v>2632</v>
      </c>
      <c r="F42" s="9">
        <f t="shared" ref="F42:H42" si="27">F40+F41</f>
        <v>4053</v>
      </c>
      <c r="G42" s="9">
        <f t="shared" si="27"/>
        <v>3383</v>
      </c>
      <c r="H42" s="9">
        <f t="shared" si="27"/>
        <v>6221</v>
      </c>
      <c r="I42" s="9">
        <f>I40+I41</f>
        <v>6809</v>
      </c>
      <c r="J42" s="9">
        <f t="shared" ref="J42" si="28">J40+J41</f>
        <v>7765</v>
      </c>
      <c r="K42" s="9">
        <f>K40+K41</f>
        <v>10268</v>
      </c>
      <c r="L42" s="9">
        <f t="shared" ref="L42:O42" si="29">L40+L41</f>
        <v>8634</v>
      </c>
      <c r="M42" s="9">
        <f t="shared" si="29"/>
        <v>4315</v>
      </c>
      <c r="N42" s="9">
        <f t="shared" si="29"/>
        <v>14934</v>
      </c>
      <c r="O42" s="9">
        <f t="shared" si="29"/>
        <v>-5265</v>
      </c>
      <c r="P42" s="9"/>
      <c r="Q42" s="9"/>
      <c r="R42" s="9"/>
      <c r="Y42" s="9">
        <f t="shared" ref="Y42:AF42" si="30">Y40+Y41</f>
        <v>-111</v>
      </c>
      <c r="Z42" s="9">
        <f t="shared" si="30"/>
        <v>1568</v>
      </c>
      <c r="AA42" s="9">
        <f t="shared" si="30"/>
        <v>3892</v>
      </c>
      <c r="AB42" s="9">
        <f t="shared" si="30"/>
        <v>3806</v>
      </c>
      <c r="AC42" s="9">
        <f t="shared" si="30"/>
        <v>11261</v>
      </c>
      <c r="AD42" s="9">
        <f t="shared" si="30"/>
        <v>13975</v>
      </c>
      <c r="AE42" s="9">
        <f t="shared" si="30"/>
        <v>24178</v>
      </c>
      <c r="AF42" s="9">
        <f t="shared" si="30"/>
        <v>38151</v>
      </c>
    </row>
    <row r="43" spans="1:32" s="8" customFormat="1">
      <c r="A43" s="8" t="s">
        <v>15</v>
      </c>
      <c r="B43" s="9">
        <f>327-4</f>
        <v>323</v>
      </c>
      <c r="C43" s="9">
        <f>836+4</f>
        <v>840</v>
      </c>
      <c r="D43" s="9">
        <f>257+7</f>
        <v>264</v>
      </c>
      <c r="E43" s="9">
        <f>494+4</f>
        <v>498</v>
      </c>
      <c r="F43" s="9">
        <f>786-1</f>
        <v>785</v>
      </c>
      <c r="G43" s="9">
        <f>744+104</f>
        <v>848</v>
      </c>
      <c r="H43" s="9">
        <f>984-6</f>
        <v>978</v>
      </c>
      <c r="I43" s="9">
        <f>569-91</f>
        <v>478</v>
      </c>
      <c r="J43" s="9">
        <f>566-23</f>
        <v>543</v>
      </c>
      <c r="K43" s="9">
        <f>2156+5</f>
        <v>2161</v>
      </c>
      <c r="L43" s="9">
        <f>868-12</f>
        <v>856</v>
      </c>
      <c r="M43" s="9">
        <f>1155+4</f>
        <v>1159</v>
      </c>
      <c r="N43" s="9">
        <f>612-1</f>
        <v>611</v>
      </c>
      <c r="O43" s="9">
        <f>-1422+1</f>
        <v>-1421</v>
      </c>
      <c r="P43" s="9"/>
      <c r="Q43" s="9"/>
      <c r="R43" s="9"/>
      <c r="Y43" s="8">
        <f>167-37</f>
        <v>130</v>
      </c>
      <c r="Z43" s="8">
        <f>950+22</f>
        <v>972</v>
      </c>
      <c r="AA43" s="8">
        <f>1425+96</f>
        <v>1521</v>
      </c>
      <c r="AB43" s="8">
        <f>769+4</f>
        <v>773</v>
      </c>
      <c r="AC43" s="8">
        <f>1197-9</f>
        <v>1188</v>
      </c>
      <c r="AD43" s="8">
        <f>SUM(C43:F43)</f>
        <v>2387</v>
      </c>
      <c r="AE43" s="8">
        <f>SUM(G43:J43)</f>
        <v>2847</v>
      </c>
      <c r="AF43" s="8">
        <f>SUM(K43:N43)</f>
        <v>4787</v>
      </c>
    </row>
    <row r="44" spans="1:32" s="8" customFormat="1">
      <c r="A44" s="8" t="s">
        <v>16</v>
      </c>
      <c r="B44" s="9">
        <f t="shared" ref="B44" si="31">B42-B43</f>
        <v>3027</v>
      </c>
      <c r="C44" s="9">
        <f>C42-C43</f>
        <v>3561</v>
      </c>
      <c r="D44" s="9">
        <f t="shared" ref="D44" si="32">D42-D43</f>
        <v>2625</v>
      </c>
      <c r="E44" s="9">
        <f>E42-E43</f>
        <v>2134</v>
      </c>
      <c r="F44" s="9">
        <f t="shared" ref="F44:H44" si="33">F42-F43</f>
        <v>3268</v>
      </c>
      <c r="G44" s="9">
        <f t="shared" si="33"/>
        <v>2535</v>
      </c>
      <c r="H44" s="9">
        <f t="shared" si="33"/>
        <v>5243</v>
      </c>
      <c r="I44" s="9">
        <f>I42-I43</f>
        <v>6331</v>
      </c>
      <c r="J44" s="9">
        <f t="shared" ref="J44" si="34">J42-J43</f>
        <v>7222</v>
      </c>
      <c r="K44" s="9">
        <f>K42-K43</f>
        <v>8107</v>
      </c>
      <c r="L44" s="9">
        <f t="shared" ref="L44:O44" si="35">L42-L43</f>
        <v>7778</v>
      </c>
      <c r="M44" s="9">
        <f t="shared" si="35"/>
        <v>3156</v>
      </c>
      <c r="N44" s="9">
        <f t="shared" si="35"/>
        <v>14323</v>
      </c>
      <c r="O44" s="9">
        <f t="shared" si="35"/>
        <v>-3844</v>
      </c>
      <c r="P44" s="9"/>
      <c r="Q44" s="9"/>
      <c r="R44" s="9"/>
      <c r="Y44" s="9">
        <f t="shared" ref="Y44:AF44" si="36">Y42-Y43</f>
        <v>-241</v>
      </c>
      <c r="Z44" s="9">
        <f t="shared" si="36"/>
        <v>596</v>
      </c>
      <c r="AA44" s="9">
        <f t="shared" si="36"/>
        <v>2371</v>
      </c>
      <c r="AB44" s="9">
        <f t="shared" si="36"/>
        <v>3033</v>
      </c>
      <c r="AC44" s="9">
        <f t="shared" si="36"/>
        <v>10073</v>
      </c>
      <c r="AD44" s="9">
        <f t="shared" si="36"/>
        <v>11588</v>
      </c>
      <c r="AE44" s="9">
        <f t="shared" si="36"/>
        <v>21331</v>
      </c>
      <c r="AF44" s="9">
        <f t="shared" si="36"/>
        <v>33364</v>
      </c>
    </row>
    <row r="45" spans="1:32">
      <c r="A45" s="8" t="s">
        <v>17</v>
      </c>
      <c r="B45" s="12">
        <f t="shared" ref="B45" si="37">B44/B46</f>
        <v>6.0419161676646711</v>
      </c>
      <c r="C45" s="12">
        <f>C44/C46</f>
        <v>7.0936254980079685</v>
      </c>
      <c r="D45" s="12">
        <f t="shared" ref="D45" si="38">D44/D46</f>
        <v>5.2186878727634198</v>
      </c>
      <c r="E45" s="12">
        <f>E44/E46</f>
        <v>4.2341269841269842</v>
      </c>
      <c r="F45" s="12">
        <f t="shared" ref="F45:H45" si="39">F44/F46</f>
        <v>6.4712871287128717</v>
      </c>
      <c r="G45" s="12">
        <f t="shared" si="39"/>
        <v>5.0098814229249014</v>
      </c>
      <c r="H45" s="12">
        <f t="shared" si="39"/>
        <v>10.300589390962672</v>
      </c>
      <c r="I45" s="12">
        <f>I44/I46</f>
        <v>12.365234375</v>
      </c>
      <c r="J45" s="12">
        <f t="shared" ref="J45" si="40">J44/J46</f>
        <v>14.077972709551657</v>
      </c>
      <c r="K45" s="12">
        <f>K44/K46</f>
        <v>15.803118908382066</v>
      </c>
      <c r="L45" s="12">
        <f>L44/L46</f>
        <v>15.132295719844358</v>
      </c>
      <c r="M45" s="12">
        <f>M44/M46</f>
        <v>6.1281553398058248</v>
      </c>
      <c r="N45" s="12">
        <f>N44/N46</f>
        <v>27.757751937984494</v>
      </c>
      <c r="O45" s="12">
        <f>O44/O46</f>
        <v>-7.5520628683693518</v>
      </c>
      <c r="P45" s="12"/>
      <c r="Y45" s="12">
        <f t="shared" ref="Y45:AD45" si="41">Y44/Y46</f>
        <v>-0.52164502164502169</v>
      </c>
      <c r="Z45" s="12">
        <f t="shared" si="41"/>
        <v>1.249475890985325</v>
      </c>
      <c r="AA45" s="12">
        <f t="shared" si="41"/>
        <v>4.8987603305785123</v>
      </c>
      <c r="AB45" s="12">
        <f t="shared" si="41"/>
        <v>6.1521298174442194</v>
      </c>
      <c r="AC45" s="12">
        <f t="shared" si="41"/>
        <v>20.146000000000001</v>
      </c>
      <c r="AD45" s="12">
        <f t="shared" si="41"/>
        <v>23.014895729890764</v>
      </c>
      <c r="AE45" s="12">
        <f>AE44/AE46</f>
        <v>41.825490196078434</v>
      </c>
      <c r="AF45" s="12">
        <f>AF44/AF46</f>
        <v>64.847424684159378</v>
      </c>
    </row>
    <row r="46" spans="1:32">
      <c r="A46" s="8" t="s">
        <v>1</v>
      </c>
      <c r="B46" s="4">
        <v>501</v>
      </c>
      <c r="C46" s="4">
        <v>502</v>
      </c>
      <c r="D46" s="4">
        <v>503</v>
      </c>
      <c r="E46" s="4">
        <v>504</v>
      </c>
      <c r="F46" s="4">
        <v>505</v>
      </c>
      <c r="G46" s="4">
        <v>506</v>
      </c>
      <c r="H46" s="4">
        <v>509</v>
      </c>
      <c r="I46" s="4">
        <v>512</v>
      </c>
      <c r="J46" s="4">
        <v>513</v>
      </c>
      <c r="K46" s="4">
        <v>513</v>
      </c>
      <c r="L46" s="4">
        <v>514</v>
      </c>
      <c r="M46" s="4">
        <v>515</v>
      </c>
      <c r="N46" s="4">
        <v>516</v>
      </c>
      <c r="O46" s="4">
        <v>509</v>
      </c>
      <c r="Y46" s="5">
        <v>462</v>
      </c>
      <c r="Z46" s="5">
        <v>477</v>
      </c>
      <c r="AA46" s="5">
        <v>484</v>
      </c>
      <c r="AB46" s="9">
        <v>493</v>
      </c>
      <c r="AC46" s="9">
        <v>500</v>
      </c>
      <c r="AD46" s="9">
        <f>AVERAGE(C46:F46)</f>
        <v>503.5</v>
      </c>
      <c r="AE46" s="9">
        <f>AVERAGE(G46:J46)</f>
        <v>510</v>
      </c>
      <c r="AF46" s="9">
        <f>AVERAGE(K46:N46)</f>
        <v>514.5</v>
      </c>
    </row>
    <row r="48" spans="1:32" s="15" customFormat="1">
      <c r="A48" s="10" t="s">
        <v>21</v>
      </c>
      <c r="B48" s="13"/>
      <c r="C48" s="13"/>
      <c r="D48" s="13"/>
      <c r="E48" s="13"/>
      <c r="F48" s="14">
        <f>F31/B31-1</f>
        <v>0.20797701117665746</v>
      </c>
      <c r="G48" s="14">
        <f>G31/C31-1</f>
        <v>0.26385259631490787</v>
      </c>
      <c r="H48" s="14">
        <f t="shared" ref="H48:N48" si="42">H31/D31-1</f>
        <v>0.40230900258658764</v>
      </c>
      <c r="I48" s="14">
        <f t="shared" si="42"/>
        <v>0.37387290836084075</v>
      </c>
      <c r="J48" s="14">
        <f t="shared" si="42"/>
        <v>0.43594816839553041</v>
      </c>
      <c r="K48" s="14">
        <f t="shared" si="42"/>
        <v>0.43823888034777081</v>
      </c>
      <c r="L48" s="14">
        <f t="shared" si="42"/>
        <v>0.27181932697498645</v>
      </c>
      <c r="M48" s="14">
        <f t="shared" si="42"/>
        <v>0.15255083467679031</v>
      </c>
      <c r="N48" s="14">
        <f t="shared" si="42"/>
        <v>9.4436701047349692E-2</v>
      </c>
      <c r="O48" s="14">
        <f>O31/K31-1</f>
        <v>7.3038574245747334E-2</v>
      </c>
      <c r="P48" s="13"/>
      <c r="Q48" s="13"/>
      <c r="R48" s="13"/>
      <c r="Y48" s="16">
        <v>0.2</v>
      </c>
      <c r="Z48" s="16">
        <f>Z31/Y31-1</f>
        <v>0.20247673843664304</v>
      </c>
      <c r="AA48" s="16">
        <f>AA31/Z31-1</f>
        <v>0.27083528026465808</v>
      </c>
      <c r="AB48" s="16">
        <f>AB31/AA31-1</f>
        <v>0.30796326119408479</v>
      </c>
      <c r="AC48" s="16">
        <f t="shared" ref="AC48:AE48" si="43">AC31/AB31-1</f>
        <v>0.3093396152159491</v>
      </c>
      <c r="AD48" s="16">
        <f t="shared" si="43"/>
        <v>0.20454125820676983</v>
      </c>
      <c r="AE48" s="16">
        <f t="shared" si="43"/>
        <v>0.37623430604373276</v>
      </c>
      <c r="AF48" s="16">
        <f>AF31/AE31-1</f>
        <v>0.21695366571345676</v>
      </c>
    </row>
    <row r="49" spans="1:32">
      <c r="A49" s="8" t="s">
        <v>30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AC49" s="18"/>
      <c r="AD49" s="18">
        <f t="shared" ref="AD49:AE49" si="44">AD21/AC21-1</f>
        <v>0.14847097660728359</v>
      </c>
      <c r="AE49" s="18">
        <f t="shared" si="44"/>
        <v>0.39719073679440986</v>
      </c>
      <c r="AF49" s="18">
        <f>AF21/AE21-1</f>
        <v>0.12529072860769497</v>
      </c>
    </row>
    <row r="50" spans="1:32">
      <c r="A50" s="8" t="s">
        <v>31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AC50" s="18"/>
      <c r="AD50" s="18">
        <f t="shared" ref="AD50:AF52" si="45">AD23/AC23-1</f>
        <v>0.25771435255585451</v>
      </c>
      <c r="AE50" s="18">
        <f t="shared" si="45"/>
        <v>0.4961961273041795</v>
      </c>
      <c r="AF50" s="18">
        <f>AF23/AE23-1</f>
        <v>0.28505538495965776</v>
      </c>
    </row>
    <row r="51" spans="1:32">
      <c r="A51" s="8" t="s">
        <v>32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AC51" s="18"/>
      <c r="AD51" s="18">
        <f t="shared" si="45"/>
        <v>0.35596809486835612</v>
      </c>
      <c r="AE51" s="18">
        <f t="shared" si="45"/>
        <v>0.31218115564810001</v>
      </c>
      <c r="AF51" s="18">
        <f>AF24/AE24-1</f>
        <v>0.26028484151227826</v>
      </c>
    </row>
    <row r="52" spans="1:32">
      <c r="A52" s="8" t="s">
        <v>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AC52" s="18"/>
      <c r="AD52" s="18">
        <f t="shared" si="45"/>
        <v>0.39354966363276622</v>
      </c>
      <c r="AE52" s="18">
        <f t="shared" si="45"/>
        <v>0.4819679114013915</v>
      </c>
      <c r="AF52" s="18">
        <f t="shared" si="45"/>
        <v>0.49269461077844312</v>
      </c>
    </row>
    <row r="53" spans="1:32">
      <c r="A53" s="8" t="s">
        <v>22</v>
      </c>
      <c r="F53" s="17">
        <f t="shared" ref="F53:N53" si="46">F19/B19-1</f>
        <v>0.33970390309555865</v>
      </c>
      <c r="G53" s="17">
        <f t="shared" si="46"/>
        <v>0.32783264033264037</v>
      </c>
      <c r="H53" s="17">
        <f t="shared" si="46"/>
        <v>0.28958358191146649</v>
      </c>
      <c r="I53" s="17">
        <f t="shared" si="46"/>
        <v>0.28971650917176217</v>
      </c>
      <c r="J53" s="17">
        <f t="shared" si="46"/>
        <v>0.28008840667068524</v>
      </c>
      <c r="K53" s="17">
        <f t="shared" si="46"/>
        <v>0.32136216850963883</v>
      </c>
      <c r="L53" s="17">
        <f t="shared" si="46"/>
        <v>0.37018874907475952</v>
      </c>
      <c r="M53" s="17">
        <f t="shared" si="46"/>
        <v>0.3886733902249806</v>
      </c>
      <c r="N53" s="17">
        <f t="shared" si="46"/>
        <v>0.39538533982106427</v>
      </c>
      <c r="O53" s="17">
        <f>O19/K19-1</f>
        <v>0.36569651188624741</v>
      </c>
      <c r="Z53" s="18">
        <f t="shared" ref="Z53:AE53" si="47">Z19/Y19-1</f>
        <v>0.69681309216192933</v>
      </c>
      <c r="AA53" s="18">
        <f t="shared" si="47"/>
        <v>0.55063451776649752</v>
      </c>
      <c r="AB53" s="18">
        <f t="shared" si="47"/>
        <v>0.42884033063262139</v>
      </c>
      <c r="AC53" s="18">
        <f t="shared" si="47"/>
        <v>0.46944269431238905</v>
      </c>
      <c r="AD53" s="18">
        <f t="shared" si="47"/>
        <v>0.36526992788930035</v>
      </c>
      <c r="AE53" s="18">
        <f t="shared" si="47"/>
        <v>0.29532347399074976</v>
      </c>
      <c r="AF53" s="18">
        <f>AF19/AE19-1</f>
        <v>0.37099404893101173</v>
      </c>
    </row>
    <row r="54" spans="1:32">
      <c r="A54" s="8" t="s">
        <v>12</v>
      </c>
      <c r="B54" s="17">
        <f t="shared" ref="B54:G54" si="48">B35/B31</f>
        <v>0.24272273876462705</v>
      </c>
      <c r="C54" s="17">
        <f t="shared" si="48"/>
        <v>0.28775544388609714</v>
      </c>
      <c r="D54" s="17">
        <f t="shared" si="48"/>
        <v>0.28067629802536115</v>
      </c>
      <c r="E54" s="17">
        <f t="shared" si="48"/>
        <v>0.26452894357039769</v>
      </c>
      <c r="F54" s="17">
        <f t="shared" si="48"/>
        <v>0.24323798849457323</v>
      </c>
      <c r="G54" s="17">
        <f t="shared" si="48"/>
        <v>0.26061602078142393</v>
      </c>
      <c r="H54" s="17">
        <f>H35/H31</f>
        <v>0.25245186251574592</v>
      </c>
      <c r="I54" s="17">
        <f>I35/I31</f>
        <v>0.25309688491341203</v>
      </c>
      <c r="J54" s="17">
        <f>J35/J31</f>
        <v>0.22139301501334077</v>
      </c>
      <c r="K54" s="17">
        <f>K35/K31</f>
        <v>0.2726275825208721</v>
      </c>
      <c r="L54" s="17">
        <f t="shared" ref="L54:O54" si="49">L35/L31</f>
        <v>0.27649451715599577</v>
      </c>
      <c r="M54" s="17">
        <f t="shared" si="49"/>
        <v>0.26516983720174708</v>
      </c>
      <c r="N54" s="17">
        <f t="shared" si="49"/>
        <v>0.23383692836142403</v>
      </c>
      <c r="O54" s="17">
        <f t="shared" si="49"/>
        <v>0.25483494211809971</v>
      </c>
      <c r="Y54" s="19">
        <f t="shared" ref="Y54:AE54" si="50">Y35/Y31</f>
        <v>0.17384366431428958</v>
      </c>
      <c r="Z54" s="19">
        <f t="shared" si="50"/>
        <v>0.20508195802104554</v>
      </c>
      <c r="AA54" s="19">
        <f t="shared" si="50"/>
        <v>0.22136674829211617</v>
      </c>
      <c r="AB54" s="19">
        <f t="shared" si="50"/>
        <v>0.22872836854710848</v>
      </c>
      <c r="AC54" s="19">
        <f t="shared" si="50"/>
        <v>0.25636467471348767</v>
      </c>
      <c r="AD54" s="19">
        <f t="shared" si="50"/>
        <v>0.26648533804835273</v>
      </c>
      <c r="AE54" s="19">
        <f t="shared" si="50"/>
        <v>0.24410719466202496</v>
      </c>
      <c r="AF54" s="19">
        <f>AF35/AF31</f>
        <v>0.26045395915900066</v>
      </c>
    </row>
    <row r="77" spans="1:18" s="8" customFormat="1">
      <c r="A77" s="8" t="s">
        <v>29</v>
      </c>
      <c r="B77" s="9"/>
      <c r="C77" s="9"/>
      <c r="D77" s="9"/>
      <c r="E77" s="9"/>
      <c r="F77" s="9"/>
      <c r="G77" s="9"/>
      <c r="H77" s="9"/>
      <c r="I77" s="9"/>
      <c r="J77" s="9">
        <v>1298</v>
      </c>
      <c r="K77" s="9">
        <v>1271</v>
      </c>
      <c r="L77" s="9">
        <v>1335</v>
      </c>
      <c r="M77" s="9">
        <v>1468</v>
      </c>
      <c r="N77" s="9">
        <v>1608</v>
      </c>
      <c r="O77" s="9">
        <v>1622</v>
      </c>
      <c r="P77" s="9"/>
      <c r="Q77" s="9"/>
      <c r="R77" s="9"/>
    </row>
  </sheetData>
  <conditionalFormatting sqref="A1:XFD2">
    <cfRule type="cellIs" dxfId="0" priority="1" operator="lessThan">
      <formula>0</formula>
    </cfRule>
  </conditionalFormatting>
  <hyperlinks>
    <hyperlink ref="A9" location="Main!A1" display="Main" xr:uid="{9B30A8E5-790C-074D-A9DA-E8BED6C8F44F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Main</vt:lpstr>
      <vt:lpstr>Revenue Build</vt:lpstr>
      <vt:lpstr>P&amp;L GAAP</vt:lpstr>
      <vt:lpstr>BS</vt:lpstr>
      <vt:lpstr>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2022-07-14T21:56:19Z</dcterms:created>
  <dcterms:modified xsi:type="dcterms:W3CDTF">2022-07-19T23:18:49Z</dcterms:modified>
</cp:coreProperties>
</file>