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"/>
    </mc:Choice>
  </mc:AlternateContent>
  <xr:revisionPtr revIDLastSave="0" documentId="13_ncr:1_{AD70191E-715F-114F-B51A-E064AB1A636B}" xr6:coauthVersionLast="47" xr6:coauthVersionMax="47" xr10:uidLastSave="{00000000-0000-0000-0000-000000000000}"/>
  <bookViews>
    <workbookView xWindow="1100" yWindow="820" windowWidth="28040" windowHeight="17440" xr2:uid="{ACF0A50F-95C3-004E-BFFB-CC8AAD5C4C1E}"/>
  </bookViews>
  <sheets>
    <sheet name="Model" sheetId="1" r:id="rId1"/>
    <sheet name="Sheet2" sheetId="2" r:id="rId2"/>
    <sheet name="Debt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4" i="1" l="1"/>
  <c r="AB45" i="1"/>
  <c r="AA45" i="1"/>
  <c r="Z45" i="1"/>
  <c r="AB44" i="1"/>
  <c r="AA44" i="1"/>
  <c r="AB40" i="1"/>
  <c r="AA40" i="1"/>
  <c r="Z40" i="1"/>
  <c r="AB39" i="1"/>
  <c r="AA39" i="1"/>
  <c r="Z39" i="1"/>
  <c r="AB23" i="1"/>
  <c r="AA23" i="1"/>
  <c r="Z23" i="1"/>
  <c r="N10" i="1"/>
  <c r="N22" i="1" s="1"/>
  <c r="B14" i="3"/>
  <c r="B10" i="3"/>
  <c r="B6" i="3"/>
  <c r="B17" i="3"/>
  <c r="O3" i="1"/>
  <c r="S3" i="1" s="1"/>
  <c r="P3" i="1"/>
  <c r="T3" i="1" s="1"/>
  <c r="Q3" i="1"/>
  <c r="U3" i="1" s="1"/>
  <c r="N3" i="1"/>
  <c r="R3" i="1" s="1"/>
  <c r="E41" i="1"/>
  <c r="F41" i="1"/>
  <c r="G41" i="1"/>
  <c r="H41" i="1"/>
  <c r="J41" i="1"/>
  <c r="K41" i="1"/>
  <c r="D41" i="1"/>
  <c r="K27" i="1"/>
  <c r="L22" i="1"/>
  <c r="O10" i="1"/>
  <c r="S10" i="1" s="1"/>
  <c r="S22" i="1" s="1"/>
  <c r="P10" i="1"/>
  <c r="O4" i="1"/>
  <c r="O5" i="1" s="1"/>
  <c r="P4" i="1"/>
  <c r="P5" i="1" s="1"/>
  <c r="M4" i="1"/>
  <c r="M5" i="1" s="1"/>
  <c r="Z5" i="1" s="1"/>
  <c r="E30" i="1"/>
  <c r="D30" i="1"/>
  <c r="F30" i="1"/>
  <c r="G30" i="1"/>
  <c r="H30" i="1"/>
  <c r="J30" i="1"/>
  <c r="K30" i="1"/>
  <c r="I5" i="1"/>
  <c r="H4" i="1"/>
  <c r="H5" i="1" s="1"/>
  <c r="H7" i="1" s="1"/>
  <c r="J4" i="1"/>
  <c r="J5" i="1" s="1"/>
  <c r="J7" i="1" s="1"/>
  <c r="K5" i="1"/>
  <c r="K7" i="1" s="1"/>
  <c r="L5" i="1"/>
  <c r="L7" i="1" s="1"/>
  <c r="D17" i="1"/>
  <c r="E17" i="1"/>
  <c r="F17" i="1"/>
  <c r="L17" i="1"/>
  <c r="L11" i="1"/>
  <c r="L14" i="1"/>
  <c r="H17" i="1"/>
  <c r="J17" i="1"/>
  <c r="K17" i="1"/>
  <c r="G17" i="1"/>
  <c r="K14" i="1"/>
  <c r="J14" i="1"/>
  <c r="H14" i="1"/>
  <c r="J11" i="1"/>
  <c r="K11" i="1"/>
  <c r="H11" i="1"/>
  <c r="I10" i="1"/>
  <c r="M10" i="1" s="1"/>
  <c r="Z10" i="1" s="1"/>
  <c r="I13" i="1"/>
  <c r="I14" i="1" s="1"/>
  <c r="I22" i="1"/>
  <c r="I23" i="1"/>
  <c r="I26" i="1"/>
  <c r="I37" i="1"/>
  <c r="L37" i="1" s="1"/>
  <c r="I38" i="1"/>
  <c r="I36" i="1"/>
  <c r="L36" i="1" s="1"/>
  <c r="L26" i="1"/>
  <c r="G27" i="1"/>
  <c r="H27" i="1"/>
  <c r="J27" i="1"/>
  <c r="F27" i="1"/>
  <c r="Y11" i="1"/>
  <c r="X11" i="1"/>
  <c r="Y14" i="1"/>
  <c r="X14" i="1"/>
  <c r="J64" i="1"/>
  <c r="I53" i="1"/>
  <c r="F3" i="1"/>
  <c r="C21" i="3"/>
  <c r="B21" i="3"/>
  <c r="G3" i="1"/>
  <c r="C3" i="1" s="1"/>
  <c r="H3" i="1"/>
  <c r="D3" i="1" s="1"/>
  <c r="I3" i="1"/>
  <c r="E3" i="1" s="1"/>
  <c r="W64" i="1"/>
  <c r="W41" i="1"/>
  <c r="W17" i="1"/>
  <c r="W30" i="1"/>
  <c r="X64" i="1"/>
  <c r="Y64" i="1"/>
  <c r="F14" i="2"/>
  <c r="G14" i="2"/>
  <c r="Y41" i="1"/>
  <c r="X41" i="1"/>
  <c r="Y30" i="1"/>
  <c r="X30" i="1"/>
  <c r="Y17" i="1"/>
  <c r="Y18" i="1" s="1"/>
  <c r="X17" i="1"/>
  <c r="X18" i="1" s="1"/>
  <c r="Z17" i="1" l="1"/>
  <c r="Z11" i="1"/>
  <c r="Z22" i="1"/>
  <c r="Z4" i="1"/>
  <c r="AA10" i="1"/>
  <c r="AA11" i="1" s="1"/>
  <c r="F32" i="1"/>
  <c r="F33" i="1" s="1"/>
  <c r="E32" i="1"/>
  <c r="K32" i="1"/>
  <c r="D32" i="1"/>
  <c r="R10" i="1"/>
  <c r="J32" i="1"/>
  <c r="G32" i="1"/>
  <c r="H32" i="1"/>
  <c r="Q10" i="1"/>
  <c r="U10" i="1" s="1"/>
  <c r="M22" i="1"/>
  <c r="M37" i="1"/>
  <c r="N37" i="1" s="1"/>
  <c r="M36" i="1"/>
  <c r="N4" i="1"/>
  <c r="N5" i="1" s="1"/>
  <c r="P22" i="1"/>
  <c r="T10" i="1"/>
  <c r="T4" i="1"/>
  <c r="T5" i="1" s="1"/>
  <c r="O22" i="1"/>
  <c r="I41" i="1"/>
  <c r="L38" i="1"/>
  <c r="L30" i="1"/>
  <c r="L32" i="1" s="1"/>
  <c r="L33" i="1" s="1"/>
  <c r="S4" i="1"/>
  <c r="S5" i="1" s="1"/>
  <c r="Q4" i="1"/>
  <c r="AA4" i="1" s="1"/>
  <c r="AA6" i="1" s="1"/>
  <c r="L8" i="1"/>
  <c r="M13" i="1"/>
  <c r="Z13" i="1" s="1"/>
  <c r="Z14" i="1" s="1"/>
  <c r="I30" i="1"/>
  <c r="K8" i="1"/>
  <c r="J8" i="1"/>
  <c r="H8" i="1"/>
  <c r="I7" i="1"/>
  <c r="H18" i="1"/>
  <c r="J18" i="1"/>
  <c r="L18" i="1"/>
  <c r="I17" i="1"/>
  <c r="K18" i="1"/>
  <c r="I27" i="1"/>
  <c r="I11" i="1"/>
  <c r="J53" i="1"/>
  <c r="K53" i="1" s="1"/>
  <c r="W32" i="1"/>
  <c r="Y32" i="1"/>
  <c r="X32" i="1"/>
  <c r="H43" i="1" l="1"/>
  <c r="H46" i="1" s="1"/>
  <c r="H48" i="1" s="1"/>
  <c r="H50" i="1" s="1"/>
  <c r="H33" i="1"/>
  <c r="G43" i="1"/>
  <c r="G46" i="1" s="1"/>
  <c r="G48" i="1" s="1"/>
  <c r="G50" i="1" s="1"/>
  <c r="G33" i="1"/>
  <c r="R4" i="1"/>
  <c r="R5" i="1" s="1"/>
  <c r="J43" i="1"/>
  <c r="J46" i="1" s="1"/>
  <c r="J48" i="1" s="1"/>
  <c r="J50" i="1" s="1"/>
  <c r="J33" i="1"/>
  <c r="R22" i="1"/>
  <c r="AB22" i="1" s="1"/>
  <c r="AB10" i="1"/>
  <c r="W43" i="1"/>
  <c r="W46" i="1" s="1"/>
  <c r="W48" i="1" s="1"/>
  <c r="W56" i="1" s="1"/>
  <c r="W65" i="1" s="1"/>
  <c r="W33" i="1"/>
  <c r="N36" i="1"/>
  <c r="Z36" i="1"/>
  <c r="L41" i="1"/>
  <c r="L43" i="1" s="1"/>
  <c r="L46" i="1" s="1"/>
  <c r="Z38" i="1"/>
  <c r="D43" i="1"/>
  <c r="D46" i="1" s="1"/>
  <c r="D48" i="1" s="1"/>
  <c r="D33" i="1"/>
  <c r="K43" i="1"/>
  <c r="K46" i="1" s="1"/>
  <c r="K48" i="1" s="1"/>
  <c r="K50" i="1" s="1"/>
  <c r="K33" i="1"/>
  <c r="Z18" i="1"/>
  <c r="X43" i="1"/>
  <c r="X46" i="1" s="1"/>
  <c r="X48" i="1" s="1"/>
  <c r="X56" i="1" s="1"/>
  <c r="X65" i="1" s="1"/>
  <c r="X33" i="1"/>
  <c r="E43" i="1"/>
  <c r="E46" i="1" s="1"/>
  <c r="E48" i="1" s="1"/>
  <c r="E33" i="1"/>
  <c r="Y43" i="1"/>
  <c r="Y46" i="1" s="1"/>
  <c r="Y48" i="1" s="1"/>
  <c r="Y56" i="1" s="1"/>
  <c r="Y65" i="1" s="1"/>
  <c r="Y33" i="1"/>
  <c r="F43" i="1"/>
  <c r="F46" i="1" s="1"/>
  <c r="F48" i="1" s="1"/>
  <c r="F50" i="1" s="1"/>
  <c r="Z37" i="1"/>
  <c r="M17" i="1"/>
  <c r="M14" i="1"/>
  <c r="U22" i="1"/>
  <c r="Q5" i="1"/>
  <c r="AA5" i="1" s="1"/>
  <c r="U4" i="1"/>
  <c r="I8" i="1"/>
  <c r="I32" i="1"/>
  <c r="M8" i="1"/>
  <c r="Q22" i="1"/>
  <c r="AA22" i="1" s="1"/>
  <c r="O37" i="1"/>
  <c r="P37" i="1" s="1"/>
  <c r="T22" i="1"/>
  <c r="M18" i="1"/>
  <c r="O36" i="1"/>
  <c r="P36" i="1" s="1"/>
  <c r="M38" i="1"/>
  <c r="M41" i="1" s="1"/>
  <c r="M26" i="1"/>
  <c r="N13" i="1"/>
  <c r="M7" i="1"/>
  <c r="I18" i="1"/>
  <c r="M30" i="1" l="1"/>
  <c r="M32" i="1" s="1"/>
  <c r="M33" i="1" s="1"/>
  <c r="Z26" i="1"/>
  <c r="Z30" i="1" s="1"/>
  <c r="Z32" i="1" s="1"/>
  <c r="I43" i="1"/>
  <c r="I46" i="1" s="1"/>
  <c r="I48" i="1" s="1"/>
  <c r="I50" i="1" s="1"/>
  <c r="I33" i="1"/>
  <c r="U5" i="1"/>
  <c r="AB5" i="1" s="1"/>
  <c r="AB4" i="1"/>
  <c r="AB6" i="1" s="1"/>
  <c r="Z41" i="1"/>
  <c r="N14" i="1"/>
  <c r="AA37" i="1"/>
  <c r="M43" i="1"/>
  <c r="M46" i="1" s="1"/>
  <c r="N38" i="1"/>
  <c r="O38" i="1"/>
  <c r="P38" i="1" s="1"/>
  <c r="Q38" i="1" s="1"/>
  <c r="N26" i="1"/>
  <c r="N30" i="1" s="1"/>
  <c r="N17" i="1"/>
  <c r="Q36" i="1"/>
  <c r="Q37" i="1"/>
  <c r="O13" i="1"/>
  <c r="O14" i="1" s="1"/>
  <c r="N7" i="1"/>
  <c r="N41" i="1" l="1"/>
  <c r="AA38" i="1"/>
  <c r="R37" i="1"/>
  <c r="Z43" i="1"/>
  <c r="Z46" i="1" s="1"/>
  <c r="Z33" i="1"/>
  <c r="AA36" i="1"/>
  <c r="AA41" i="1" s="1"/>
  <c r="O41" i="1"/>
  <c r="P41" i="1"/>
  <c r="N32" i="1"/>
  <c r="R38" i="1"/>
  <c r="S37" i="1"/>
  <c r="T37" i="1" s="1"/>
  <c r="O26" i="1"/>
  <c r="O30" i="1" s="1"/>
  <c r="O17" i="1"/>
  <c r="O32" i="1" s="1"/>
  <c r="N18" i="1"/>
  <c r="N8" i="1"/>
  <c r="Q41" i="1"/>
  <c r="R36" i="1"/>
  <c r="P13" i="1"/>
  <c r="P14" i="1" s="1"/>
  <c r="O7" i="1"/>
  <c r="S38" i="1" l="1"/>
  <c r="T38" i="1" s="1"/>
  <c r="U37" i="1"/>
  <c r="AB37" i="1"/>
  <c r="U38" i="1"/>
  <c r="O43" i="1"/>
  <c r="O46" i="1" s="1"/>
  <c r="O33" i="1"/>
  <c r="N43" i="1"/>
  <c r="N46" i="1" s="1"/>
  <c r="N33" i="1"/>
  <c r="P26" i="1"/>
  <c r="P17" i="1"/>
  <c r="O18" i="1"/>
  <c r="O8" i="1"/>
  <c r="R41" i="1"/>
  <c r="S36" i="1"/>
  <c r="P7" i="1"/>
  <c r="Q13" i="1"/>
  <c r="Q14" i="1" s="1"/>
  <c r="AA13" i="1" l="1"/>
  <c r="AA14" i="1" s="1"/>
  <c r="S41" i="1"/>
  <c r="U36" i="1"/>
  <c r="U41" i="1" s="1"/>
  <c r="AB38" i="1"/>
  <c r="P30" i="1"/>
  <c r="P32" i="1" s="1"/>
  <c r="P18" i="1"/>
  <c r="P8" i="1"/>
  <c r="Q26" i="1"/>
  <c r="Q30" i="1" s="1"/>
  <c r="Q17" i="1"/>
  <c r="AA17" i="1" s="1"/>
  <c r="T36" i="1"/>
  <c r="Q7" i="1"/>
  <c r="R13" i="1"/>
  <c r="R14" i="1" l="1"/>
  <c r="T41" i="1"/>
  <c r="AB36" i="1"/>
  <c r="AB41" i="1" s="1"/>
  <c r="AA18" i="1"/>
  <c r="Q32" i="1"/>
  <c r="Q43" i="1" s="1"/>
  <c r="Q46" i="1" s="1"/>
  <c r="AA26" i="1"/>
  <c r="AA30" i="1" s="1"/>
  <c r="AA32" i="1" s="1"/>
  <c r="P43" i="1"/>
  <c r="P46" i="1" s="1"/>
  <c r="P33" i="1"/>
  <c r="Q18" i="1"/>
  <c r="Q8" i="1"/>
  <c r="R26" i="1"/>
  <c r="R17" i="1"/>
  <c r="R7" i="1"/>
  <c r="S13" i="1"/>
  <c r="S14" i="1" s="1"/>
  <c r="AA33" i="1" l="1"/>
  <c r="AA43" i="1"/>
  <c r="AA46" i="1" s="1"/>
  <c r="Q33" i="1"/>
  <c r="R30" i="1"/>
  <c r="R32" i="1" s="1"/>
  <c r="S7" i="1"/>
  <c r="S26" i="1"/>
  <c r="S30" i="1" s="1"/>
  <c r="S17" i="1"/>
  <c r="T13" i="1"/>
  <c r="R18" i="1"/>
  <c r="R8" i="1"/>
  <c r="R43" i="1" l="1"/>
  <c r="R46" i="1" s="1"/>
  <c r="R33" i="1"/>
  <c r="S32" i="1"/>
  <c r="U13" i="1"/>
  <c r="T14" i="1"/>
  <c r="S43" i="1"/>
  <c r="S46" i="1" s="1"/>
  <c r="S33" i="1"/>
  <c r="U17" i="1"/>
  <c r="T7" i="1"/>
  <c r="T26" i="1"/>
  <c r="T30" i="1" s="1"/>
  <c r="T17" i="1"/>
  <c r="S18" i="1"/>
  <c r="S8" i="1"/>
  <c r="AB17" i="1" l="1"/>
  <c r="U14" i="1"/>
  <c r="AB13" i="1"/>
  <c r="AB14" i="1" s="1"/>
  <c r="U7" i="1"/>
  <c r="U26" i="1"/>
  <c r="U30" i="1" s="1"/>
  <c r="U32" i="1" s="1"/>
  <c r="U18" i="1"/>
  <c r="U8" i="1"/>
  <c r="T32" i="1"/>
  <c r="T18" i="1"/>
  <c r="T8" i="1"/>
  <c r="AB26" i="1" l="1"/>
  <c r="AB30" i="1" s="1"/>
  <c r="AB18" i="1"/>
  <c r="AB32" i="1"/>
  <c r="T43" i="1"/>
  <c r="T46" i="1" s="1"/>
  <c r="T33" i="1"/>
  <c r="U43" i="1"/>
  <c r="U46" i="1" s="1"/>
  <c r="U33" i="1"/>
  <c r="AB33" i="1" l="1"/>
  <c r="AB43" i="1"/>
  <c r="AB46" i="1" s="1"/>
</calcChain>
</file>

<file path=xl/sharedStrings.xml><?xml version="1.0" encoding="utf-8"?>
<sst xmlns="http://schemas.openxmlformats.org/spreadsheetml/2006/main" count="84" uniqueCount="79">
  <si>
    <t>Services</t>
  </si>
  <si>
    <t>Revenue</t>
  </si>
  <si>
    <t>Total Revenues</t>
  </si>
  <si>
    <t>FY19</t>
  </si>
  <si>
    <t>FY21</t>
  </si>
  <si>
    <t>FY22</t>
  </si>
  <si>
    <t>FY20</t>
  </si>
  <si>
    <t>Cost of Goods Sold</t>
  </si>
  <si>
    <t>Product Costs</t>
  </si>
  <si>
    <t>Product Amortization of Tech Intangibles</t>
  </si>
  <si>
    <t>Total Cost of Goods Sold</t>
  </si>
  <si>
    <t>Gross Profit</t>
  </si>
  <si>
    <t>Operating Expenses</t>
  </si>
  <si>
    <t>Selling General &amp; Administrative</t>
  </si>
  <si>
    <t>Amortization of Intangibles</t>
  </si>
  <si>
    <t>Impairment Charges</t>
  </si>
  <si>
    <t>Restructuring Charges</t>
  </si>
  <si>
    <t>Total Operating Expenses</t>
  </si>
  <si>
    <t>EBIT</t>
  </si>
  <si>
    <t>Interest Expense</t>
  </si>
  <si>
    <t>Other Income</t>
  </si>
  <si>
    <t>EBT</t>
  </si>
  <si>
    <t>Provision for Income Taxes</t>
  </si>
  <si>
    <t>Net Income</t>
  </si>
  <si>
    <t>Cash</t>
  </si>
  <si>
    <t>Products &amp; Solutions</t>
  </si>
  <si>
    <t>Unallocated Amounts</t>
  </si>
  <si>
    <t>Total Costs of Goods Sold</t>
  </si>
  <si>
    <t>CFFO</t>
  </si>
  <si>
    <t>CFFI</t>
  </si>
  <si>
    <t>CFFF</t>
  </si>
  <si>
    <t>Hedging</t>
  </si>
  <si>
    <t>Net Change in Cash</t>
  </si>
  <si>
    <t>FCF</t>
  </si>
  <si>
    <t>EBIDTA</t>
  </si>
  <si>
    <t>DA</t>
  </si>
  <si>
    <t>Capex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</si>
  <si>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</si>
  <si>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</si>
  <si>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</si>
  <si>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</si>
  <si>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</si>
  <si>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</si>
  <si>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</si>
  <si>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</si>
  <si>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</si>
  <si>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</si>
  <si>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</si>
  <si>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</si>
  <si>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Basic Shares</t>
  </si>
  <si>
    <t>EPS</t>
  </si>
  <si>
    <t>Senior 6.125% Notes Due September 15, 2028</t>
  </si>
  <si>
    <t>Tranche B-1 Terms Loan due December 15 2027</t>
  </si>
  <si>
    <t>Tranche B-2 Terms Loan due December 15 2028</t>
  </si>
  <si>
    <t>Convertible 2.25% Senior Notes due June 15, 2023</t>
  </si>
  <si>
    <t>Principle Amount</t>
  </si>
  <si>
    <t>Net of Discounts &amp; Issuance Costs</t>
  </si>
  <si>
    <t>Total Long Term Debt</t>
  </si>
  <si>
    <t>SBC</t>
  </si>
  <si>
    <t>Research &amp; Development</t>
  </si>
  <si>
    <t xml:space="preserve">   Growth Y/Y</t>
  </si>
  <si>
    <t>OneCloud ARR</t>
  </si>
  <si>
    <t>Periodized ARR</t>
  </si>
  <si>
    <t xml:space="preserve">   % of Services Revenue</t>
  </si>
  <si>
    <t xml:space="preserve">   % of Total Revenue</t>
  </si>
  <si>
    <t>Services Costs</t>
  </si>
  <si>
    <t>1Q23</t>
  </si>
  <si>
    <t>2Q23</t>
  </si>
  <si>
    <t>3Q23</t>
  </si>
  <si>
    <t>4Q23</t>
  </si>
  <si>
    <t>1Q24</t>
  </si>
  <si>
    <t>2Q24</t>
  </si>
  <si>
    <t>3Q24</t>
  </si>
  <si>
    <t>4Q24</t>
  </si>
  <si>
    <t>Gross Margin</t>
  </si>
  <si>
    <t>FY23</t>
  </si>
  <si>
    <t>FY24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</si>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</sst>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applyNumberFormat="1"/>
    <xf numFmtId="8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1AFD-C62D-0B49-B49F-8EDC76547834}">
  <dimension ref="A2:AD6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1" sqref="I11"/>
    </sheetView>
  </sheetViews>
  <sheetFormatPr baseColWidth="10" defaultRowHeight="16" x14ac:dyDescent="0.2"/>
  <cols>
    <col min="1" max="1" width="22.6640625" customWidth="1"/>
    <col min="2" max="21" width="13.33203125" customWidth="1"/>
    <col min="22" max="22" width="22.6640625" customWidth="1"/>
  </cols>
  <sheetData>
    <row r="2" spans="1:30" x14ac:dyDescent="0.2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W2" t="s">
        <v>3</v>
      </c>
      <c r="X2" t="s">
        <v>6</v>
      </c>
      <c r="Y2" t="s">
        <v>4</v>
      </c>
      <c r="Z2" t="s">
        <v>5</v>
      </c>
      <c r="AA2" t="s">
        <v>75</v>
      </c>
      <c r="AB2" t="s">
        <v>76</v>
      </c>
    </row>
    <row r="3" spans="1:30" x14ac:dyDescent="0.2">
      <c r="A3" t="s">
        <v>1</v>
      </c>
      <c r="B3" s="1">
        <v>43830</v>
      </c>
      <c r="C3" s="1">
        <f t="shared" ref="C3" si="0">G3-365</f>
        <v>43921</v>
      </c>
      <c r="D3" s="1">
        <f t="shared" ref="D3" si="1">H3-365</f>
        <v>44012</v>
      </c>
      <c r="E3" s="1">
        <f t="shared" ref="E3:H3" si="2">I3-365</f>
        <v>44104</v>
      </c>
      <c r="F3" s="1">
        <f t="shared" si="2"/>
        <v>44196</v>
      </c>
      <c r="G3" s="1">
        <f t="shared" si="2"/>
        <v>44286</v>
      </c>
      <c r="H3" s="1">
        <f t="shared" si="2"/>
        <v>44377</v>
      </c>
      <c r="I3" s="1">
        <f>M3-365</f>
        <v>44469</v>
      </c>
      <c r="J3" s="1">
        <v>44561</v>
      </c>
      <c r="K3" s="1">
        <v>44651</v>
      </c>
      <c r="L3" s="1">
        <v>44742</v>
      </c>
      <c r="M3" s="1">
        <v>44834</v>
      </c>
      <c r="N3" s="1">
        <f>J3+365</f>
        <v>44926</v>
      </c>
      <c r="O3" s="1">
        <f t="shared" ref="O3:R3" si="3">K3+365</f>
        <v>45016</v>
      </c>
      <c r="P3" s="1">
        <f t="shared" si="3"/>
        <v>45107</v>
      </c>
      <c r="Q3" s="1">
        <f t="shared" si="3"/>
        <v>45199</v>
      </c>
      <c r="R3" s="1">
        <f t="shared" si="3"/>
        <v>45291</v>
      </c>
      <c r="S3" s="1">
        <f>O3+366</f>
        <v>45382</v>
      </c>
      <c r="T3" s="1">
        <f>P3+366</f>
        <v>45473</v>
      </c>
      <c r="U3" s="1">
        <f>Q3+366</f>
        <v>45565</v>
      </c>
    </row>
    <row r="4" spans="1:30" s="7" customFormat="1" x14ac:dyDescent="0.2">
      <c r="A4" s="7" t="s">
        <v>61</v>
      </c>
      <c r="H4" s="5">
        <f>L4/(1+L6)</f>
        <v>425.38071065989845</v>
      </c>
      <c r="I4" s="5">
        <v>530</v>
      </c>
      <c r="J4" s="5">
        <f>K4/(1+12%)</f>
        <v>669.64285714285711</v>
      </c>
      <c r="K4" s="5">
        <v>750</v>
      </c>
      <c r="L4" s="5">
        <v>838</v>
      </c>
      <c r="M4" s="7">
        <f>I4*(1+M6)</f>
        <v>1060</v>
      </c>
      <c r="N4" s="5">
        <f t="shared" ref="N4:S4" si="4">J4*(1+N6)</f>
        <v>1339.2857142857142</v>
      </c>
      <c r="O4" s="5">
        <f t="shared" si="4"/>
        <v>1350</v>
      </c>
      <c r="P4" s="5">
        <f t="shared" si="4"/>
        <v>1508.4</v>
      </c>
      <c r="Q4" s="5">
        <f t="shared" si="4"/>
        <v>1802</v>
      </c>
      <c r="R4" s="5">
        <f t="shared" si="4"/>
        <v>2008.9285714285713</v>
      </c>
      <c r="S4" s="7">
        <f t="shared" si="4"/>
        <v>1889.9999999999998</v>
      </c>
      <c r="T4" s="5">
        <f>P4*(1+T6)</f>
        <v>2111.7600000000002</v>
      </c>
      <c r="U4" s="5">
        <f>Q4*(1+U6)</f>
        <v>2522.7999999999997</v>
      </c>
      <c r="Z4" s="7">
        <f>M4</f>
        <v>1060</v>
      </c>
      <c r="AA4" s="5">
        <f>Q4</f>
        <v>1802</v>
      </c>
      <c r="AB4" s="5">
        <f>U4</f>
        <v>2522.7999999999997</v>
      </c>
    </row>
    <row r="5" spans="1:30" s="7" customFormat="1" x14ac:dyDescent="0.2">
      <c r="A5" s="7" t="s">
        <v>62</v>
      </c>
      <c r="H5" s="5">
        <f t="shared" ref="H5:I5" si="5">H4/4</f>
        <v>106.34517766497461</v>
      </c>
      <c r="I5" s="5">
        <f t="shared" si="5"/>
        <v>132.5</v>
      </c>
      <c r="J5" s="5">
        <f>J4/4</f>
        <v>167.41071428571428</v>
      </c>
      <c r="K5" s="5">
        <f>K4/4</f>
        <v>187.5</v>
      </c>
      <c r="L5" s="5">
        <f>L4/4</f>
        <v>209.5</v>
      </c>
      <c r="M5" s="5">
        <f>M4/4</f>
        <v>265</v>
      </c>
      <c r="N5" s="5">
        <f t="shared" ref="N5:S5" si="6">N4/4</f>
        <v>334.82142857142856</v>
      </c>
      <c r="O5" s="5">
        <f t="shared" si="6"/>
        <v>337.5</v>
      </c>
      <c r="P5" s="5">
        <f t="shared" si="6"/>
        <v>377.1</v>
      </c>
      <c r="Q5" s="5">
        <f t="shared" si="6"/>
        <v>450.5</v>
      </c>
      <c r="R5" s="5">
        <f t="shared" si="6"/>
        <v>502.23214285714283</v>
      </c>
      <c r="S5" s="5">
        <f t="shared" si="6"/>
        <v>472.49999999999994</v>
      </c>
      <c r="T5" s="5">
        <f>T4/4</f>
        <v>527.94000000000005</v>
      </c>
      <c r="U5" s="5">
        <f>U4/4</f>
        <v>630.69999999999993</v>
      </c>
      <c r="Z5" s="5">
        <f>M5</f>
        <v>265</v>
      </c>
      <c r="AA5" s="5">
        <f>Q5</f>
        <v>450.5</v>
      </c>
      <c r="AB5" s="5">
        <f>U5</f>
        <v>630.69999999999993</v>
      </c>
    </row>
    <row r="6" spans="1:30" s="7" customFormat="1" x14ac:dyDescent="0.2">
      <c r="A6" s="7" t="s">
        <v>60</v>
      </c>
      <c r="H6" s="5"/>
      <c r="I6" s="3">
        <v>1.77</v>
      </c>
      <c r="J6" s="5"/>
      <c r="K6" s="3">
        <v>1.18</v>
      </c>
      <c r="L6" s="3">
        <v>0.97</v>
      </c>
      <c r="M6" s="3">
        <v>1</v>
      </c>
      <c r="N6" s="3">
        <v>1</v>
      </c>
      <c r="O6" s="3">
        <v>0.8</v>
      </c>
      <c r="P6" s="3">
        <v>0.8</v>
      </c>
      <c r="Q6" s="3">
        <v>0.7</v>
      </c>
      <c r="R6" s="3">
        <v>0.5</v>
      </c>
      <c r="S6" s="3">
        <v>0.4</v>
      </c>
      <c r="T6" s="3">
        <v>0.4</v>
      </c>
      <c r="U6" s="3">
        <v>0.4</v>
      </c>
      <c r="AA6" s="3">
        <f>AA4/Z4-1</f>
        <v>0.7</v>
      </c>
      <c r="AB6" s="3">
        <f>AB4/AA4-1</f>
        <v>0.39999999999999991</v>
      </c>
    </row>
    <row r="7" spans="1:30" s="7" customFormat="1" x14ac:dyDescent="0.2">
      <c r="A7" s="7" t="s">
        <v>63</v>
      </c>
      <c r="H7" s="3">
        <f>H5/H13</f>
        <v>0.22247945118195525</v>
      </c>
      <c r="I7" s="3">
        <f t="shared" ref="I7:L7" si="7">I5/I13</f>
        <v>0.25778210116731515</v>
      </c>
      <c r="J7" s="3">
        <f t="shared" si="7"/>
        <v>0.3473251333728512</v>
      </c>
      <c r="K7" s="3">
        <f t="shared" si="7"/>
        <v>0.38032454361054768</v>
      </c>
      <c r="L7" s="3">
        <f t="shared" si="7"/>
        <v>0.5134803921568627</v>
      </c>
      <c r="M7" s="3">
        <f t="shared" ref="M7:S7" si="8">M5/M13</f>
        <v>0.57173678532901839</v>
      </c>
      <c r="N7" s="3">
        <f t="shared" si="8"/>
        <v>0.62780419205785842</v>
      </c>
      <c r="O7" s="3">
        <f t="shared" si="8"/>
        <v>0.62966417910447758</v>
      </c>
      <c r="P7" s="3">
        <f t="shared" si="8"/>
        <v>0.65514246004169563</v>
      </c>
      <c r="Q7" s="3">
        <f t="shared" si="8"/>
        <v>0.69414483821263495</v>
      </c>
      <c r="R7" s="3">
        <f t="shared" si="8"/>
        <v>0.7167248541066743</v>
      </c>
      <c r="S7" s="3">
        <f t="shared" si="8"/>
        <v>0.70417287630402403</v>
      </c>
      <c r="T7" s="3">
        <f>T5/T13</f>
        <v>0.72674962832443168</v>
      </c>
      <c r="U7" s="3">
        <f>U5/U13</f>
        <v>0.76061263868789197</v>
      </c>
    </row>
    <row r="8" spans="1:30" s="7" customFormat="1" x14ac:dyDescent="0.2">
      <c r="A8" s="7" t="s">
        <v>64</v>
      </c>
      <c r="H8" s="3">
        <f>H5/H17</f>
        <v>0.1452802973565227</v>
      </c>
      <c r="I8" s="3">
        <f t="shared" ref="I8:L8" si="9">I5/I17</f>
        <v>0.17434210526315788</v>
      </c>
      <c r="J8" s="3">
        <f t="shared" si="9"/>
        <v>0.23479763574433979</v>
      </c>
      <c r="K8" s="3">
        <f t="shared" si="9"/>
        <v>0.26187150837988826</v>
      </c>
      <c r="L8" s="3">
        <f t="shared" si="9"/>
        <v>0.3630849220103986</v>
      </c>
      <c r="M8" s="3">
        <f t="shared" ref="M8:S8" si="10">M5/M17</f>
        <v>0.40133272754808424</v>
      </c>
      <c r="N8" s="3">
        <f t="shared" si="10"/>
        <v>0.44891771326344743</v>
      </c>
      <c r="O8" s="3">
        <f t="shared" si="10"/>
        <v>0.45536726212963463</v>
      </c>
      <c r="P8" s="3">
        <f t="shared" si="10"/>
        <v>0.51581222301252938</v>
      </c>
      <c r="Q8" s="3">
        <f t="shared" si="10"/>
        <v>0.54273446610831078</v>
      </c>
      <c r="R8" s="3">
        <f t="shared" si="10"/>
        <v>0.56037025233600979</v>
      </c>
      <c r="S8" s="3">
        <f t="shared" si="10"/>
        <v>0.54958015565505769</v>
      </c>
      <c r="T8" s="3">
        <f>T5/T17</f>
        <v>0.60718938733148597</v>
      </c>
      <c r="U8" s="3">
        <f>U5/U17</f>
        <v>0.633378227166007</v>
      </c>
    </row>
    <row r="9" spans="1:30" x14ac:dyDescent="0.2">
      <c r="B9" s="1"/>
      <c r="C9" s="1"/>
      <c r="D9" s="1"/>
      <c r="E9" s="1"/>
      <c r="F9" s="1"/>
      <c r="G9" s="1"/>
      <c r="H9" s="1"/>
      <c r="I9" s="1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30" x14ac:dyDescent="0.2">
      <c r="A10" t="s">
        <v>25</v>
      </c>
      <c r="D10">
        <v>261</v>
      </c>
      <c r="F10">
        <v>266</v>
      </c>
      <c r="G10">
        <v>226</v>
      </c>
      <c r="H10">
        <v>254</v>
      </c>
      <c r="I10">
        <f>Y10-F10-G10-H10</f>
        <v>246</v>
      </c>
      <c r="J10">
        <v>231</v>
      </c>
      <c r="K10">
        <v>223</v>
      </c>
      <c r="L10">
        <v>169</v>
      </c>
      <c r="M10" s="5">
        <f>I10*(1+M11)</f>
        <v>196.8</v>
      </c>
      <c r="N10" s="5">
        <f t="shared" ref="N10:U10" si="11">J10*(1+N11)</f>
        <v>212.52</v>
      </c>
      <c r="O10" s="5">
        <f t="shared" si="11"/>
        <v>205.16</v>
      </c>
      <c r="P10" s="5">
        <f t="shared" si="11"/>
        <v>155.48000000000002</v>
      </c>
      <c r="Q10" s="5">
        <f t="shared" si="11"/>
        <v>181.05600000000001</v>
      </c>
      <c r="R10" s="5">
        <f t="shared" si="11"/>
        <v>195.51840000000001</v>
      </c>
      <c r="S10" s="5">
        <f t="shared" si="11"/>
        <v>188.74719999999999</v>
      </c>
      <c r="T10" s="5">
        <f t="shared" si="11"/>
        <v>143.04160000000002</v>
      </c>
      <c r="U10" s="5">
        <f t="shared" si="11"/>
        <v>166.57152000000002</v>
      </c>
      <c r="W10">
        <v>1222</v>
      </c>
      <c r="X10">
        <v>1073</v>
      </c>
      <c r="Y10">
        <v>992</v>
      </c>
      <c r="Z10" s="5">
        <f>SUM(J10:M10)</f>
        <v>819.8</v>
      </c>
      <c r="AA10" s="5">
        <f>SUM(N10:Q10)</f>
        <v>754.21600000000012</v>
      </c>
      <c r="AB10" s="5">
        <f>SUM(R10:U10)</f>
        <v>693.87871999999993</v>
      </c>
      <c r="AC10" s="5"/>
      <c r="AD10" s="5"/>
    </row>
    <row r="11" spans="1:30" x14ac:dyDescent="0.2">
      <c r="A11" s="6" t="s">
        <v>60</v>
      </c>
      <c r="H11" s="3">
        <f>H10/D10-1</f>
        <v>-2.6819923371647514E-2</v>
      </c>
      <c r="I11" s="3" t="e">
        <f t="shared" ref="I11:L11" si="12">I10/E10-1</f>
        <v>#DIV/0!</v>
      </c>
      <c r="J11" s="3">
        <f t="shared" si="12"/>
        <v>-0.13157894736842102</v>
      </c>
      <c r="K11" s="3">
        <f t="shared" si="12"/>
        <v>-1.3274336283185861E-2</v>
      </c>
      <c r="L11" s="3">
        <f t="shared" si="12"/>
        <v>-0.33464566929133854</v>
      </c>
      <c r="M11" s="4">
        <v>-0.2</v>
      </c>
      <c r="N11" s="4">
        <v>-0.08</v>
      </c>
      <c r="O11" s="4">
        <v>-0.08</v>
      </c>
      <c r="P11" s="4">
        <v>-0.08</v>
      </c>
      <c r="Q11" s="4">
        <v>-0.08</v>
      </c>
      <c r="R11" s="4">
        <v>-0.08</v>
      </c>
      <c r="S11" s="4">
        <v>-0.08</v>
      </c>
      <c r="T11" s="4">
        <v>-0.08</v>
      </c>
      <c r="U11" s="4">
        <v>-0.08</v>
      </c>
      <c r="X11" s="3">
        <f>X10/W10-1</f>
        <v>-0.12193126022913259</v>
      </c>
      <c r="Y11" s="3">
        <f>Y10/X10-1</f>
        <v>-7.5489282385834078E-2</v>
      </c>
      <c r="Z11" s="3">
        <f t="shared" ref="Z11:AB11" si="13">Z10/Y10-1</f>
        <v>-0.17358870967741935</v>
      </c>
      <c r="AA11" s="3">
        <f t="shared" si="13"/>
        <v>-7.9999999999999849E-2</v>
      </c>
      <c r="AB11" s="3" t="s">
        <v>77</v>
      </c>
      <c r="AC11" s="4"/>
      <c r="AD11" s="4"/>
    </row>
    <row r="13" spans="1:30" x14ac:dyDescent="0.2">
      <c r="A13" t="s">
        <v>0</v>
      </c>
      <c r="D13">
        <v>460</v>
      </c>
      <c r="F13">
        <v>477</v>
      </c>
      <c r="G13">
        <v>512</v>
      </c>
      <c r="H13">
        <v>478</v>
      </c>
      <c r="I13">
        <f>Y13-F13-G13-H13</f>
        <v>514</v>
      </c>
      <c r="J13">
        <v>482</v>
      </c>
      <c r="K13">
        <v>493</v>
      </c>
      <c r="L13">
        <v>408</v>
      </c>
      <c r="M13" s="5">
        <f>M5+L13-L5</f>
        <v>463.5</v>
      </c>
      <c r="N13" s="5">
        <f t="shared" ref="N13:S13" si="14">N5+M13-M5</f>
        <v>533.32142857142856</v>
      </c>
      <c r="O13" s="5">
        <f t="shared" si="14"/>
        <v>536</v>
      </c>
      <c r="P13" s="5">
        <f t="shared" si="14"/>
        <v>575.6</v>
      </c>
      <c r="Q13" s="5">
        <f t="shared" si="14"/>
        <v>648.99999999999989</v>
      </c>
      <c r="R13" s="5">
        <f t="shared" si="14"/>
        <v>700.73214285714266</v>
      </c>
      <c r="S13" s="5">
        <f t="shared" si="14"/>
        <v>670.99999999999977</v>
      </c>
      <c r="T13" s="5">
        <f>T5+S13-S5</f>
        <v>726.43999999999983</v>
      </c>
      <c r="U13" s="5">
        <f>U5+T13-T5</f>
        <v>829.19999999999982</v>
      </c>
      <c r="W13">
        <v>1665</v>
      </c>
      <c r="X13">
        <v>1800</v>
      </c>
      <c r="Y13">
        <v>1981</v>
      </c>
      <c r="Z13" s="5">
        <f>SUM(J13:M13)</f>
        <v>1846.5</v>
      </c>
      <c r="AA13" s="5">
        <f>SUM(N13:Q13)</f>
        <v>2293.9214285714284</v>
      </c>
      <c r="AB13" s="5">
        <f>SUM(R13:U13)</f>
        <v>2927.3721428571421</v>
      </c>
      <c r="AC13" s="5"/>
      <c r="AD13" s="5"/>
    </row>
    <row r="14" spans="1:30" x14ac:dyDescent="0.2">
      <c r="H14" s="3">
        <f>H13/D13-1</f>
        <v>3.9130434782608692E-2</v>
      </c>
      <c r="I14" s="3" t="e">
        <f t="shared" ref="I14" si="15">I13/E13-1</f>
        <v>#DIV/0!</v>
      </c>
      <c r="J14" s="3">
        <f t="shared" ref="J14" si="16">J13/F13-1</f>
        <v>1.048218029350112E-2</v>
      </c>
      <c r="K14" s="3">
        <f t="shared" ref="K14:L14" si="17">K13/G13-1</f>
        <v>-3.7109375E-2</v>
      </c>
      <c r="L14" s="3">
        <f t="shared" si="17"/>
        <v>-0.14644351464435146</v>
      </c>
      <c r="M14" s="3">
        <f t="shared" ref="M14" si="18">M13/I13-1</f>
        <v>-9.824902723735407E-2</v>
      </c>
      <c r="N14" s="3">
        <f t="shared" ref="N14" si="19">N13/J13-1</f>
        <v>0.10647599288678133</v>
      </c>
      <c r="O14" s="3">
        <f t="shared" ref="O14" si="20">O13/K13-1</f>
        <v>8.7221095334685694E-2</v>
      </c>
      <c r="P14" s="3">
        <f t="shared" ref="P14" si="21">P13/L13-1</f>
        <v>0.41078431372549029</v>
      </c>
      <c r="Q14" s="3">
        <f t="shared" ref="Q14" si="22">Q13/M13-1</f>
        <v>0.40021574973031249</v>
      </c>
      <c r="R14" s="3">
        <f t="shared" ref="R14" si="23">R13/N13-1</f>
        <v>0.31390209602892893</v>
      </c>
      <c r="S14" s="3">
        <f t="shared" ref="S14" si="24">S13/O13-1</f>
        <v>0.25186567164179063</v>
      </c>
      <c r="T14" s="3">
        <f t="shared" ref="T14" si="25">T13/P13-1</f>
        <v>0.26205698401667799</v>
      </c>
      <c r="U14" s="3">
        <f t="shared" ref="U14" si="26">U13/Q13-1</f>
        <v>0.27765793528505389</v>
      </c>
      <c r="X14" s="3">
        <f>X13/W13-1</f>
        <v>8.1081081081081141E-2</v>
      </c>
      <c r="Y14" s="3">
        <f>Y13/X13-1</f>
        <v>0.10055555555555551</v>
      </c>
      <c r="Z14" s="3">
        <f t="shared" ref="Z14:AB14" si="27">Z13/Y13-1</f>
        <v>-6.7895002523977843E-2</v>
      </c>
      <c r="AA14" s="3">
        <f t="shared" si="27"/>
        <v>0.24230784108931935</v>
      </c>
      <c r="AB14" s="3">
        <f t="shared" si="27"/>
        <v>0.27614316096266811</v>
      </c>
      <c r="AC14" s="4"/>
      <c r="AD14" s="4"/>
    </row>
    <row r="17" spans="1:30" x14ac:dyDescent="0.2">
      <c r="A17" t="s">
        <v>2</v>
      </c>
      <c r="D17">
        <f t="shared" ref="D17:E17" si="28">D10+D13</f>
        <v>721</v>
      </c>
      <c r="E17">
        <f t="shared" si="28"/>
        <v>0</v>
      </c>
      <c r="F17">
        <f>F10+F13</f>
        <v>743</v>
      </c>
      <c r="G17">
        <f>G10+G13</f>
        <v>738</v>
      </c>
      <c r="H17">
        <f t="shared" ref="H17:L17" si="29">H10+H13</f>
        <v>732</v>
      </c>
      <c r="I17">
        <f t="shared" si="29"/>
        <v>760</v>
      </c>
      <c r="J17">
        <f t="shared" si="29"/>
        <v>713</v>
      </c>
      <c r="K17">
        <f t="shared" si="29"/>
        <v>716</v>
      </c>
      <c r="L17" s="5">
        <f t="shared" si="29"/>
        <v>577</v>
      </c>
      <c r="M17" s="5">
        <f t="shared" ref="M17:T17" si="30">M10+M13</f>
        <v>660.3</v>
      </c>
      <c r="N17" s="5">
        <f t="shared" si="30"/>
        <v>745.84142857142854</v>
      </c>
      <c r="O17" s="5">
        <f t="shared" si="30"/>
        <v>741.16</v>
      </c>
      <c r="P17" s="5">
        <f t="shared" si="30"/>
        <v>731.08</v>
      </c>
      <c r="Q17" s="5">
        <f t="shared" si="30"/>
        <v>830.05599999999993</v>
      </c>
      <c r="R17" s="5">
        <f t="shared" si="30"/>
        <v>896.2505428571427</v>
      </c>
      <c r="S17" s="5">
        <f t="shared" si="30"/>
        <v>859.74719999999979</v>
      </c>
      <c r="T17" s="5">
        <f t="shared" si="30"/>
        <v>869.48159999999984</v>
      </c>
      <c r="U17" s="5">
        <f t="shared" ref="U17" si="31">U10+U13</f>
        <v>995.77151999999978</v>
      </c>
      <c r="W17">
        <f>W10+W13</f>
        <v>2887</v>
      </c>
      <c r="X17">
        <f>X10+X13</f>
        <v>2873</v>
      </c>
      <c r="Y17">
        <f>Y10+Y13</f>
        <v>2973</v>
      </c>
      <c r="Z17" s="5">
        <f t="shared" ref="Z17" si="32">Z10+Z13</f>
        <v>2666.3</v>
      </c>
      <c r="AA17" s="5">
        <f>SUM(N17:Q17)</f>
        <v>3048.1374285714287</v>
      </c>
      <c r="AB17" s="5">
        <f>SUM(R17:U17)</f>
        <v>3621.2508628571418</v>
      </c>
      <c r="AC17" s="5"/>
      <c r="AD17" s="5"/>
    </row>
    <row r="18" spans="1:30" x14ac:dyDescent="0.2">
      <c r="H18" s="3">
        <f>H17/D17-1</f>
        <v>1.5256588072122046E-2</v>
      </c>
      <c r="I18" s="3" t="e">
        <f t="shared" ref="I18:L18" si="33">I17/E17-1</f>
        <v>#DIV/0!</v>
      </c>
      <c r="J18" s="3">
        <f t="shared" si="33"/>
        <v>-4.037685060565277E-2</v>
      </c>
      <c r="K18" s="3">
        <f t="shared" si="33"/>
        <v>-2.9810298102981081E-2</v>
      </c>
      <c r="L18" s="3">
        <f t="shared" si="33"/>
        <v>-0.21174863387978138</v>
      </c>
      <c r="M18" s="3">
        <f t="shared" ref="M18" si="34">M17/I17-1</f>
        <v>-0.1311842105263159</v>
      </c>
      <c r="N18" s="3">
        <f t="shared" ref="N18" si="35">N17/J17-1</f>
        <v>4.6060909637347214E-2</v>
      </c>
      <c r="O18" s="3">
        <f t="shared" ref="O18" si="36">O17/K17-1</f>
        <v>3.5139664804469284E-2</v>
      </c>
      <c r="P18" s="3">
        <f t="shared" ref="P18" si="37">P17/L17-1</f>
        <v>0.26703639514731381</v>
      </c>
      <c r="Q18" s="3">
        <f t="shared" ref="Q18" si="38">Q17/M17-1</f>
        <v>0.25708920187793427</v>
      </c>
      <c r="R18" s="3">
        <f t="shared" ref="R18" si="39">R17/N17-1</f>
        <v>0.20166366270884839</v>
      </c>
      <c r="S18" s="3">
        <f t="shared" ref="S18" si="40">S17/O17-1</f>
        <v>0.16000215877813129</v>
      </c>
      <c r="T18" s="3">
        <f t="shared" ref="T18:U18" si="41">T17/P17-1</f>
        <v>0.18931115609782756</v>
      </c>
      <c r="U18" s="3">
        <f t="shared" si="41"/>
        <v>0.1996437830700577</v>
      </c>
      <c r="W18" s="3"/>
      <c r="X18" s="3">
        <f t="shared" ref="X18:Z18" si="42">X17/W17-1</f>
        <v>-4.8493245583650646E-3</v>
      </c>
      <c r="Y18" s="3">
        <f t="shared" si="42"/>
        <v>3.4806822137138926E-2</v>
      </c>
      <c r="Z18" s="3">
        <f t="shared" si="42"/>
        <v>-0.10316178943827781</v>
      </c>
      <c r="AA18" s="3">
        <f>AA17/Z17-1</f>
        <v>0.14320872691423636</v>
      </c>
      <c r="AB18" s="3">
        <f>AB17/AA17-1</f>
        <v>0.18802086445108679</v>
      </c>
    </row>
    <row r="21" spans="1:30" x14ac:dyDescent="0.2">
      <c r="A21" t="s">
        <v>7</v>
      </c>
    </row>
    <row r="22" spans="1:30" x14ac:dyDescent="0.2">
      <c r="A22" t="s">
        <v>8</v>
      </c>
      <c r="D22">
        <v>103</v>
      </c>
      <c r="F22">
        <v>105</v>
      </c>
      <c r="G22">
        <v>92</v>
      </c>
      <c r="H22">
        <v>98</v>
      </c>
      <c r="I22">
        <f>Y22-F22-G22-H22</f>
        <v>103</v>
      </c>
      <c r="J22">
        <v>111</v>
      </c>
      <c r="K22">
        <v>119</v>
      </c>
      <c r="L22" s="5">
        <f>0.769*L10-35</f>
        <v>94.961000000000013</v>
      </c>
      <c r="M22" s="5">
        <f>0.6*M10</f>
        <v>118.08</v>
      </c>
      <c r="N22" s="5">
        <f t="shared" ref="N22:T22" si="43">0.6*N10</f>
        <v>127.512</v>
      </c>
      <c r="O22" s="5">
        <f t="shared" si="43"/>
        <v>123.09599999999999</v>
      </c>
      <c r="P22" s="5">
        <f t="shared" si="43"/>
        <v>93.288000000000011</v>
      </c>
      <c r="Q22" s="5">
        <f t="shared" si="43"/>
        <v>108.6336</v>
      </c>
      <c r="R22" s="5">
        <f t="shared" si="43"/>
        <v>117.31104000000001</v>
      </c>
      <c r="S22" s="5">
        <f t="shared" si="43"/>
        <v>113.24831999999999</v>
      </c>
      <c r="T22" s="5">
        <f t="shared" si="43"/>
        <v>85.824960000000004</v>
      </c>
      <c r="U22" s="5">
        <f t="shared" ref="U22" si="44">0.6*U10</f>
        <v>99.942912000000007</v>
      </c>
      <c r="W22">
        <v>442</v>
      </c>
      <c r="X22">
        <v>405</v>
      </c>
      <c r="Y22">
        <v>398</v>
      </c>
      <c r="Z22" s="5">
        <f>SUM(J22:M22)</f>
        <v>443.041</v>
      </c>
      <c r="AA22" s="5">
        <f>SUM(N22:Q22)</f>
        <v>452.52960000000002</v>
      </c>
      <c r="AB22" s="5">
        <f>SUM(R22:U22)</f>
        <v>416.32723199999998</v>
      </c>
    </row>
    <row r="23" spans="1:30" x14ac:dyDescent="0.2">
      <c r="A23" t="s">
        <v>9</v>
      </c>
      <c r="D23">
        <v>43</v>
      </c>
      <c r="F23">
        <v>43</v>
      </c>
      <c r="G23">
        <v>43</v>
      </c>
      <c r="H23">
        <v>43</v>
      </c>
      <c r="I23">
        <f>Y23-F23-G23-H23</f>
        <v>44</v>
      </c>
      <c r="J23">
        <v>42</v>
      </c>
      <c r="K23">
        <v>35</v>
      </c>
      <c r="L23">
        <v>35</v>
      </c>
      <c r="M23">
        <v>35</v>
      </c>
      <c r="N23">
        <v>35</v>
      </c>
      <c r="O23">
        <v>35</v>
      </c>
      <c r="P23">
        <v>35</v>
      </c>
      <c r="Q23">
        <v>35</v>
      </c>
      <c r="R23">
        <v>35</v>
      </c>
      <c r="S23">
        <v>35</v>
      </c>
      <c r="T23">
        <v>35</v>
      </c>
      <c r="U23">
        <v>35</v>
      </c>
      <c r="W23">
        <v>174</v>
      </c>
      <c r="X23">
        <v>174</v>
      </c>
      <c r="Y23">
        <v>173</v>
      </c>
      <c r="Z23" s="5">
        <f>SUM(J23:M23)</f>
        <v>147</v>
      </c>
      <c r="AA23" s="5">
        <f>SUM(N23:Q23)</f>
        <v>140</v>
      </c>
      <c r="AB23" s="5">
        <f>SUM(R23:U23)</f>
        <v>140</v>
      </c>
    </row>
    <row r="26" spans="1:30" x14ac:dyDescent="0.2">
      <c r="A26" t="s">
        <v>65</v>
      </c>
      <c r="D26">
        <v>184</v>
      </c>
      <c r="F26">
        <v>179</v>
      </c>
      <c r="G26">
        <v>191</v>
      </c>
      <c r="H26">
        <v>178</v>
      </c>
      <c r="I26">
        <f>Y26-F26-G26-H26</f>
        <v>204</v>
      </c>
      <c r="J26">
        <v>191</v>
      </c>
      <c r="K26">
        <v>191</v>
      </c>
      <c r="L26" s="5">
        <f>L27*L13</f>
        <v>236.64</v>
      </c>
      <c r="M26" s="5">
        <f>M27*M13</f>
        <v>194.67</v>
      </c>
      <c r="N26" s="5">
        <f t="shared" ref="N26:U26" si="45">N27*N13</f>
        <v>213.32857142857142</v>
      </c>
      <c r="O26" s="5">
        <f t="shared" si="45"/>
        <v>214.4</v>
      </c>
      <c r="P26" s="5">
        <f t="shared" si="45"/>
        <v>218.72800000000001</v>
      </c>
      <c r="Q26" s="5">
        <f t="shared" si="45"/>
        <v>246.61999999999995</v>
      </c>
      <c r="R26" s="5">
        <f t="shared" si="45"/>
        <v>266.27821428571423</v>
      </c>
      <c r="S26" s="5">
        <f t="shared" si="45"/>
        <v>254.9799999999999</v>
      </c>
      <c r="T26" s="5">
        <f t="shared" si="45"/>
        <v>276.04719999999992</v>
      </c>
      <c r="U26" s="5">
        <f t="shared" si="45"/>
        <v>315.09599999999995</v>
      </c>
      <c r="W26">
        <v>696</v>
      </c>
      <c r="X26">
        <v>714</v>
      </c>
      <c r="Y26">
        <v>752</v>
      </c>
      <c r="Z26" s="5">
        <f>SUM(J26:M26)</f>
        <v>813.31</v>
      </c>
      <c r="AA26" s="5">
        <f>SUM(N26:Q26)</f>
        <v>893.07657142857124</v>
      </c>
      <c r="AB26" s="5">
        <f>SUM(R26:U26)</f>
        <v>1112.4014142857141</v>
      </c>
    </row>
    <row r="27" spans="1:30" x14ac:dyDescent="0.2">
      <c r="F27" s="3">
        <f>F26/F13</f>
        <v>0.37526205450733752</v>
      </c>
      <c r="G27" s="3">
        <f t="shared" ref="G27:K27" si="46">G26/G13</f>
        <v>0.373046875</v>
      </c>
      <c r="H27" s="3">
        <f t="shared" si="46"/>
        <v>0.3723849372384937</v>
      </c>
      <c r="I27" s="3">
        <f t="shared" si="46"/>
        <v>0.39688715953307391</v>
      </c>
      <c r="J27" s="3">
        <f t="shared" si="46"/>
        <v>0.39626556016597508</v>
      </c>
      <c r="K27" s="3">
        <f t="shared" si="46"/>
        <v>0.38742393509127787</v>
      </c>
      <c r="L27" s="4">
        <v>0.57999999999999996</v>
      </c>
      <c r="M27" s="4">
        <v>0.42</v>
      </c>
      <c r="N27" s="4">
        <v>0.4</v>
      </c>
      <c r="O27" s="4">
        <v>0.4</v>
      </c>
      <c r="P27" s="4">
        <v>0.38</v>
      </c>
      <c r="Q27" s="4">
        <v>0.38</v>
      </c>
      <c r="R27" s="4">
        <v>0.38</v>
      </c>
      <c r="S27" s="4">
        <v>0.38</v>
      </c>
      <c r="T27" s="4">
        <v>0.38</v>
      </c>
      <c r="U27" s="4">
        <v>0.38</v>
      </c>
    </row>
    <row r="28" spans="1:30" x14ac:dyDescent="0.2">
      <c r="O28" t="s">
        <v>78</v>
      </c>
    </row>
    <row r="30" spans="1:30" x14ac:dyDescent="0.2">
      <c r="A30" t="s">
        <v>10</v>
      </c>
      <c r="D30">
        <f t="shared" ref="D30:L30" si="47">D22+D23+D26</f>
        <v>330</v>
      </c>
      <c r="E30">
        <f t="shared" si="47"/>
        <v>0</v>
      </c>
      <c r="F30">
        <f t="shared" si="47"/>
        <v>327</v>
      </c>
      <c r="G30">
        <f t="shared" si="47"/>
        <v>326</v>
      </c>
      <c r="H30">
        <f t="shared" si="47"/>
        <v>319</v>
      </c>
      <c r="I30">
        <f t="shared" si="47"/>
        <v>351</v>
      </c>
      <c r="J30">
        <f t="shared" si="47"/>
        <v>344</v>
      </c>
      <c r="K30">
        <f t="shared" si="47"/>
        <v>345</v>
      </c>
      <c r="L30" s="5">
        <f t="shared" si="47"/>
        <v>366.601</v>
      </c>
      <c r="M30" s="5">
        <f>M22+M23+M26</f>
        <v>347.75</v>
      </c>
      <c r="N30" s="5">
        <f t="shared" ref="N30:T30" si="48">N22+N23+N26</f>
        <v>375.84057142857142</v>
      </c>
      <c r="O30" s="5">
        <f t="shared" si="48"/>
        <v>372.49599999999998</v>
      </c>
      <c r="P30" s="5">
        <f t="shared" si="48"/>
        <v>347.01600000000002</v>
      </c>
      <c r="Q30" s="5">
        <f t="shared" si="48"/>
        <v>390.25359999999995</v>
      </c>
      <c r="R30" s="5">
        <f t="shared" si="48"/>
        <v>418.58925428571422</v>
      </c>
      <c r="S30" s="5">
        <f t="shared" si="48"/>
        <v>403.22831999999988</v>
      </c>
      <c r="T30" s="5">
        <f t="shared" si="48"/>
        <v>396.87215999999989</v>
      </c>
      <c r="U30" s="5">
        <f t="shared" ref="U30" si="49">U22+U23+U26</f>
        <v>450.03891199999998</v>
      </c>
      <c r="W30">
        <f>W22+W23+W26</f>
        <v>1312</v>
      </c>
      <c r="X30">
        <f>X22+X23+X26</f>
        <v>1293</v>
      </c>
      <c r="Y30" s="5">
        <f>Y22+Y23+Y26</f>
        <v>1323</v>
      </c>
      <c r="Z30" s="5">
        <f t="shared" ref="Z30:AB30" si="50">Z22+Z23+Z26</f>
        <v>1403.3509999999999</v>
      </c>
      <c r="AA30" s="5">
        <f t="shared" si="50"/>
        <v>1485.6061714285713</v>
      </c>
      <c r="AB30" s="5">
        <f t="shared" si="50"/>
        <v>1668.7286462857141</v>
      </c>
    </row>
    <row r="31" spans="1:30" x14ac:dyDescent="0.2"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30" x14ac:dyDescent="0.2">
      <c r="A32" t="s">
        <v>11</v>
      </c>
      <c r="D32" s="5">
        <f>D17-D30</f>
        <v>391</v>
      </c>
      <c r="E32" s="5">
        <f t="shared" ref="E32:U32" si="51">E17-E30</f>
        <v>0</v>
      </c>
      <c r="F32" s="5">
        <f t="shared" si="51"/>
        <v>416</v>
      </c>
      <c r="G32" s="5">
        <f t="shared" si="51"/>
        <v>412</v>
      </c>
      <c r="H32" s="5">
        <f t="shared" si="51"/>
        <v>413</v>
      </c>
      <c r="I32" s="5">
        <f t="shared" si="51"/>
        <v>409</v>
      </c>
      <c r="J32" s="5">
        <f t="shared" si="51"/>
        <v>369</v>
      </c>
      <c r="K32" s="5">
        <f t="shared" si="51"/>
        <v>371</v>
      </c>
      <c r="L32" s="5">
        <f t="shared" si="51"/>
        <v>210.399</v>
      </c>
      <c r="M32" s="5">
        <f t="shared" si="51"/>
        <v>312.54999999999995</v>
      </c>
      <c r="N32" s="5">
        <f t="shared" si="51"/>
        <v>370.00085714285711</v>
      </c>
      <c r="O32" s="5">
        <f t="shared" si="51"/>
        <v>368.66399999999999</v>
      </c>
      <c r="P32" s="5">
        <f t="shared" si="51"/>
        <v>384.06400000000002</v>
      </c>
      <c r="Q32" s="5">
        <f t="shared" si="51"/>
        <v>439.80239999999998</v>
      </c>
      <c r="R32" s="5">
        <f t="shared" si="51"/>
        <v>477.66128857142849</v>
      </c>
      <c r="S32" s="5">
        <f t="shared" si="51"/>
        <v>456.51887999999991</v>
      </c>
      <c r="T32" s="5">
        <f t="shared" si="51"/>
        <v>472.60943999999995</v>
      </c>
      <c r="U32" s="5">
        <f t="shared" si="51"/>
        <v>545.7326079999998</v>
      </c>
      <c r="W32">
        <f>W17-W30</f>
        <v>1575</v>
      </c>
      <c r="X32">
        <f>X17-X30</f>
        <v>1580</v>
      </c>
      <c r="Y32" s="5">
        <f>Y17-Y30</f>
        <v>1650</v>
      </c>
      <c r="Z32" s="5">
        <f t="shared" ref="Z32:AB32" si="52">Z17-Z30</f>
        <v>1262.9490000000003</v>
      </c>
      <c r="AA32" s="5">
        <f t="shared" si="52"/>
        <v>1562.5312571428574</v>
      </c>
      <c r="AB32" s="5">
        <f t="shared" si="52"/>
        <v>1952.5222165714276</v>
      </c>
    </row>
    <row r="33" spans="1:28" x14ac:dyDescent="0.2">
      <c r="A33" t="s">
        <v>74</v>
      </c>
      <c r="D33" s="3">
        <f t="shared" ref="D33:I33" si="53">D32/D17</f>
        <v>0.5423023578363384</v>
      </c>
      <c r="E33" s="3" t="e">
        <f t="shared" si="53"/>
        <v>#DIV/0!</v>
      </c>
      <c r="F33" s="3">
        <f t="shared" si="53"/>
        <v>0.55989232839838488</v>
      </c>
      <c r="G33" s="3">
        <f t="shared" si="53"/>
        <v>0.5582655826558266</v>
      </c>
      <c r="H33" s="3">
        <f t="shared" si="53"/>
        <v>0.56420765027322406</v>
      </c>
      <c r="I33" s="3">
        <f t="shared" si="53"/>
        <v>0.53815789473684206</v>
      </c>
      <c r="J33" s="3">
        <f>J32/J17</f>
        <v>0.51753155680224405</v>
      </c>
      <c r="K33" s="3">
        <f>K32/K17</f>
        <v>0.51815642458100564</v>
      </c>
      <c r="L33" s="3">
        <f t="shared" ref="L33:W33" si="54">L32/L17</f>
        <v>0.36464298093587522</v>
      </c>
      <c r="M33" s="3">
        <f t="shared" si="54"/>
        <v>0.47334544903831588</v>
      </c>
      <c r="N33" s="3">
        <f t="shared" si="54"/>
        <v>0.49608515023300626</v>
      </c>
      <c r="O33" s="3">
        <f t="shared" si="54"/>
        <v>0.49741486318743594</v>
      </c>
      <c r="P33" s="3">
        <f t="shared" si="54"/>
        <v>0.52533785632215357</v>
      </c>
      <c r="Q33" s="3">
        <f t="shared" si="54"/>
        <v>0.52984666094817701</v>
      </c>
      <c r="R33" s="3">
        <f t="shared" si="54"/>
        <v>0.53295508982198181</v>
      </c>
      <c r="S33" s="3">
        <f t="shared" si="54"/>
        <v>0.53099199392565632</v>
      </c>
      <c r="T33" s="3">
        <f t="shared" si="54"/>
        <v>0.5435531240684105</v>
      </c>
      <c r="U33" s="3">
        <f t="shared" si="54"/>
        <v>0.54805002657637758</v>
      </c>
      <c r="W33" s="3">
        <f t="shared" si="54"/>
        <v>0.54554901281607204</v>
      </c>
      <c r="X33" s="3">
        <f t="shared" ref="X33" si="55">X32/X17</f>
        <v>0.54994778976679426</v>
      </c>
      <c r="Y33" s="3">
        <f t="shared" ref="Y33" si="56">Y32/Y17</f>
        <v>0.55499495459132187</v>
      </c>
      <c r="Z33" s="3">
        <f t="shared" ref="Z33" si="57">Z32/Z17</f>
        <v>0.47367100476315499</v>
      </c>
      <c r="AA33" s="3">
        <f t="shared" ref="AA33" si="58">AA32/AA17</f>
        <v>0.5126183755681808</v>
      </c>
      <c r="AB33" s="3">
        <f t="shared" ref="AB33" si="59">AB32/AB17</f>
        <v>0.53918446705757939</v>
      </c>
    </row>
    <row r="35" spans="1:28" x14ac:dyDescent="0.2">
      <c r="A35" t="s">
        <v>12</v>
      </c>
    </row>
    <row r="36" spans="1:28" x14ac:dyDescent="0.2">
      <c r="A36" t="s">
        <v>13</v>
      </c>
      <c r="D36">
        <v>232</v>
      </c>
      <c r="F36">
        <v>225</v>
      </c>
      <c r="G36">
        <v>264</v>
      </c>
      <c r="H36">
        <v>266</v>
      </c>
      <c r="I36">
        <f>Y36-F36-G36-H36</f>
        <v>298</v>
      </c>
      <c r="J36">
        <v>262</v>
      </c>
      <c r="K36">
        <v>245</v>
      </c>
      <c r="L36" s="5">
        <f>AVERAGE(H36:K36)*0.9</f>
        <v>240.97499999999999</v>
      </c>
      <c r="M36" s="5">
        <f t="shared" ref="M36:P36" si="60">AVERAGE(I36:L36)*0.95</f>
        <v>248.41906249999997</v>
      </c>
      <c r="N36" s="5">
        <f t="shared" si="60"/>
        <v>236.64358984374999</v>
      </c>
      <c r="O36" s="5">
        <f t="shared" si="60"/>
        <v>230.62144243164062</v>
      </c>
      <c r="P36" s="5">
        <f t="shared" si="60"/>
        <v>227.20653500915526</v>
      </c>
      <c r="Q36" s="5">
        <f t="shared" ref="Q36:U36" si="61">AVERAGE(M36:P36)*0.98</f>
        <v>231.00820429721372</v>
      </c>
      <c r="R36" s="5">
        <f t="shared" si="61"/>
        <v>226.74254403753108</v>
      </c>
      <c r="S36" s="5">
        <f t="shared" si="61"/>
        <v>224.31678781500744</v>
      </c>
      <c r="T36" s="5">
        <f t="shared" si="61"/>
        <v>222.7721474339323</v>
      </c>
      <c r="U36" s="5">
        <f t="shared" si="61"/>
        <v>221.6857224780027</v>
      </c>
      <c r="W36">
        <v>1001</v>
      </c>
      <c r="X36">
        <v>1013</v>
      </c>
      <c r="Y36">
        <v>1053</v>
      </c>
      <c r="Z36" s="5">
        <f>SUM(J36:M36)</f>
        <v>996.39406250000002</v>
      </c>
      <c r="AA36" s="5">
        <f>SUM(N36:Q36)</f>
        <v>925.47977158175956</v>
      </c>
      <c r="AB36" s="5">
        <f>SUM(R36:U36)</f>
        <v>895.51720176447361</v>
      </c>
    </row>
    <row r="37" spans="1:28" x14ac:dyDescent="0.2">
      <c r="A37" t="s">
        <v>59</v>
      </c>
      <c r="D37">
        <v>52</v>
      </c>
      <c r="F37">
        <v>55</v>
      </c>
      <c r="G37">
        <v>57</v>
      </c>
      <c r="H37">
        <v>55</v>
      </c>
      <c r="I37">
        <f t="shared" ref="I37:I38" si="62">Y37-F37-G37-H37</f>
        <v>61</v>
      </c>
      <c r="J37">
        <v>61</v>
      </c>
      <c r="K37">
        <v>60</v>
      </c>
      <c r="L37" s="5">
        <f>AVERAGE(H37:K37)*1.1</f>
        <v>65.175000000000011</v>
      </c>
      <c r="M37" s="5">
        <f t="shared" ref="M37:U37" si="63">AVERAGE(I37:L37)*1.1</f>
        <v>67.97312500000001</v>
      </c>
      <c r="N37" s="5">
        <f t="shared" si="63"/>
        <v>69.890734375000008</v>
      </c>
      <c r="O37" s="5">
        <f t="shared" si="63"/>
        <v>72.335686328125007</v>
      </c>
      <c r="P37" s="5">
        <f t="shared" si="63"/>
        <v>75.728000068359393</v>
      </c>
      <c r="Q37" s="5">
        <f t="shared" si="63"/>
        <v>78.630075087158218</v>
      </c>
      <c r="R37" s="5">
        <f t="shared" si="63"/>
        <v>81.560736361126729</v>
      </c>
      <c r="S37" s="5">
        <f t="shared" si="63"/>
        <v>84.769986907311576</v>
      </c>
      <c r="T37" s="5">
        <f t="shared" si="63"/>
        <v>88.189419566587887</v>
      </c>
      <c r="U37" s="5">
        <f t="shared" si="63"/>
        <v>91.616309928600728</v>
      </c>
      <c r="W37">
        <v>204</v>
      </c>
      <c r="X37">
        <v>207</v>
      </c>
      <c r="Y37">
        <v>228</v>
      </c>
      <c r="Z37" s="5">
        <f>SUM(J37:M37)</f>
        <v>254.14812500000002</v>
      </c>
      <c r="AA37" s="5">
        <f>SUM(N37:Q37)</f>
        <v>296.58449585864264</v>
      </c>
      <c r="AB37" s="5">
        <f>SUM(R37:U37)</f>
        <v>346.13645276362695</v>
      </c>
    </row>
    <row r="38" spans="1:28" x14ac:dyDescent="0.2">
      <c r="A38" t="s">
        <v>14</v>
      </c>
      <c r="D38">
        <v>40</v>
      </c>
      <c r="F38">
        <v>40</v>
      </c>
      <c r="G38">
        <v>39</v>
      </c>
      <c r="H38">
        <v>40</v>
      </c>
      <c r="I38">
        <f t="shared" si="62"/>
        <v>40</v>
      </c>
      <c r="J38">
        <v>40</v>
      </c>
      <c r="K38">
        <v>40</v>
      </c>
      <c r="L38" s="5">
        <f>AVERAGE(H38:K38)*0.9</f>
        <v>36</v>
      </c>
      <c r="M38" s="5">
        <f t="shared" ref="M38" si="64">AVERAGE(I38:L38)*0.95</f>
        <v>37.049999999999997</v>
      </c>
      <c r="N38" s="5">
        <f t="shared" ref="N38" si="65">AVERAGE(J38:M38)*0.95</f>
        <v>36.349375000000002</v>
      </c>
      <c r="O38" s="5">
        <f t="shared" ref="O38" si="66">AVERAGE(K38:N38)*0.95</f>
        <v>35.4823515625</v>
      </c>
      <c r="P38" s="5">
        <f t="shared" ref="P38" si="67">AVERAGE(L38:O38)*0.98</f>
        <v>35.496023007812497</v>
      </c>
      <c r="Q38" s="5">
        <f t="shared" ref="Q38" si="68">AVERAGE(M38:P38)*0.98</f>
        <v>35.372548644726557</v>
      </c>
      <c r="R38" s="5">
        <f t="shared" ref="R38" si="69">AVERAGE(N38:Q38)*0.98</f>
        <v>34.961573062684565</v>
      </c>
      <c r="S38" s="5">
        <f t="shared" ref="S38" si="70">AVERAGE(O38:R38)*0.98</f>
        <v>34.621561588042283</v>
      </c>
      <c r="T38" s="5">
        <f t="shared" ref="T38:U38" si="71">AVERAGE(P38:S38)*0.98</f>
        <v>34.410668044300145</v>
      </c>
      <c r="U38" s="5">
        <f t="shared" si="71"/>
        <v>34.144756078239617</v>
      </c>
      <c r="W38">
        <v>162</v>
      </c>
      <c r="X38">
        <v>161</v>
      </c>
      <c r="Y38">
        <v>159</v>
      </c>
      <c r="Z38" s="5">
        <f>SUM(J38:M38)</f>
        <v>153.05000000000001</v>
      </c>
      <c r="AA38" s="5">
        <f>SUM(N38:Q38)</f>
        <v>142.70029821503906</v>
      </c>
      <c r="AB38" s="5">
        <f>SUM(R38:U38)</f>
        <v>138.13855877326662</v>
      </c>
    </row>
    <row r="39" spans="1:28" x14ac:dyDescent="0.2">
      <c r="A39" t="s">
        <v>15</v>
      </c>
      <c r="W39">
        <v>659</v>
      </c>
      <c r="X39">
        <v>624</v>
      </c>
      <c r="Z39" s="5">
        <f>SUM(J39:M39)</f>
        <v>0</v>
      </c>
      <c r="AA39" s="5">
        <f>SUM(N39:Q39)</f>
        <v>0</v>
      </c>
      <c r="AB39" s="5">
        <f>SUM(R39:U39)</f>
        <v>0</v>
      </c>
    </row>
    <row r="40" spans="1:28" x14ac:dyDescent="0.2">
      <c r="A40" t="s">
        <v>16</v>
      </c>
      <c r="D40">
        <v>20</v>
      </c>
      <c r="F40">
        <v>4</v>
      </c>
      <c r="G40">
        <v>8</v>
      </c>
      <c r="H40">
        <v>5</v>
      </c>
      <c r="J40">
        <v>7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W40">
        <v>22</v>
      </c>
      <c r="X40">
        <v>30</v>
      </c>
      <c r="Y40">
        <v>30</v>
      </c>
      <c r="Z40" s="5">
        <f>SUM(J40:M40)</f>
        <v>16</v>
      </c>
      <c r="AA40" s="5">
        <f>SUM(N40:Q40)</f>
        <v>12</v>
      </c>
      <c r="AB40" s="5">
        <f>SUM(R40:U40)</f>
        <v>12</v>
      </c>
    </row>
    <row r="41" spans="1:28" x14ac:dyDescent="0.2">
      <c r="A41" t="s">
        <v>17</v>
      </c>
      <c r="D41">
        <f>D40+D39+D38+D37+D36</f>
        <v>344</v>
      </c>
      <c r="E41">
        <f t="shared" ref="E41:U41" si="72">E40+E39+E38+E37+E36</f>
        <v>0</v>
      </c>
      <c r="F41">
        <f t="shared" si="72"/>
        <v>324</v>
      </c>
      <c r="G41">
        <f t="shared" si="72"/>
        <v>368</v>
      </c>
      <c r="H41">
        <f t="shared" si="72"/>
        <v>366</v>
      </c>
      <c r="I41">
        <f t="shared" si="72"/>
        <v>399</v>
      </c>
      <c r="J41">
        <f t="shared" si="72"/>
        <v>370</v>
      </c>
      <c r="K41">
        <f t="shared" si="72"/>
        <v>348</v>
      </c>
      <c r="L41" s="5">
        <f t="shared" si="72"/>
        <v>345.15</v>
      </c>
      <c r="M41" s="5">
        <f t="shared" si="72"/>
        <v>356.44218749999999</v>
      </c>
      <c r="N41" s="5">
        <f t="shared" si="72"/>
        <v>345.88369921875</v>
      </c>
      <c r="O41" s="5">
        <f t="shared" si="72"/>
        <v>341.43948032226564</v>
      </c>
      <c r="P41" s="5">
        <f t="shared" si="72"/>
        <v>341.43055808532716</v>
      </c>
      <c r="Q41" s="5">
        <f t="shared" si="72"/>
        <v>348.01082802909849</v>
      </c>
      <c r="R41" s="5">
        <f t="shared" si="72"/>
        <v>346.26485346134234</v>
      </c>
      <c r="S41" s="5">
        <f t="shared" si="72"/>
        <v>346.70833631036129</v>
      </c>
      <c r="T41" s="5">
        <f t="shared" si="72"/>
        <v>348.37223504482034</v>
      </c>
      <c r="U41" s="5">
        <f t="shared" si="72"/>
        <v>350.44678848484307</v>
      </c>
      <c r="W41">
        <f>W36+W37+W38+W39+W40</f>
        <v>2048</v>
      </c>
      <c r="X41">
        <f>X36+X37+X38+X39+X40</f>
        <v>2035</v>
      </c>
      <c r="Y41" s="5">
        <f>Y36+Y37+Y38+Y39+Y40</f>
        <v>1470</v>
      </c>
      <c r="Z41" s="5">
        <f t="shared" ref="Z41:AB41" si="73">Z36+Z37+Z38+Z39+Z40</f>
        <v>1419.5921874999999</v>
      </c>
      <c r="AA41" s="5">
        <f t="shared" si="73"/>
        <v>1376.7645656554412</v>
      </c>
      <c r="AB41" s="5">
        <f t="shared" si="73"/>
        <v>1391.7922133013672</v>
      </c>
    </row>
    <row r="43" spans="1:28" x14ac:dyDescent="0.2">
      <c r="A43" t="s">
        <v>18</v>
      </c>
      <c r="D43" s="5">
        <f>D32-D41</f>
        <v>47</v>
      </c>
      <c r="E43" s="5">
        <f t="shared" ref="E43:U43" si="74">E32-E41</f>
        <v>0</v>
      </c>
      <c r="F43" s="5">
        <f t="shared" si="74"/>
        <v>92</v>
      </c>
      <c r="G43" s="5">
        <f t="shared" si="74"/>
        <v>44</v>
      </c>
      <c r="H43" s="5">
        <f t="shared" si="74"/>
        <v>47</v>
      </c>
      <c r="I43" s="5">
        <f t="shared" si="74"/>
        <v>10</v>
      </c>
      <c r="J43" s="5">
        <f t="shared" si="74"/>
        <v>-1</v>
      </c>
      <c r="K43" s="5">
        <f t="shared" si="74"/>
        <v>23</v>
      </c>
      <c r="L43" s="5">
        <f t="shared" si="74"/>
        <v>-134.75099999999998</v>
      </c>
      <c r="M43" s="5">
        <f t="shared" si="74"/>
        <v>-43.892187500000034</v>
      </c>
      <c r="N43" s="5">
        <f t="shared" si="74"/>
        <v>24.117157924107119</v>
      </c>
      <c r="O43" s="5">
        <f t="shared" si="74"/>
        <v>27.224519677734349</v>
      </c>
      <c r="P43" s="5">
        <f t="shared" si="74"/>
        <v>42.633441914672858</v>
      </c>
      <c r="Q43" s="5">
        <f t="shared" si="74"/>
        <v>91.791571970901487</v>
      </c>
      <c r="R43" s="5">
        <f t="shared" si="74"/>
        <v>131.39643511008614</v>
      </c>
      <c r="S43" s="5">
        <f t="shared" si="74"/>
        <v>109.81054368963862</v>
      </c>
      <c r="T43" s="5">
        <f t="shared" si="74"/>
        <v>124.23720495517961</v>
      </c>
      <c r="U43" s="5">
        <f t="shared" si="74"/>
        <v>195.28581951515673</v>
      </c>
      <c r="W43">
        <f>W32-W41</f>
        <v>-473</v>
      </c>
      <c r="X43">
        <f>X32-X41</f>
        <v>-455</v>
      </c>
      <c r="Y43" s="5">
        <f>Y32-Y41</f>
        <v>180</v>
      </c>
      <c r="Z43" s="5">
        <f t="shared" ref="Z43:AB43" si="75">Z32-Z41</f>
        <v>-156.64318749999961</v>
      </c>
      <c r="AA43" s="5">
        <f t="shared" si="75"/>
        <v>185.76669148741621</v>
      </c>
      <c r="AB43" s="5">
        <f t="shared" si="75"/>
        <v>560.73000327006048</v>
      </c>
    </row>
    <row r="44" spans="1:28" x14ac:dyDescent="0.2">
      <c r="A44" t="s">
        <v>19</v>
      </c>
      <c r="D44">
        <v>-51</v>
      </c>
      <c r="F44">
        <v>-56</v>
      </c>
      <c r="G44">
        <v>-59</v>
      </c>
      <c r="H44">
        <v>-54</v>
      </c>
      <c r="J44">
        <v>-54</v>
      </c>
      <c r="K44">
        <v>-54</v>
      </c>
      <c r="L44">
        <v>-60</v>
      </c>
      <c r="M44">
        <v>-60</v>
      </c>
      <c r="N44">
        <v>-60</v>
      </c>
      <c r="O44">
        <v>-60</v>
      </c>
      <c r="P44">
        <v>-60</v>
      </c>
      <c r="Q44">
        <v>-60</v>
      </c>
      <c r="R44">
        <v>-60</v>
      </c>
      <c r="S44">
        <v>-60</v>
      </c>
      <c r="T44">
        <v>-60</v>
      </c>
      <c r="U44">
        <v>-60</v>
      </c>
      <c r="W44">
        <v>-237</v>
      </c>
      <c r="X44">
        <v>-226</v>
      </c>
      <c r="Y44">
        <v>-222</v>
      </c>
      <c r="Z44" s="5">
        <f>SUM(J44:M44)</f>
        <v>-228</v>
      </c>
      <c r="AA44" s="5">
        <f>SUM(N44:Q44)</f>
        <v>-240</v>
      </c>
      <c r="AB44" s="5">
        <f>SUM(R44:U44)</f>
        <v>-240</v>
      </c>
    </row>
    <row r="45" spans="1:28" x14ac:dyDescent="0.2">
      <c r="A45" t="s">
        <v>20</v>
      </c>
      <c r="D45">
        <v>27</v>
      </c>
      <c r="G45">
        <v>1</v>
      </c>
      <c r="H45">
        <v>10</v>
      </c>
      <c r="J45">
        <v>7</v>
      </c>
      <c r="K45">
        <v>17</v>
      </c>
      <c r="L45">
        <v>7</v>
      </c>
      <c r="M45">
        <v>7</v>
      </c>
      <c r="N45">
        <v>7</v>
      </c>
      <c r="O45">
        <v>7</v>
      </c>
      <c r="P45">
        <v>7</v>
      </c>
      <c r="Q45">
        <v>7</v>
      </c>
      <c r="R45">
        <v>7</v>
      </c>
      <c r="S45">
        <v>7</v>
      </c>
      <c r="T45">
        <v>7</v>
      </c>
      <c r="U45">
        <v>7</v>
      </c>
      <c r="W45">
        <v>41</v>
      </c>
      <c r="X45">
        <v>63</v>
      </c>
      <c r="Y45">
        <v>44</v>
      </c>
      <c r="Z45" s="5">
        <f>SUM(J45:M45)</f>
        <v>38</v>
      </c>
      <c r="AA45" s="5">
        <f>SUM(N45:Q45)</f>
        <v>28</v>
      </c>
      <c r="AB45" s="5">
        <f>SUM(R45:U45)</f>
        <v>28</v>
      </c>
    </row>
    <row r="46" spans="1:28" x14ac:dyDescent="0.2">
      <c r="A46" t="s">
        <v>21</v>
      </c>
      <c r="D46" s="5">
        <f t="shared" ref="D46:I46" si="76">D43+D44+D45</f>
        <v>23</v>
      </c>
      <c r="E46" s="5">
        <f t="shared" si="76"/>
        <v>0</v>
      </c>
      <c r="F46" s="5">
        <f t="shared" si="76"/>
        <v>36</v>
      </c>
      <c r="G46" s="5">
        <f t="shared" si="76"/>
        <v>-14</v>
      </c>
      <c r="H46" s="5">
        <f t="shared" si="76"/>
        <v>3</v>
      </c>
      <c r="I46" s="5">
        <f t="shared" si="76"/>
        <v>10</v>
      </c>
      <c r="J46" s="5">
        <f>J43+J44+J45</f>
        <v>-48</v>
      </c>
      <c r="K46" s="5">
        <f>K43+K44+K45</f>
        <v>-14</v>
      </c>
      <c r="L46" s="5">
        <f t="shared" ref="L46:U46" si="77">L43+L44+L45</f>
        <v>-187.75099999999998</v>
      </c>
      <c r="M46" s="5">
        <f t="shared" si="77"/>
        <v>-96.892187500000034</v>
      </c>
      <c r="N46" s="5">
        <f t="shared" si="77"/>
        <v>-28.882842075892881</v>
      </c>
      <c r="O46" s="5">
        <f t="shared" si="77"/>
        <v>-25.775480322265651</v>
      </c>
      <c r="P46" s="5">
        <f t="shared" si="77"/>
        <v>-10.366558085327142</v>
      </c>
      <c r="Q46" s="5">
        <f t="shared" si="77"/>
        <v>38.791571970901487</v>
      </c>
      <c r="R46" s="5">
        <f t="shared" si="77"/>
        <v>78.396435110086145</v>
      </c>
      <c r="S46" s="5">
        <f t="shared" si="77"/>
        <v>56.810543689638621</v>
      </c>
      <c r="T46" s="5">
        <f t="shared" si="77"/>
        <v>71.237204955179607</v>
      </c>
      <c r="U46" s="5">
        <f t="shared" si="77"/>
        <v>142.28581951515673</v>
      </c>
      <c r="W46">
        <f>W43+W44+W45</f>
        <v>-669</v>
      </c>
      <c r="X46">
        <f>X43+X44+X45</f>
        <v>-618</v>
      </c>
      <c r="Y46">
        <f>Y43+Y44+Y45</f>
        <v>2</v>
      </c>
      <c r="Z46" s="5">
        <f>Z43+Z44+Z45</f>
        <v>-346.64318749999961</v>
      </c>
      <c r="AA46" s="5">
        <f t="shared" ref="AA46:AB46" si="78">AA43+AA44+AA45</f>
        <v>-26.23330851258379</v>
      </c>
      <c r="AB46" s="5">
        <f t="shared" si="78"/>
        <v>348.73000327006048</v>
      </c>
    </row>
    <row r="47" spans="1:28" x14ac:dyDescent="0.2">
      <c r="A47" t="s">
        <v>22</v>
      </c>
      <c r="D47">
        <v>-20</v>
      </c>
      <c r="F47">
        <v>-10</v>
      </c>
      <c r="G47">
        <v>-44</v>
      </c>
      <c r="H47">
        <v>46</v>
      </c>
      <c r="J47">
        <v>-18</v>
      </c>
      <c r="K47">
        <v>13</v>
      </c>
      <c r="W47">
        <v>-2</v>
      </c>
      <c r="X47">
        <v>-62</v>
      </c>
      <c r="Y47">
        <v>-15</v>
      </c>
      <c r="Z47">
        <v>-20</v>
      </c>
      <c r="AA47">
        <v>-20</v>
      </c>
      <c r="AB47">
        <v>-20</v>
      </c>
    </row>
    <row r="48" spans="1:28" x14ac:dyDescent="0.2">
      <c r="A48" t="s">
        <v>23</v>
      </c>
      <c r="D48" s="5">
        <f>D46+D47</f>
        <v>3</v>
      </c>
      <c r="E48" s="5">
        <f t="shared" ref="E48:K48" si="79">E46+E47</f>
        <v>0</v>
      </c>
      <c r="F48" s="5">
        <f t="shared" si="79"/>
        <v>26</v>
      </c>
      <c r="G48" s="5">
        <f t="shared" si="79"/>
        <v>-58</v>
      </c>
      <c r="H48" s="5">
        <f t="shared" si="79"/>
        <v>49</v>
      </c>
      <c r="I48" s="5">
        <f t="shared" si="79"/>
        <v>10</v>
      </c>
      <c r="J48" s="5">
        <f t="shared" si="79"/>
        <v>-66</v>
      </c>
      <c r="K48" s="5">
        <f t="shared" si="79"/>
        <v>-1</v>
      </c>
      <c r="W48">
        <f>W46+W47</f>
        <v>-671</v>
      </c>
      <c r="X48">
        <f>X46+X47</f>
        <v>-680</v>
      </c>
      <c r="Y48">
        <f>Y46+Y47</f>
        <v>-13</v>
      </c>
    </row>
    <row r="49" spans="1:25" x14ac:dyDescent="0.2">
      <c r="A49" t="s">
        <v>49</v>
      </c>
      <c r="F49">
        <v>83.8</v>
      </c>
      <c r="J49">
        <v>84.7</v>
      </c>
      <c r="K49">
        <v>85.6</v>
      </c>
      <c r="M49" s="8"/>
    </row>
    <row r="50" spans="1:25" x14ac:dyDescent="0.2">
      <c r="A50" t="s">
        <v>50</v>
      </c>
      <c r="F50" s="2">
        <f>F48/F49</f>
        <v>0.31026252983293556</v>
      </c>
      <c r="G50" s="2" t="e">
        <f t="shared" ref="G50:J50" si="80">G48/G49</f>
        <v>#DIV/0!</v>
      </c>
      <c r="H50" s="2" t="e">
        <f t="shared" si="80"/>
        <v>#DIV/0!</v>
      </c>
      <c r="I50" s="2" t="e">
        <f t="shared" si="80"/>
        <v>#DIV/0!</v>
      </c>
      <c r="J50" s="2">
        <f t="shared" si="80"/>
        <v>-0.77922077922077915</v>
      </c>
      <c r="K50" s="2">
        <f>K48/K49</f>
        <v>-1.1682242990654207E-2</v>
      </c>
      <c r="M50" s="8"/>
    </row>
    <row r="51" spans="1:25" x14ac:dyDescent="0.2">
      <c r="A51" t="s">
        <v>34</v>
      </c>
      <c r="G51">
        <v>150</v>
      </c>
      <c r="K51">
        <v>138</v>
      </c>
      <c r="X51">
        <v>25</v>
      </c>
      <c r="Y51">
        <v>648</v>
      </c>
    </row>
    <row r="53" spans="1:25" x14ac:dyDescent="0.2">
      <c r="A53" t="s">
        <v>24</v>
      </c>
      <c r="I53">
        <f>Y53</f>
        <v>502</v>
      </c>
      <c r="J53">
        <f>I53+J64</f>
        <v>359</v>
      </c>
      <c r="K53">
        <f>J53+K64</f>
        <v>359</v>
      </c>
      <c r="X53">
        <v>731</v>
      </c>
      <c r="Y53">
        <v>502</v>
      </c>
    </row>
    <row r="56" spans="1:25" x14ac:dyDescent="0.2">
      <c r="A56" t="s">
        <v>23</v>
      </c>
      <c r="W56">
        <f>W48</f>
        <v>-671</v>
      </c>
      <c r="X56">
        <f>X48</f>
        <v>-680</v>
      </c>
      <c r="Y56">
        <f>Y48</f>
        <v>-13</v>
      </c>
    </row>
    <row r="57" spans="1:25" x14ac:dyDescent="0.2">
      <c r="A57" t="s">
        <v>35</v>
      </c>
      <c r="F57">
        <v>103</v>
      </c>
      <c r="G57">
        <v>106</v>
      </c>
      <c r="J57">
        <v>104</v>
      </c>
      <c r="K57">
        <v>99</v>
      </c>
      <c r="W57">
        <v>443</v>
      </c>
      <c r="X57">
        <v>423</v>
      </c>
      <c r="Y57">
        <v>425</v>
      </c>
    </row>
    <row r="58" spans="1:25" x14ac:dyDescent="0.2">
      <c r="A58" t="s">
        <v>58</v>
      </c>
      <c r="F58">
        <v>14</v>
      </c>
      <c r="J58">
        <v>14</v>
      </c>
      <c r="K58">
        <v>14</v>
      </c>
    </row>
    <row r="59" spans="1:25" x14ac:dyDescent="0.2">
      <c r="A59" t="s">
        <v>36</v>
      </c>
      <c r="J59">
        <v>-27</v>
      </c>
      <c r="K59">
        <v>-25</v>
      </c>
      <c r="W59">
        <v>-113</v>
      </c>
      <c r="X59">
        <v>-98</v>
      </c>
      <c r="Y59">
        <v>-106</v>
      </c>
    </row>
    <row r="60" spans="1:25" x14ac:dyDescent="0.2">
      <c r="A60" t="s">
        <v>28</v>
      </c>
      <c r="F60">
        <v>48</v>
      </c>
      <c r="J60">
        <v>-110</v>
      </c>
      <c r="W60">
        <v>241</v>
      </c>
      <c r="X60">
        <v>147</v>
      </c>
      <c r="Y60">
        <v>30</v>
      </c>
    </row>
    <row r="61" spans="1:25" x14ac:dyDescent="0.2">
      <c r="A61" t="s">
        <v>29</v>
      </c>
      <c r="F61">
        <v>-27</v>
      </c>
      <c r="J61">
        <v>-27</v>
      </c>
      <c r="K61">
        <v>-25</v>
      </c>
      <c r="W61">
        <v>-124</v>
      </c>
      <c r="X61">
        <v>314</v>
      </c>
      <c r="Y61">
        <v>-117</v>
      </c>
    </row>
    <row r="62" spans="1:25" x14ac:dyDescent="0.2">
      <c r="A62" t="s">
        <v>30</v>
      </c>
      <c r="F62">
        <v>-6</v>
      </c>
      <c r="J62">
        <v>-5</v>
      </c>
      <c r="W62">
        <v>-61</v>
      </c>
      <c r="X62">
        <v>-489</v>
      </c>
      <c r="Y62">
        <v>-142</v>
      </c>
    </row>
    <row r="63" spans="1:25" x14ac:dyDescent="0.2">
      <c r="A63" t="s">
        <v>31</v>
      </c>
      <c r="F63">
        <v>9</v>
      </c>
      <c r="J63">
        <v>-1</v>
      </c>
      <c r="X63">
        <v>3</v>
      </c>
    </row>
    <row r="64" spans="1:25" x14ac:dyDescent="0.2">
      <c r="A64" t="s">
        <v>32</v>
      </c>
      <c r="J64">
        <f>J60+J61+J62+J63</f>
        <v>-143</v>
      </c>
      <c r="W64">
        <f>W60+W61+W62+W63</f>
        <v>56</v>
      </c>
      <c r="X64">
        <f>X60+X61+X62+X63</f>
        <v>-25</v>
      </c>
      <c r="Y64">
        <f>Y60+Y61+Y62</f>
        <v>-229</v>
      </c>
    </row>
    <row r="65" spans="1:25" x14ac:dyDescent="0.2">
      <c r="A65" t="s">
        <v>33</v>
      </c>
      <c r="W65">
        <f>W56+W57+W59</f>
        <v>-341</v>
      </c>
      <c r="X65">
        <f>X56+X57+X59</f>
        <v>-355</v>
      </c>
      <c r="Y65">
        <f>Y56+Y57+Y59</f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B1ED-FCFF-1F42-83C6-C1FCD86BE8CF}">
  <dimension ref="C10:G14"/>
  <sheetViews>
    <sheetView workbookViewId="0">
      <selection activeCell="C10" sqref="C10:G14"/>
    </sheetView>
  </sheetViews>
  <sheetFormatPr baseColWidth="10" defaultRowHeight="16" x14ac:dyDescent="0.2"/>
  <sheetData>
    <row r="10" spans="3:7" x14ac:dyDescent="0.2">
      <c r="C10" t="s">
        <v>11</v>
      </c>
    </row>
    <row r="11" spans="3:7" x14ac:dyDescent="0.2">
      <c r="C11" t="s">
        <v>25</v>
      </c>
      <c r="F11">
        <v>669</v>
      </c>
      <c r="G11">
        <v>594</v>
      </c>
    </row>
    <row r="12" spans="3:7" x14ac:dyDescent="0.2">
      <c r="C12" t="s">
        <v>0</v>
      </c>
      <c r="F12">
        <v>1092</v>
      </c>
      <c r="G12">
        <v>1230</v>
      </c>
    </row>
    <row r="13" spans="3:7" x14ac:dyDescent="0.2">
      <c r="C13" t="s">
        <v>26</v>
      </c>
      <c r="F13">
        <v>-181</v>
      </c>
      <c r="G13">
        <v>-174</v>
      </c>
    </row>
    <row r="14" spans="3:7" x14ac:dyDescent="0.2">
      <c r="C14" t="s">
        <v>27</v>
      </c>
      <c r="F14">
        <f>F11+F12+F13</f>
        <v>1580</v>
      </c>
      <c r="G14">
        <f>G11+G12+G13</f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5BEF-41E2-554F-9FF4-B2BB43721C94}">
  <dimension ref="A4:C21"/>
  <sheetViews>
    <sheetView workbookViewId="0">
      <selection activeCell="B18" sqref="B18"/>
    </sheetView>
  </sheetViews>
  <sheetFormatPr baseColWidth="10" defaultRowHeight="16" x14ac:dyDescent="0.2"/>
  <cols>
    <col min="1" max="1" width="49.1640625" customWidth="1"/>
  </cols>
  <sheetData>
    <row r="4" spans="1:3" x14ac:dyDescent="0.2">
      <c r="B4" t="s">
        <v>55</v>
      </c>
      <c r="C4" t="s">
        <v>56</v>
      </c>
    </row>
    <row r="5" spans="1:3" x14ac:dyDescent="0.2">
      <c r="A5" t="s">
        <v>51</v>
      </c>
      <c r="B5">
        <v>1000</v>
      </c>
      <c r="C5">
        <v>987</v>
      </c>
    </row>
    <row r="6" spans="1:3" x14ac:dyDescent="0.2">
      <c r="A6" s="10">
        <v>6.1249999999999999E-2</v>
      </c>
      <c r="B6" s="5">
        <f>PMT(A6/4,24,B5,0)</f>
        <v>-50.105481810482026</v>
      </c>
    </row>
    <row r="9" spans="1:3" x14ac:dyDescent="0.2">
      <c r="A9" t="s">
        <v>52</v>
      </c>
      <c r="B9">
        <v>800</v>
      </c>
      <c r="C9">
        <v>781</v>
      </c>
    </row>
    <row r="10" spans="1:3" x14ac:dyDescent="0.2">
      <c r="A10" s="4">
        <v>0.02</v>
      </c>
      <c r="B10" s="5">
        <f>PMT(A10/4,24,B9,0)</f>
        <v>-35.456488202205513</v>
      </c>
    </row>
    <row r="13" spans="1:3" x14ac:dyDescent="0.2">
      <c r="A13" t="s">
        <v>53</v>
      </c>
      <c r="B13">
        <v>743</v>
      </c>
      <c r="C13">
        <v>737</v>
      </c>
    </row>
    <row r="14" spans="1:3" x14ac:dyDescent="0.2">
      <c r="A14" s="4">
        <v>0.02</v>
      </c>
      <c r="B14" s="5">
        <f>PMT(A14/4,24,B13,0)</f>
        <v>-32.93021341779837</v>
      </c>
    </row>
    <row r="16" spans="1:3" x14ac:dyDescent="0.2">
      <c r="A16" t="s">
        <v>54</v>
      </c>
      <c r="B16">
        <v>350</v>
      </c>
      <c r="C16">
        <v>322</v>
      </c>
    </row>
    <row r="17" spans="1:3" x14ac:dyDescent="0.2">
      <c r="A17" s="9">
        <v>2.2499999999999999E-2</v>
      </c>
      <c r="B17" s="5">
        <f>A17*B16/4</f>
        <v>1.96875</v>
      </c>
    </row>
    <row r="21" spans="1:3" x14ac:dyDescent="0.2">
      <c r="A21" t="s">
        <v>57</v>
      </c>
      <c r="B21">
        <f>B5+B9+B13+B16</f>
        <v>2893</v>
      </c>
      <c r="C21">
        <f>C5+C9+C13+C16</f>
        <v>2827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Sheet2</vt:lpstr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WS</cp:lastModifiedBy>
  <dcterms:created xsi:type="dcterms:W3CDTF">2022-08-25T21:05:01Z</dcterms:created>
  <dcterms:modified xsi:type="dcterms:W3CDTF">2022-08-30T14:28:21Z</dcterms:modified>
</cp:coreProperties>
</file>