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1F17302D-38E0-4B9C-A8CD-668F994C58D7}" xr6:coauthVersionLast="47" xr6:coauthVersionMax="47" xr10:uidLastSave="{00000000-0000-0000-0000-000000000000}"/>
  <bookViews>
    <workbookView xWindow="8220" yWindow="0" windowWidth="20310" windowHeight="14910" activeTab="1" xr2:uid="{92810BD6-C4FE-44F7-BDA1-6EEEB686DC43}"/>
  </bookViews>
  <sheets>
    <sheet name="Main" sheetId="1" r:id="rId1"/>
    <sheet name="Model" sheetId="2" r:id="rId2"/>
  </sheets>
  <definedNames>
    <definedName name="RMB">Main!$L$9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8" i="2" l="1"/>
  <c r="M23" i="2"/>
  <c r="M21" i="2"/>
  <c r="M19" i="2"/>
  <c r="M15" i="2"/>
  <c r="L7" i="1" a="1"/>
  <c r="L7" i="1" s="1"/>
  <c r="L6" i="1"/>
  <c r="L5" i="1"/>
  <c r="O13" i="2"/>
  <c r="O15" i="2" s="1"/>
  <c r="N13" i="2"/>
  <c r="N15" i="2" s="1"/>
  <c r="L4" i="1"/>
  <c r="L3" i="1"/>
  <c r="J28" i="2"/>
  <c r="F25" i="2"/>
  <c r="J25" i="2"/>
  <c r="O21" i="2"/>
  <c r="O19" i="2"/>
  <c r="N23" i="2"/>
  <c r="N21" i="2"/>
  <c r="N19" i="2"/>
  <c r="U1" i="2"/>
  <c r="Q1" i="2"/>
  <c r="R1" i="2" s="1"/>
  <c r="S1" i="2" s="1"/>
  <c r="T1" i="2" s="1"/>
  <c r="P1" i="2"/>
  <c r="R2" i="2"/>
  <c r="S2" i="2" s="1"/>
  <c r="T2" i="2" s="1"/>
  <c r="U2" i="2" s="1"/>
  <c r="V2" i="2" s="1"/>
  <c r="W2" i="2" s="1"/>
  <c r="X2" i="2" s="1"/>
  <c r="Y2" i="2" s="1"/>
  <c r="Z2" i="2" s="1"/>
  <c r="Q2" i="2"/>
  <c r="P2" i="2"/>
  <c r="O2" i="2"/>
  <c r="J24" i="2"/>
  <c r="I24" i="2"/>
  <c r="H24" i="2"/>
  <c r="G24" i="2"/>
  <c r="F24" i="2"/>
  <c r="J23" i="2"/>
  <c r="F23" i="2"/>
  <c r="J22" i="2"/>
  <c r="I22" i="2"/>
  <c r="H22" i="2"/>
  <c r="G22" i="2"/>
  <c r="J21" i="2"/>
  <c r="F22" i="2"/>
  <c r="F21" i="2"/>
  <c r="F20" i="2"/>
  <c r="J20" i="2"/>
  <c r="J19" i="2"/>
  <c r="F19" i="2"/>
  <c r="J15" i="2"/>
  <c r="I15" i="2"/>
  <c r="H15" i="2"/>
  <c r="G15" i="2"/>
  <c r="F15" i="2"/>
  <c r="J6" i="2"/>
  <c r="J13" i="2" s="1"/>
  <c r="F13" i="2"/>
  <c r="F6" i="2"/>
  <c r="M20" i="2" l="1"/>
  <c r="M22" i="2" s="1"/>
  <c r="M24" i="2" s="1"/>
  <c r="M25" i="2" s="1"/>
  <c r="O28" i="2"/>
  <c r="O20" i="2"/>
  <c r="O22" i="2" s="1"/>
  <c r="O24" i="2" s="1"/>
  <c r="O25" i="2" s="1"/>
  <c r="N20" i="2"/>
  <c r="N22" i="2" s="1"/>
  <c r="N24" i="2" s="1"/>
  <c r="N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<sst xmlns="http://schemas.openxmlformats.org/spreadsheetml/2006/main" count="47" uniqueCount="46">
  <si>
    <t>Shares</t>
  </si>
  <si>
    <t>EV</t>
  </si>
  <si>
    <t>5/26/22: FY22 results.</t>
  </si>
  <si>
    <t>HK Listing: 9988</t>
  </si>
  <si>
    <t>CEO: Daniel Zhang</t>
  </si>
  <si>
    <t>Main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</si>
  <si>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</si>
  <si>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</si>
  <si>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</si>
  <si>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</si>
  <si>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</si>
  <si>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</si>
  <si>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</si>
  <si>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</si>
  <si>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</si>
  <si>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China Customer Management</t>
  </si>
  <si>
    <t>China Direct Sales</t>
  </si>
  <si>
    <t>China Wholesale</t>
  </si>
  <si>
    <t>China Retail</t>
  </si>
  <si>
    <t>International Retail</t>
  </si>
  <si>
    <t>Local Consumer</t>
  </si>
  <si>
    <t>Cainiao</t>
  </si>
  <si>
    <t>Cloud</t>
  </si>
  <si>
    <t>Digital Media</t>
  </si>
  <si>
    <t>Innovation</t>
  </si>
  <si>
    <t>COGS</t>
  </si>
  <si>
    <t>RMB 000s</t>
  </si>
  <si>
    <t>Gross Margin</t>
  </si>
  <si>
    <t>Product Development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</si>
  <si>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</si>
  <si>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</si>
  <si>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</si>
  <si>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</si>
  <si>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</si>
  <si>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</si>
  <si>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</si>
  <si>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</si>
  <si>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</si>
  <si>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Growth</t>
  </si>
  <si>
    <t>ADS = 8 ordinary shares</t>
  </si>
  <si>
    <t>Price USD</t>
  </si>
  <si>
    <t>MC USD</t>
  </si>
  <si>
    <t>Cash RMB</t>
  </si>
  <si>
    <t>Debt RMB</t>
  </si>
  <si>
    <t>RMB</t>
  </si>
  <si>
    <t>CFFO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</si>
</sst>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47625</xdr:rowOff>
    </xdr:from>
    <xdr:to>
      <xdr:col>10</xdr:col>
      <xdr:colOff>9525</xdr:colOff>
      <xdr:row>40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CE6F5E-BEF2-57BD-7B0B-D3DEB45A7832}"/>
            </a:ext>
          </a:extLst>
        </xdr:cNvPr>
        <xdr:cNvCxnSpPr/>
      </xdr:nvCxnSpPr>
      <xdr:spPr>
        <a:xfrm>
          <a:off x="6962775" y="47625"/>
          <a:ext cx="0" cy="645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0</xdr:row>
      <xdr:rowOff>0</xdr:rowOff>
    </xdr:from>
    <xdr:to>
      <xdr:col>15</xdr:col>
      <xdr:colOff>28575</xdr:colOff>
      <xdr:row>39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5294D9E-89D7-4E03-BF95-102A21600453}"/>
            </a:ext>
          </a:extLst>
        </xdr:cNvPr>
        <xdr:cNvCxnSpPr/>
      </xdr:nvCxnSpPr>
      <xdr:spPr>
        <a:xfrm>
          <a:off x="10029825" y="0"/>
          <a:ext cx="0" cy="645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BA1B-3870-4960-86CF-D4C6C2448885}">
  <dimension ref="B2:L15"/>
  <sheetViews>
    <sheetView workbookViewId="0">
      <selection activeCell="L7" sqref="L7"/>
    </sheetView>
  </sheetViews>
  <sheetFormatPr defaultRowHeight="12.75" x14ac:dyDescent="0.2"/>
  <cols>
    <col min="11" max="11" width="10.5703125" customWidth="1"/>
    <col min="12" max="12" width="10.140625" bestFit="1" customWidth="1"/>
  </cols>
  <sheetData>
    <row r="2" spans="2:12" x14ac:dyDescent="0.2">
      <c r="K2" t="s">
        <v>40</v>
      </c>
      <c r="L2" s="1">
        <v>115.9</v>
      </c>
    </row>
    <row r="3" spans="2:12" x14ac:dyDescent="0.2">
      <c r="K3" t="s">
        <v>0</v>
      </c>
      <c r="L3" s="3">
        <f>21401/8</f>
        <v>2675.125</v>
      </c>
    </row>
    <row r="4" spans="2:12" x14ac:dyDescent="0.2">
      <c r="K4" t="s">
        <v>41</v>
      </c>
      <c r="L4" s="3">
        <f>L2*L3</f>
        <v>310046.98749999999</v>
      </c>
    </row>
    <row r="5" spans="2:12" x14ac:dyDescent="0.2">
      <c r="K5" t="s">
        <v>42</v>
      </c>
      <c r="L5" s="3">
        <f>321262+152376+35207+9807+237221+200189</f>
        <v>956062</v>
      </c>
    </row>
    <row r="6" spans="2:12" x14ac:dyDescent="0.2">
      <c r="K6" t="s">
        <v>43</v>
      </c>
      <c r="L6" s="3">
        <f>3606+9831+38335+97381</f>
        <v>149153</v>
      </c>
    </row>
    <row r="7" spans="2:12" x14ac:dyDescent="0.2">
      <c r="K7" t="s">
        <v>1</v>
      </c>
      <c r="L7" s="3" cm="1">
        <f t="array" ref="L7">L4-((L5-L6)/RMB)</f>
        <v>190327.55129821959</v>
      </c>
    </row>
    <row r="9" spans="2:12" x14ac:dyDescent="0.2">
      <c r="K9" t="s">
        <v>44</v>
      </c>
      <c r="L9">
        <v>6.74</v>
      </c>
    </row>
    <row r="13" spans="2:12" x14ac:dyDescent="0.2">
      <c r="K13" t="s">
        <v>3</v>
      </c>
    </row>
    <row r="14" spans="2:12" x14ac:dyDescent="0.2">
      <c r="K14" t="s">
        <v>4</v>
      </c>
    </row>
    <row r="15" spans="2:12" x14ac:dyDescent="0.2">
      <c r="B15" t="s">
        <v>2</v>
      </c>
      <c r="K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4FB6-2DDF-41E8-BD94-FC380ED24DA7}">
  <dimension ref="A1:Z3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26.140625" bestFit="1" customWidth="1"/>
    <col min="3" max="10" width="9.140625" style="2"/>
  </cols>
  <sheetData>
    <row r="1" spans="1:26" x14ac:dyDescent="0.2">
      <c r="A1" s="13" t="s">
        <v>5</v>
      </c>
      <c r="F1" s="7">
        <v>44286</v>
      </c>
      <c r="J1" s="7">
        <v>44651</v>
      </c>
      <c r="N1" s="8">
        <v>44286</v>
      </c>
      <c r="O1" s="8">
        <v>44651</v>
      </c>
      <c r="P1" s="8">
        <f>O1+365</f>
        <v>45016</v>
      </c>
      <c r="Q1" s="8">
        <f>P1+366</f>
        <v>45382</v>
      </c>
      <c r="R1" s="8">
        <f t="shared" ref="Q1:U1" si="0">Q1+365</f>
        <v>45747</v>
      </c>
      <c r="S1" s="8">
        <f t="shared" si="0"/>
        <v>46112</v>
      </c>
      <c r="T1" s="8">
        <f t="shared" si="0"/>
        <v>46477</v>
      </c>
      <c r="U1" s="8">
        <f>T1+366</f>
        <v>46843</v>
      </c>
    </row>
    <row r="2" spans="1:26" x14ac:dyDescent="0.2">
      <c r="B2" t="s">
        <v>26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N2">
        <v>2021</v>
      </c>
      <c r="O2">
        <f>N2+1</f>
        <v>2022</v>
      </c>
      <c r="P2">
        <f t="shared" ref="P2:Z2" si="1">O2+1</f>
        <v>2023</v>
      </c>
      <c r="Q2">
        <f t="shared" si="1"/>
        <v>2024</v>
      </c>
      <c r="R2">
        <f t="shared" si="1"/>
        <v>2025</v>
      </c>
      <c r="S2">
        <f t="shared" si="1"/>
        <v>2026</v>
      </c>
      <c r="T2">
        <f t="shared" si="1"/>
        <v>2027</v>
      </c>
      <c r="U2">
        <f t="shared" si="1"/>
        <v>2028</v>
      </c>
      <c r="V2">
        <f t="shared" si="1"/>
        <v>2029</v>
      </c>
      <c r="W2">
        <f t="shared" si="1"/>
        <v>2030</v>
      </c>
      <c r="X2">
        <f t="shared" si="1"/>
        <v>2031</v>
      </c>
      <c r="Y2">
        <f t="shared" si="1"/>
        <v>2032</v>
      </c>
      <c r="Z2">
        <f t="shared" si="1"/>
        <v>2033</v>
      </c>
    </row>
    <row r="3" spans="1:26" s="3" customFormat="1" x14ac:dyDescent="0.2">
      <c r="B3" s="3" t="s">
        <v>15</v>
      </c>
      <c r="C3" s="4"/>
      <c r="D3" s="4"/>
      <c r="E3" s="4"/>
      <c r="F3" s="4">
        <v>63224</v>
      </c>
      <c r="G3" s="4"/>
      <c r="H3" s="4"/>
      <c r="I3" s="4"/>
      <c r="J3" s="4">
        <v>63421</v>
      </c>
    </row>
    <row r="4" spans="1:26" s="3" customFormat="1" x14ac:dyDescent="0.2">
      <c r="B4" s="3" t="s">
        <v>16</v>
      </c>
      <c r="C4" s="4"/>
      <c r="D4" s="4"/>
      <c r="E4" s="4"/>
      <c r="F4" s="4">
        <v>63797</v>
      </c>
      <c r="G4" s="4"/>
      <c r="H4" s="4"/>
      <c r="I4" s="4"/>
      <c r="J4" s="4">
        <v>72526</v>
      </c>
    </row>
    <row r="5" spans="1:26" s="3" customFormat="1" x14ac:dyDescent="0.2">
      <c r="B5" s="3" t="s">
        <v>17</v>
      </c>
      <c r="C5" s="4"/>
      <c r="D5" s="4"/>
      <c r="E5" s="4"/>
      <c r="F5" s="4">
        <v>3370</v>
      </c>
      <c r="G5" s="4"/>
      <c r="H5" s="4"/>
      <c r="I5" s="4"/>
      <c r="J5" s="4">
        <v>4383</v>
      </c>
    </row>
    <row r="6" spans="1:26" s="3" customFormat="1" x14ac:dyDescent="0.2">
      <c r="B6" s="3" t="s">
        <v>18</v>
      </c>
      <c r="C6" s="4"/>
      <c r="D6" s="4"/>
      <c r="E6" s="4"/>
      <c r="F6" s="4">
        <f>F4+F3+F5</f>
        <v>130391</v>
      </c>
      <c r="G6" s="4"/>
      <c r="H6" s="4"/>
      <c r="I6" s="4"/>
      <c r="J6" s="4">
        <f>J4+J3+J5</f>
        <v>140330</v>
      </c>
      <c r="N6" s="3">
        <v>501683</v>
      </c>
      <c r="O6" s="3">
        <v>592705</v>
      </c>
    </row>
    <row r="7" spans="1:26" s="3" customFormat="1" x14ac:dyDescent="0.2">
      <c r="B7" s="3" t="s">
        <v>19</v>
      </c>
      <c r="C7" s="4"/>
      <c r="D7" s="4"/>
      <c r="E7" s="4"/>
      <c r="F7" s="4">
        <v>13416</v>
      </c>
      <c r="G7" s="4"/>
      <c r="H7" s="4"/>
      <c r="I7" s="4"/>
      <c r="J7" s="4">
        <v>14335</v>
      </c>
      <c r="N7" s="3">
        <v>48851</v>
      </c>
      <c r="O7" s="3">
        <v>61078</v>
      </c>
    </row>
    <row r="8" spans="1:26" s="3" customFormat="1" x14ac:dyDescent="0.2">
      <c r="B8" s="3" t="s">
        <v>20</v>
      </c>
      <c r="C8" s="4"/>
      <c r="D8" s="4"/>
      <c r="E8" s="4"/>
      <c r="F8" s="4">
        <v>8123</v>
      </c>
      <c r="G8" s="4"/>
      <c r="H8" s="4"/>
      <c r="I8" s="4"/>
      <c r="J8" s="4">
        <v>10445</v>
      </c>
      <c r="N8" s="3">
        <v>35442</v>
      </c>
      <c r="O8" s="3">
        <v>43491</v>
      </c>
    </row>
    <row r="9" spans="1:26" s="3" customFormat="1" x14ac:dyDescent="0.2">
      <c r="B9" s="3" t="s">
        <v>21</v>
      </c>
      <c r="C9" s="4"/>
      <c r="D9" s="4"/>
      <c r="E9" s="4"/>
      <c r="F9" s="4">
        <v>9959</v>
      </c>
      <c r="G9" s="4"/>
      <c r="H9" s="4"/>
      <c r="I9" s="4"/>
      <c r="J9" s="4">
        <v>11582</v>
      </c>
      <c r="N9" s="3">
        <v>37258</v>
      </c>
      <c r="O9" s="3">
        <v>46107</v>
      </c>
    </row>
    <row r="10" spans="1:26" s="3" customFormat="1" x14ac:dyDescent="0.2">
      <c r="B10" s="3" t="s">
        <v>22</v>
      </c>
      <c r="C10" s="4"/>
      <c r="D10" s="4"/>
      <c r="E10" s="4"/>
      <c r="F10" s="4">
        <v>16865</v>
      </c>
      <c r="G10" s="4"/>
      <c r="H10" s="4"/>
      <c r="I10" s="4"/>
      <c r="J10" s="4">
        <v>18971</v>
      </c>
      <c r="M10" s="3">
        <v>40016</v>
      </c>
      <c r="N10" s="3">
        <v>60558</v>
      </c>
      <c r="O10" s="3">
        <v>74568</v>
      </c>
    </row>
    <row r="11" spans="1:26" s="3" customFormat="1" x14ac:dyDescent="0.2">
      <c r="B11" s="3" t="s">
        <v>23</v>
      </c>
      <c r="C11" s="4"/>
      <c r="D11" s="4"/>
      <c r="E11" s="4"/>
      <c r="F11" s="4">
        <v>8047</v>
      </c>
      <c r="G11" s="4"/>
      <c r="H11" s="4"/>
      <c r="I11" s="4"/>
      <c r="J11" s="4">
        <v>8005</v>
      </c>
      <c r="M11" s="3">
        <v>29094</v>
      </c>
      <c r="N11" s="3">
        <v>31186</v>
      </c>
      <c r="O11" s="3">
        <v>32272</v>
      </c>
    </row>
    <row r="12" spans="1:26" s="3" customFormat="1" x14ac:dyDescent="0.2">
      <c r="B12" s="3" t="s">
        <v>24</v>
      </c>
      <c r="C12" s="4"/>
      <c r="D12" s="4"/>
      <c r="E12" s="4"/>
      <c r="F12" s="4">
        <v>594</v>
      </c>
      <c r="G12" s="4"/>
      <c r="H12" s="4"/>
      <c r="I12" s="4"/>
      <c r="J12" s="4">
        <v>384</v>
      </c>
      <c r="M12" s="3">
        <v>4497</v>
      </c>
      <c r="N12" s="3">
        <v>2311</v>
      </c>
      <c r="O12" s="3">
        <v>2841</v>
      </c>
    </row>
    <row r="13" spans="1:26" s="5" customFormat="1" x14ac:dyDescent="0.2">
      <c r="B13" s="5" t="s">
        <v>6</v>
      </c>
      <c r="C13" s="6"/>
      <c r="D13" s="6"/>
      <c r="E13" s="6"/>
      <c r="F13" s="6">
        <f>SUM(F6:F12)</f>
        <v>187395</v>
      </c>
      <c r="G13" s="6"/>
      <c r="H13" s="6"/>
      <c r="I13" s="6"/>
      <c r="J13" s="6">
        <f>SUM(J6:J12)</f>
        <v>204052</v>
      </c>
      <c r="M13" s="5">
        <v>509711</v>
      </c>
      <c r="N13" s="5">
        <f>SUM(N6:N12)</f>
        <v>717289</v>
      </c>
      <c r="O13" s="5">
        <f>SUM(O6:O12)</f>
        <v>853062</v>
      </c>
    </row>
    <row r="14" spans="1:26" s="3" customFormat="1" x14ac:dyDescent="0.2">
      <c r="B14" s="3" t="s">
        <v>25</v>
      </c>
      <c r="C14" s="4"/>
      <c r="D14" s="4"/>
      <c r="E14" s="4"/>
      <c r="F14" s="4">
        <v>125454</v>
      </c>
      <c r="G14" s="4"/>
      <c r="H14" s="4"/>
      <c r="I14" s="4"/>
      <c r="J14" s="4">
        <v>138945</v>
      </c>
      <c r="M14" s="3">
        <v>282367</v>
      </c>
      <c r="N14" s="3">
        <v>421205</v>
      </c>
      <c r="O14" s="3">
        <v>539450</v>
      </c>
    </row>
    <row r="15" spans="1:26" s="3" customFormat="1" x14ac:dyDescent="0.2">
      <c r="B15" s="3" t="s">
        <v>27</v>
      </c>
      <c r="C15" s="4"/>
      <c r="D15" s="4"/>
      <c r="E15" s="4"/>
      <c r="F15" s="4">
        <f>F13-F14</f>
        <v>61941</v>
      </c>
      <c r="G15" s="4">
        <f t="shared" ref="G15:J15" si="2">G13-G14</f>
        <v>0</v>
      </c>
      <c r="H15" s="4">
        <f t="shared" si="2"/>
        <v>0</v>
      </c>
      <c r="I15" s="4">
        <f t="shared" si="2"/>
        <v>0</v>
      </c>
      <c r="J15" s="4">
        <f t="shared" si="2"/>
        <v>65107</v>
      </c>
      <c r="M15" s="3">
        <f>M13-M14</f>
        <v>227344</v>
      </c>
      <c r="N15" s="3">
        <f>N13-N14</f>
        <v>296084</v>
      </c>
      <c r="O15" s="3">
        <f t="shared" ref="O15" si="3">O13-O14</f>
        <v>313612</v>
      </c>
    </row>
    <row r="16" spans="1:26" s="3" customFormat="1" x14ac:dyDescent="0.2">
      <c r="B16" s="3" t="s">
        <v>28</v>
      </c>
      <c r="C16" s="4"/>
      <c r="D16" s="4"/>
      <c r="E16" s="4"/>
      <c r="F16" s="4">
        <v>13302</v>
      </c>
      <c r="G16" s="4"/>
      <c r="H16" s="4"/>
      <c r="I16" s="4"/>
      <c r="J16" s="4">
        <v>10944</v>
      </c>
      <c r="M16" s="3">
        <v>43080</v>
      </c>
      <c r="N16" s="3">
        <v>57236</v>
      </c>
      <c r="O16" s="3">
        <v>55465</v>
      </c>
    </row>
    <row r="17" spans="2:15" s="3" customFormat="1" x14ac:dyDescent="0.2">
      <c r="B17" s="3" t="s">
        <v>29</v>
      </c>
      <c r="C17" s="4"/>
      <c r="D17" s="4"/>
      <c r="E17" s="4"/>
      <c r="F17" s="4">
        <v>25153</v>
      </c>
      <c r="G17" s="4"/>
      <c r="H17" s="4"/>
      <c r="I17" s="4"/>
      <c r="J17" s="4">
        <v>27200</v>
      </c>
      <c r="M17" s="3">
        <v>50673</v>
      </c>
      <c r="N17" s="3">
        <v>81519</v>
      </c>
      <c r="O17" s="3">
        <v>119799</v>
      </c>
    </row>
    <row r="18" spans="2:15" s="3" customFormat="1" x14ac:dyDescent="0.2">
      <c r="B18" s="3" t="s">
        <v>30</v>
      </c>
      <c r="C18" s="4"/>
      <c r="D18" s="4"/>
      <c r="E18" s="4"/>
      <c r="F18" s="4">
        <v>27734</v>
      </c>
      <c r="G18" s="4"/>
      <c r="H18" s="4"/>
      <c r="I18" s="4"/>
      <c r="J18" s="4">
        <v>7415</v>
      </c>
      <c r="M18" s="3">
        <v>28197</v>
      </c>
      <c r="N18" s="3">
        <v>55224</v>
      </c>
      <c r="O18" s="3">
        <v>31922</v>
      </c>
    </row>
    <row r="19" spans="2:15" s="3" customFormat="1" x14ac:dyDescent="0.2">
      <c r="B19" s="3" t="s">
        <v>31</v>
      </c>
      <c r="C19" s="4"/>
      <c r="D19" s="4"/>
      <c r="E19" s="4"/>
      <c r="F19" s="4">
        <f>SUM(F16:F18)</f>
        <v>66189</v>
      </c>
      <c r="G19" s="4"/>
      <c r="H19" s="4"/>
      <c r="I19" s="4"/>
      <c r="J19" s="4">
        <f>SUM(J16:J18)</f>
        <v>45559</v>
      </c>
      <c r="M19" s="4">
        <f>SUM(M16:M18)</f>
        <v>121950</v>
      </c>
      <c r="N19" s="4">
        <f>SUM(N16:N18)</f>
        <v>193979</v>
      </c>
      <c r="O19" s="4">
        <f t="shared" ref="O19" si="4">SUM(O16:O18)</f>
        <v>207186</v>
      </c>
    </row>
    <row r="20" spans="2:15" s="3" customFormat="1" x14ac:dyDescent="0.2">
      <c r="B20" s="3" t="s">
        <v>32</v>
      </c>
      <c r="C20" s="4"/>
      <c r="D20" s="4"/>
      <c r="E20" s="4"/>
      <c r="F20" s="4">
        <f>F15-F19</f>
        <v>-4248</v>
      </c>
      <c r="G20" s="4"/>
      <c r="H20" s="4"/>
      <c r="I20" s="4"/>
      <c r="J20" s="4">
        <f>J15-J19</f>
        <v>19548</v>
      </c>
      <c r="M20" s="4">
        <f>M15-M19</f>
        <v>105394</v>
      </c>
      <c r="N20" s="4">
        <f>N15-N19</f>
        <v>102105</v>
      </c>
      <c r="O20" s="4">
        <f t="shared" ref="O20" si="5">O15-O19</f>
        <v>106426</v>
      </c>
    </row>
    <row r="21" spans="2:15" s="3" customFormat="1" x14ac:dyDescent="0.2">
      <c r="B21" s="3" t="s">
        <v>33</v>
      </c>
      <c r="C21" s="4"/>
      <c r="D21" s="4"/>
      <c r="E21" s="4"/>
      <c r="F21" s="4">
        <f>111-1160+2115</f>
        <v>1066</v>
      </c>
      <c r="G21" s="4"/>
      <c r="H21" s="4"/>
      <c r="I21" s="4"/>
      <c r="J21" s="4">
        <f>-36708-1189+1620</f>
        <v>-36277</v>
      </c>
      <c r="M21" s="3">
        <f>72956-5180+7439</f>
        <v>75215</v>
      </c>
      <c r="N21" s="3">
        <f>72794-4476+7582</f>
        <v>75900</v>
      </c>
      <c r="O21" s="3">
        <f>-15702-4909+10523</f>
        <v>-10088</v>
      </c>
    </row>
    <row r="22" spans="2:15" s="3" customFormat="1" x14ac:dyDescent="0.2">
      <c r="B22" s="3" t="s">
        <v>34</v>
      </c>
      <c r="C22" s="4"/>
      <c r="D22" s="4"/>
      <c r="E22" s="4"/>
      <c r="F22" s="4">
        <f>F20+F21</f>
        <v>-3182</v>
      </c>
      <c r="G22" s="4">
        <f t="shared" ref="G22:J22" si="6">G20+G21</f>
        <v>0</v>
      </c>
      <c r="H22" s="4">
        <f t="shared" si="6"/>
        <v>0</v>
      </c>
      <c r="I22" s="4">
        <f t="shared" si="6"/>
        <v>0</v>
      </c>
      <c r="J22" s="4">
        <f t="shared" si="6"/>
        <v>-16729</v>
      </c>
      <c r="M22" s="4">
        <f t="shared" ref="M22:N22" si="7">M20+M21</f>
        <v>180609</v>
      </c>
      <c r="N22" s="4">
        <f t="shared" si="7"/>
        <v>178005</v>
      </c>
      <c r="O22" s="4">
        <f t="shared" ref="O22" si="8">O20+O21</f>
        <v>96338</v>
      </c>
    </row>
    <row r="23" spans="2:15" x14ac:dyDescent="0.2">
      <c r="B23" s="3" t="s">
        <v>35</v>
      </c>
      <c r="F23" s="4">
        <f>-7049+5992</f>
        <v>-1057</v>
      </c>
      <c r="G23" s="4"/>
      <c r="H23" s="4"/>
      <c r="I23" s="4"/>
      <c r="J23" s="4">
        <f>-2079+3282</f>
        <v>1203</v>
      </c>
      <c r="M23" s="4">
        <f>-20562-5733+9083</f>
        <v>-17212</v>
      </c>
      <c r="N23" s="4">
        <f>-29278+6984-7294</f>
        <v>-29588</v>
      </c>
      <c r="O23" s="4">
        <v>-26815</v>
      </c>
    </row>
    <row r="24" spans="2:15" x14ac:dyDescent="0.2">
      <c r="B24" s="3" t="s">
        <v>36</v>
      </c>
      <c r="F24" s="4">
        <f>F22+F23</f>
        <v>-4239</v>
      </c>
      <c r="G24" s="4">
        <f t="shared" ref="G24:J24" si="9">G22+G23</f>
        <v>0</v>
      </c>
      <c r="H24" s="4">
        <f t="shared" si="9"/>
        <v>0</v>
      </c>
      <c r="I24" s="4">
        <f t="shared" si="9"/>
        <v>0</v>
      </c>
      <c r="J24" s="4">
        <f t="shared" si="9"/>
        <v>-15526</v>
      </c>
      <c r="M24" s="4">
        <f t="shared" ref="M24:N24" si="10">M22+M23</f>
        <v>163397</v>
      </c>
      <c r="N24" s="4">
        <f t="shared" si="10"/>
        <v>148417</v>
      </c>
      <c r="O24" s="4">
        <f t="shared" ref="O24" si="11">O22+O23</f>
        <v>69523</v>
      </c>
    </row>
    <row r="25" spans="2:15" x14ac:dyDescent="0.2">
      <c r="B25" s="3" t="s">
        <v>37</v>
      </c>
      <c r="F25" s="1">
        <f>F24/F26</f>
        <v>-0.19247184889211769</v>
      </c>
      <c r="J25" s="1">
        <f>J24/J26</f>
        <v>-0.72548011775150689</v>
      </c>
      <c r="M25" s="1">
        <f>M24/M26</f>
        <v>7.65468940316687</v>
      </c>
      <c r="N25" s="1">
        <f>N24/N26</f>
        <v>6.7517514329906287</v>
      </c>
      <c r="O25" s="1">
        <f t="shared" ref="O25" si="12">O24/O26</f>
        <v>3.191031348969569</v>
      </c>
    </row>
    <row r="26" spans="2:15" s="3" customFormat="1" x14ac:dyDescent="0.2">
      <c r="B26" s="3" t="s">
        <v>0</v>
      </c>
      <c r="C26" s="4"/>
      <c r="D26" s="4"/>
      <c r="E26" s="4"/>
      <c r="F26" s="3">
        <v>22024</v>
      </c>
      <c r="G26" s="4"/>
      <c r="H26" s="4"/>
      <c r="I26" s="4"/>
      <c r="J26" s="3">
        <v>21401</v>
      </c>
      <c r="M26" s="3">
        <v>21346</v>
      </c>
      <c r="N26" s="3">
        <v>21982</v>
      </c>
      <c r="O26" s="3">
        <v>21787</v>
      </c>
    </row>
    <row r="28" spans="2:15" s="11" customFormat="1" x14ac:dyDescent="0.2">
      <c r="B28" s="5" t="s">
        <v>38</v>
      </c>
      <c r="C28" s="9"/>
      <c r="D28" s="9"/>
      <c r="E28" s="9"/>
      <c r="F28" s="9"/>
      <c r="G28" s="9"/>
      <c r="H28" s="9"/>
      <c r="I28" s="9"/>
      <c r="J28" s="10">
        <f>J13/F13-1</f>
        <v>8.8887110114997725E-2</v>
      </c>
      <c r="N28" s="12">
        <f>N13/M13-1</f>
        <v>0.40724645926809511</v>
      </c>
      <c r="O28" s="12">
        <f>O13/N13-1</f>
        <v>0.18928632671071211</v>
      </c>
    </row>
    <row r="30" spans="2:15" s="3" customFormat="1" x14ac:dyDescent="0.2">
      <c r="B30" s="3" t="s">
        <v>45</v>
      </c>
      <c r="C30" s="4"/>
      <c r="D30" s="4"/>
      <c r="E30" s="4"/>
      <c r="F30" s="4"/>
      <c r="G30" s="4"/>
      <c r="H30" s="4"/>
      <c r="I30" s="4"/>
      <c r="J30" s="4"/>
      <c r="N30" s="3">
        <v>231786</v>
      </c>
      <c r="O30" s="3">
        <v>142759</v>
      </c>
    </row>
  </sheetData>
  <hyperlinks>
    <hyperlink ref="A1" location="Main!A1" display="Main" xr:uid="{FAA98B89-DC2B-402A-A0D0-CDB62F656CC1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Model</vt:lpstr>
      <vt:lpstr>RMB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2022-07-18T13:42:23Z</dcterms:created>
  <dcterms:modified xsi:type="dcterms:W3CDTF">2022-07-18T16:27:23Z</dcterms:modified>
</cp:coreProperties>
</file>