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4B58A034-F48B-BA4D-8693-EB3D03EE0801}" xr6:coauthVersionLast="47" xr6:coauthVersionMax="47" xr10:uidLastSave="{00000000-0000-0000-0000-000000000000}"/>
  <bookViews>
    <workbookView xWindow="0" yWindow="760" windowWidth="30240" windowHeight="18880" activeTab="2" xr2:uid="{65527291-3A94-5942-BE59-1A7346F99D85}"/>
  </bookViews>
  <sheets>
    <sheet name="Cover" sheetId="4" r:id="rId1"/>
    <sheet name="Main" sheetId="11" r:id="rId2"/>
    <sheet name="Model" sheetId="1" r:id="rId3"/>
    <sheet name="Debt Schedul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3" i="1" l="1"/>
  <c r="R84" i="1" s="1"/>
  <c r="U81" i="1"/>
  <c r="U83" i="1" s="1"/>
  <c r="U84" i="1" s="1"/>
  <c r="U67" i="1"/>
  <c r="S67" i="1"/>
  <c r="S72" i="1" s="1"/>
  <c r="T67" i="1"/>
  <c r="T72" i="1" s="1"/>
  <c r="U72" i="1"/>
  <c r="R67" i="1"/>
  <c r="R72" i="1" s="1"/>
  <c r="S60" i="1"/>
  <c r="T60" i="1"/>
  <c r="U60" i="1"/>
  <c r="R60" i="1"/>
  <c r="S126" i="1"/>
  <c r="S115" i="1"/>
  <c r="S122" i="1"/>
  <c r="T81" i="1"/>
  <c r="T83" i="1" s="1"/>
  <c r="T84" i="1" s="1"/>
  <c r="S81" i="1"/>
  <c r="S83" i="1" s="1"/>
  <c r="S84" i="1" s="1"/>
  <c r="R81" i="1"/>
  <c r="AO18" i="1"/>
  <c r="T15" i="1"/>
  <c r="T21" i="1" s="1"/>
  <c r="T24" i="1" s="1"/>
  <c r="T26" i="1" s="1"/>
  <c r="AP19" i="1"/>
  <c r="S15" i="1"/>
  <c r="S21" i="1" s="1"/>
  <c r="S24" i="1" s="1"/>
  <c r="AP18" i="1"/>
  <c r="AM7" i="1"/>
  <c r="AN7" i="1" s="1"/>
  <c r="AO7" i="1" s="1"/>
  <c r="AP7" i="1" s="1"/>
  <c r="AQ7" i="1" s="1"/>
  <c r="AR7" i="1" s="1"/>
  <c r="AS7" i="1" s="1"/>
  <c r="D42" i="11"/>
  <c r="D26" i="11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H30" i="8"/>
  <c r="AF30" i="8"/>
  <c r="AD30" i="8"/>
  <c r="AB30" i="8"/>
  <c r="Z30" i="8"/>
  <c r="X30" i="8"/>
  <c r="V30" i="8"/>
  <c r="T30" i="8"/>
  <c r="R30" i="8"/>
  <c r="P30" i="8"/>
  <c r="N30" i="8"/>
  <c r="L30" i="8"/>
  <c r="J30" i="8"/>
  <c r="H30" i="8"/>
  <c r="F30" i="8"/>
  <c r="D30" i="8"/>
  <c r="B30" i="8"/>
  <c r="J29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H23" i="8"/>
  <c r="AF23" i="8"/>
  <c r="AD23" i="8"/>
  <c r="AB23" i="8"/>
  <c r="Z23" i="8"/>
  <c r="X23" i="8"/>
  <c r="V23" i="8"/>
  <c r="T23" i="8"/>
  <c r="R23" i="8"/>
  <c r="P23" i="8"/>
  <c r="N23" i="8"/>
  <c r="L23" i="8"/>
  <c r="J23" i="8"/>
  <c r="H23" i="8"/>
  <c r="F23" i="8"/>
  <c r="D23" i="8"/>
  <c r="B23" i="8"/>
  <c r="J22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B16" i="8"/>
  <c r="Z16" i="8"/>
  <c r="X16" i="8"/>
  <c r="V16" i="8"/>
  <c r="T16" i="8"/>
  <c r="R16" i="8"/>
  <c r="P16" i="8"/>
  <c r="N16" i="8"/>
  <c r="L16" i="8"/>
  <c r="J16" i="8"/>
  <c r="H16" i="8"/>
  <c r="F16" i="8"/>
  <c r="D16" i="8"/>
  <c r="B16" i="8"/>
  <c r="AB15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AM34" i="1"/>
  <c r="AL34" i="1"/>
  <c r="AS31" i="1"/>
  <c r="AR31" i="1"/>
  <c r="AQ31" i="1"/>
  <c r="AS28" i="1"/>
  <c r="AR28" i="1"/>
  <c r="AQ28" i="1"/>
  <c r="AP28" i="1"/>
  <c r="AO28" i="1"/>
  <c r="AN28" i="1"/>
  <c r="AM28" i="1"/>
  <c r="AL28" i="1"/>
  <c r="AS32" i="1"/>
  <c r="AR32" i="1"/>
  <c r="AQ32" i="1"/>
  <c r="AS29" i="1"/>
  <c r="AR29" i="1"/>
  <c r="AQ29" i="1"/>
  <c r="AP29" i="1"/>
  <c r="AO29" i="1"/>
  <c r="AN29" i="1"/>
  <c r="AM29" i="1"/>
  <c r="AL29" i="1"/>
  <c r="AS26" i="1"/>
  <c r="AR26" i="1"/>
  <c r="AQ26" i="1"/>
  <c r="AO26" i="1"/>
  <c r="AN26" i="1"/>
  <c r="AM26" i="1"/>
  <c r="AL26" i="1"/>
  <c r="AS25" i="1"/>
  <c r="AR25" i="1"/>
  <c r="AQ25" i="1"/>
  <c r="AO25" i="1"/>
  <c r="AN25" i="1"/>
  <c r="AM25" i="1"/>
  <c r="AL25" i="1"/>
  <c r="AS24" i="1"/>
  <c r="AR24" i="1"/>
  <c r="AQ24" i="1"/>
  <c r="AO24" i="1"/>
  <c r="AN24" i="1"/>
  <c r="AM24" i="1"/>
  <c r="AL24" i="1"/>
  <c r="AS23" i="1"/>
  <c r="AR23" i="1"/>
  <c r="AQ23" i="1"/>
  <c r="AO23" i="1"/>
  <c r="AN23" i="1"/>
  <c r="AM23" i="1"/>
  <c r="AL23" i="1"/>
  <c r="AP23" i="1"/>
  <c r="AS22" i="1"/>
  <c r="AR22" i="1"/>
  <c r="AQ22" i="1"/>
  <c r="AO22" i="1"/>
  <c r="AN22" i="1"/>
  <c r="AM22" i="1"/>
  <c r="AL22" i="1"/>
  <c r="AS17" i="1"/>
  <c r="AR17" i="1"/>
  <c r="AQ17" i="1"/>
  <c r="AO17" i="1"/>
  <c r="AN17" i="1"/>
  <c r="AM17" i="1"/>
  <c r="AL17" i="1"/>
  <c r="AP17" i="1"/>
  <c r="AS15" i="1"/>
  <c r="AR15" i="1"/>
  <c r="AQ15" i="1"/>
  <c r="AO15" i="1"/>
  <c r="AN15" i="1"/>
  <c r="AM15" i="1"/>
  <c r="AL15" i="1"/>
  <c r="AS14" i="1"/>
  <c r="AR14" i="1"/>
  <c r="AQ14" i="1"/>
  <c r="AO14" i="1"/>
  <c r="AN14" i="1"/>
  <c r="AM14" i="1"/>
  <c r="AL14" i="1"/>
  <c r="AS13" i="1"/>
  <c r="AR13" i="1"/>
  <c r="AQ13" i="1"/>
  <c r="AO13" i="1"/>
  <c r="AN13" i="1"/>
  <c r="AM13" i="1"/>
  <c r="AL13" i="1"/>
  <c r="W7" i="1"/>
  <c r="AA7" i="1" s="1"/>
  <c r="AE7" i="1" s="1"/>
  <c r="V7" i="1"/>
  <c r="Z7" i="1" s="1"/>
  <c r="AD7" i="1" s="1"/>
  <c r="AH7" i="1" s="1"/>
  <c r="U7" i="1"/>
  <c r="Y7" i="1" s="1"/>
  <c r="AC7" i="1" s="1"/>
  <c r="AG7" i="1" s="1"/>
  <c r="T7" i="1"/>
  <c r="X7" i="1" s="1"/>
  <c r="AB7" i="1" s="1"/>
  <c r="AF7" i="1" s="1"/>
  <c r="D35" i="11"/>
  <c r="H19" i="11"/>
  <c r="C17" i="11"/>
  <c r="C19" i="11" s="1"/>
  <c r="C16" i="11"/>
  <c r="AP24" i="1" l="1"/>
  <c r="S26" i="1"/>
  <c r="S89" i="1" s="1"/>
  <c r="S110" i="1" s="1"/>
  <c r="S125" i="1" s="1"/>
  <c r="S127" i="1" s="1"/>
  <c r="T126" i="1" s="1"/>
  <c r="AP14" i="1"/>
  <c r="AM32" i="1"/>
  <c r="AO32" i="1"/>
  <c r="AL32" i="1"/>
  <c r="AN31" i="1"/>
  <c r="AL31" i="1"/>
  <c r="AM31" i="1"/>
  <c r="AO31" i="1"/>
  <c r="AN32" i="1"/>
  <c r="AP13" i="1"/>
  <c r="AP15" i="1" l="1"/>
  <c r="AP22" i="1" l="1"/>
  <c r="AP25" i="1" l="1"/>
  <c r="AP31" i="1" l="1"/>
  <c r="AP32" i="1"/>
  <c r="AP26" i="1"/>
</calcChain>
</file>

<file path=xl/sharedStrings.xml><?xml version="1.0" encoding="utf-8"?>
<sst xmlns="http://schemas.openxmlformats.org/spreadsheetml/2006/main" count="288" uniqueCount="236">
  <si>
    <t>Revenues</t>
  </si>
  <si>
    <t>Total Revenues</t>
  </si>
  <si>
    <t>   % Change YoY</t>
  </si>
  <si>
    <t>Cost of Goods Sold</t>
  </si>
  <si>
    <t>Gross Profit</t>
  </si>
  <si>
    <t>Selling General &amp; Admin Expenses</t>
  </si>
  <si>
    <t>Depreciation &amp; Amortization</t>
  </si>
  <si>
    <t>Interest Expense</t>
  </si>
  <si>
    <t>Income Tax Expense</t>
  </si>
  <si>
    <t>Net Income</t>
  </si>
  <si>
    <t>Weighted Average Diluted Shares Outstanding</t>
  </si>
  <si>
    <t>Weighted Average Basic Shares Outstanding</t>
  </si>
  <si>
    <t>Dividends Per Share</t>
  </si>
  <si>
    <t>Basic EPS</t>
  </si>
  <si>
    <t>1Q23</t>
  </si>
  <si>
    <t>4Q22</t>
  </si>
  <si>
    <t>3Q22</t>
  </si>
  <si>
    <t>2Q22</t>
  </si>
  <si>
    <t>1Q22</t>
  </si>
  <si>
    <t>4Q21</t>
  </si>
  <si>
    <t>3Q21</t>
  </si>
  <si>
    <t>2Q21</t>
  </si>
  <si>
    <t>1Q21</t>
  </si>
  <si>
    <t>4Q20</t>
  </si>
  <si>
    <t>3Q20</t>
  </si>
  <si>
    <t>2Q20</t>
  </si>
  <si>
    <t>1Q20</t>
  </si>
  <si>
    <t>4Q19</t>
  </si>
  <si>
    <t>3Q19</t>
  </si>
  <si>
    <t>2Q19</t>
  </si>
  <si>
    <t>1Q19</t>
  </si>
  <si>
    <t>4Q18</t>
  </si>
  <si>
    <t>P&amp;L GAAP</t>
  </si>
  <si>
    <t>Diluted EPS</t>
  </si>
  <si>
    <t>FY19</t>
  </si>
  <si>
    <t>Sum</t>
  </si>
  <si>
    <t>FY20</t>
  </si>
  <si>
    <t>FY21</t>
  </si>
  <si>
    <t>FY22</t>
  </si>
  <si>
    <t>FY23</t>
  </si>
  <si>
    <t>FY24</t>
  </si>
  <si>
    <t>FY25</t>
  </si>
  <si>
    <t>FY26</t>
  </si>
  <si>
    <t>EBIT</t>
  </si>
  <si>
    <t>Check</t>
  </si>
  <si>
    <t>Effective Tax Rate</t>
  </si>
  <si>
    <t>2Q23</t>
  </si>
  <si>
    <t>3Q23</t>
  </si>
  <si>
    <t>4Q23</t>
  </si>
  <si>
    <t>1Q24</t>
  </si>
  <si>
    <t>2Q24</t>
  </si>
  <si>
    <t>3Q24</t>
  </si>
  <si>
    <t>4Q24</t>
  </si>
  <si>
    <t>1Q25</t>
  </si>
  <si>
    <t>2Q25</t>
  </si>
  <si>
    <t>3Q25</t>
  </si>
  <si>
    <t>4Q25</t>
  </si>
  <si>
    <t>1Q26</t>
  </si>
  <si>
    <t>2Q26</t>
  </si>
  <si>
    <t>3Q26</t>
  </si>
  <si>
    <t>4Q26</t>
  </si>
  <si>
    <t>Debt Schedule</t>
  </si>
  <si>
    <t>1 Aug 2024 3.749% Notes</t>
  </si>
  <si>
    <t>Principle Amount</t>
  </si>
  <si>
    <t>Repayment</t>
  </si>
  <si>
    <t>Total Expense</t>
  </si>
  <si>
    <t>1 Aug 2034 4.915% Notes</t>
  </si>
  <si>
    <t>Repurchase</t>
  </si>
  <si>
    <t>1 Aug 2034 5.165% Notes</t>
  </si>
  <si>
    <t>Total</t>
  </si>
  <si>
    <t>Principle Outstanding</t>
  </si>
  <si>
    <t>Evan Domingos</t>
  </si>
  <si>
    <t>1-(603)-380-8384</t>
  </si>
  <si>
    <t>Bed Bath &amp; Beyond, Inc.</t>
  </si>
  <si>
    <t>Cash</t>
  </si>
  <si>
    <t>$ in Millions</t>
  </si>
  <si>
    <t>evan@whiteskycapital.com</t>
  </si>
  <si>
    <t>Bed Bath &amp; Beyond inc.</t>
  </si>
  <si>
    <t>Debt</t>
  </si>
  <si>
    <t>Bed Bath &amp; Beyond Inc.</t>
  </si>
  <si>
    <t>US: Consumer Discretionary</t>
  </si>
  <si>
    <t>Fundamentals</t>
  </si>
  <si>
    <t>Price</t>
  </si>
  <si>
    <t>Shares</t>
  </si>
  <si>
    <t>MC</t>
  </si>
  <si>
    <t>EV</t>
  </si>
  <si>
    <t>PPE</t>
  </si>
  <si>
    <t>AD</t>
  </si>
  <si>
    <t>NASDAQ: (BBBY)</t>
  </si>
  <si>
    <t>Prospectus</t>
  </si>
  <si>
    <t>English</t>
  </si>
  <si>
    <t>BBBY 1 Aug 2024 3.749% Unsecured Notes</t>
  </si>
  <si>
    <t>Coupon</t>
  </si>
  <si>
    <t>Last Trade Price</t>
  </si>
  <si>
    <t>Last Yield</t>
  </si>
  <si>
    <t>2 Year Treasury Yield</t>
  </si>
  <si>
    <t>Implied Default Probability</t>
  </si>
  <si>
    <t>Long</t>
  </si>
  <si>
    <t>Main</t>
  </si>
  <si>
    <t>Model</t>
  </si>
  <si>
    <t>*Note: BBBY Fiscal Years Shifted +3Q</t>
  </si>
  <si>
    <t>Δ</t>
  </si>
  <si>
    <t>Γ</t>
  </si>
  <si>
    <t>Premium</t>
  </si>
  <si>
    <t>Expiration</t>
  </si>
  <si>
    <t>Open Interest</t>
  </si>
  <si>
    <t>Common Stock</t>
  </si>
  <si>
    <t>Jan 2023 Call Option $80</t>
  </si>
  <si>
    <t>Jan 2023 Call Option $75</t>
  </si>
  <si>
    <t>Jan 2023 Call Option $60</t>
  </si>
  <si>
    <t>Jan 2023 Call Option$75</t>
  </si>
  <si>
    <t>RC Ventures LLC (Ryan Cohen)</t>
  </si>
  <si>
    <t>Strike Price</t>
  </si>
  <si>
    <t>Number of Shares</t>
  </si>
  <si>
    <t>Cost</t>
  </si>
  <si>
    <t>BBBY 20 Jan 2023 $60 Call Option</t>
  </si>
  <si>
    <t>4Q20 A</t>
  </si>
  <si>
    <t>3Q20 A</t>
  </si>
  <si>
    <t>2Q20 A</t>
  </si>
  <si>
    <t>1Q20 A</t>
  </si>
  <si>
    <t>4Q19 A</t>
  </si>
  <si>
    <t>3Q19 A</t>
  </si>
  <si>
    <t>2Q19 A</t>
  </si>
  <si>
    <t>1Q19 A</t>
  </si>
  <si>
    <t>4Q18 A</t>
  </si>
  <si>
    <t>4Q23 E</t>
  </si>
  <si>
    <t>1Q24 E</t>
  </si>
  <si>
    <t>2Q24 E</t>
  </si>
  <si>
    <t>3Q24 E</t>
  </si>
  <si>
    <t>4Q24 E</t>
  </si>
  <si>
    <t>1Q25 E</t>
  </si>
  <si>
    <t>2Q25 E</t>
  </si>
  <si>
    <t>3Q25 E</t>
  </si>
  <si>
    <t>4Q25 E</t>
  </si>
  <si>
    <t>1Q26 E</t>
  </si>
  <si>
    <t>2Q26 E</t>
  </si>
  <si>
    <t>3Q26 E</t>
  </si>
  <si>
    <t>4Q26 E</t>
  </si>
  <si>
    <t>FY19 A</t>
  </si>
  <si>
    <t>FY20 A</t>
  </si>
  <si>
    <t>FY21 A</t>
  </si>
  <si>
    <t>FY22 A</t>
  </si>
  <si>
    <t>FY23 E</t>
  </si>
  <si>
    <t>FY24 E</t>
  </si>
  <si>
    <t>FY25 E</t>
  </si>
  <si>
    <t>FY26 E</t>
  </si>
  <si>
    <t xml:space="preserve">Equity Price Target </t>
  </si>
  <si>
    <t>Covenants</t>
  </si>
  <si>
    <t>None</t>
  </si>
  <si>
    <t>Principle Outstanding (m)</t>
  </si>
  <si>
    <t>Investment Vehicles</t>
  </si>
  <si>
    <t>Letter to Board</t>
  </si>
  <si>
    <t>RC Ventures Feb 22 13D</t>
  </si>
  <si>
    <t>Holdings Summary</t>
  </si>
  <si>
    <t>Contracts</t>
  </si>
  <si>
    <t>Gross Income Y/Y</t>
  </si>
  <si>
    <t>SG&amp;A Y/Y</t>
  </si>
  <si>
    <t>Gross Margin</t>
  </si>
  <si>
    <t>COGS % of Revenue</t>
  </si>
  <si>
    <t>Operating Margin</t>
  </si>
  <si>
    <t>EBIT Y/Y</t>
  </si>
  <si>
    <t>EBT Excl Unusual Y/Y</t>
  </si>
  <si>
    <t>P&amp;L GAAP Drivers</t>
  </si>
  <si>
    <t>Impairments</t>
  </si>
  <si>
    <t>Restructuring Expense</t>
  </si>
  <si>
    <t>$ in Thousands</t>
  </si>
  <si>
    <t>Net Interest Expense</t>
  </si>
  <si>
    <t>Loss on Extinguishment of Debt</t>
  </si>
  <si>
    <t>EBT</t>
  </si>
  <si>
    <t>Loss on Sale of Businesses</t>
  </si>
  <si>
    <t>4FQ21 A</t>
  </si>
  <si>
    <t>1FQ22 A</t>
  </si>
  <si>
    <t>2FQ22 A</t>
  </si>
  <si>
    <t>3FQ22 A</t>
  </si>
  <si>
    <t>4FQ22 A</t>
  </si>
  <si>
    <t>1FQ23A</t>
  </si>
  <si>
    <t>2FQ23A</t>
  </si>
  <si>
    <t>3FQ21 A</t>
  </si>
  <si>
    <t>2FQ21 A</t>
  </si>
  <si>
    <t>1FQ21 A</t>
  </si>
  <si>
    <t>Balance Sheet</t>
  </si>
  <si>
    <t>Cash &amp; Cash Equivalents</t>
  </si>
  <si>
    <t>Merchandise Inventories</t>
  </si>
  <si>
    <t>Prepaid Expenses &amp; Other Current Assets</t>
  </si>
  <si>
    <t>Long-term Investment Securities</t>
  </si>
  <si>
    <t>Net Property &amp; Equipment</t>
  </si>
  <si>
    <t>Operating Lease Assets</t>
  </si>
  <si>
    <t>Other Assets</t>
  </si>
  <si>
    <t>Total Assets</t>
  </si>
  <si>
    <t>Accounts Payable</t>
  </si>
  <si>
    <t>Accrued Expenses &amp; Other Current Liabilities</t>
  </si>
  <si>
    <t>Merchandise Credit &amp; Gift Card Liabilities</t>
  </si>
  <si>
    <t>Current Operating Lease Liabilities</t>
  </si>
  <si>
    <t>Other Liabilities</t>
  </si>
  <si>
    <t>Operating Lease Liabilities</t>
  </si>
  <si>
    <t>Income Tax Payable</t>
  </si>
  <si>
    <t>Long-term Debt</t>
  </si>
  <si>
    <t>Stockholders Equity</t>
  </si>
  <si>
    <t>Common Par</t>
  </si>
  <si>
    <t>Additional Paid-In-Capital</t>
  </si>
  <si>
    <t>Retained Earnings</t>
  </si>
  <si>
    <t>Treasury Stock</t>
  </si>
  <si>
    <t>Treasury Shares</t>
  </si>
  <si>
    <t>SE + L</t>
  </si>
  <si>
    <t>Total Stockholders Equity</t>
  </si>
  <si>
    <t>Accumulated Other Comprehensive Loss</t>
  </si>
  <si>
    <t>Consolidated Statement of Cash Flows</t>
  </si>
  <si>
    <t>Cash Flows from Operating Activities</t>
  </si>
  <si>
    <t>Adjustments</t>
  </si>
  <si>
    <t>Stock-based Compensation</t>
  </si>
  <si>
    <t>Deferred Income Taxes</t>
  </si>
  <si>
    <t>Other Current Assets</t>
  </si>
  <si>
    <t>Changes in Working Capital</t>
  </si>
  <si>
    <t>Income Taxes Payable</t>
  </si>
  <si>
    <t>Net Operating Lease Assets &amp; Liabilities</t>
  </si>
  <si>
    <t>Net Cash Used in Operating Activities</t>
  </si>
  <si>
    <t>Cash Flows from Investing Activities</t>
  </si>
  <si>
    <t>Purchases of Held-to-maturity Investment Securities</t>
  </si>
  <si>
    <t>Capital Expenditure</t>
  </si>
  <si>
    <t>Net Cash Used in Investing Activities</t>
  </si>
  <si>
    <t>Cash Flows from Financing Activities</t>
  </si>
  <si>
    <t>Borrowing of Long-term Debt</t>
  </si>
  <si>
    <t>Repayments of Long-term Debt</t>
  </si>
  <si>
    <t>Repurchases of Common Stock</t>
  </si>
  <si>
    <t>Payment of Dividends</t>
  </si>
  <si>
    <t>Net Cash Used in Financing Activities</t>
  </si>
  <si>
    <t>Net Cash</t>
  </si>
  <si>
    <t>Cash Beginning</t>
  </si>
  <si>
    <t>Cash End</t>
  </si>
  <si>
    <t>Loss on Debt Extinguishment</t>
  </si>
  <si>
    <t>Other</t>
  </si>
  <si>
    <t>Effect of FX</t>
  </si>
  <si>
    <t>3Q23A</t>
  </si>
  <si>
    <t>Total Debt</t>
  </si>
  <si>
    <t>Total Current Liabilities</t>
  </si>
  <si>
    <t>Current Portion of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</si>
</sst>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_([$$-409]* #,##0_);_([$$-409]* \(#,##0\);_([$$-409]* &quot;-&quot;??_);_(@_)"/>
    <numFmt numFmtId="166" formatCode="0.0%"/>
    <numFmt numFmtId="167" formatCode="0.000%"/>
    <numFmt numFmtId="168" formatCode="_(&quot;$&quot;* #,##0_);_(&quot;$&quot;* \(#,##0\);_(&quot;$&quot;* &quot;-&quot;??_);_(@_)"/>
    <numFmt numFmtId="171" formatCode="_(&quot;$&quot;* #,##0.0_);_(&quot;$&quot;* \(#,##0.0\);_(&quot;$&quot;* &quot;-&quot;??_);_(@_)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Helvetica Light"/>
    </font>
    <font>
      <b/>
      <sz val="10"/>
      <color theme="1"/>
      <name val="Helvetica Light"/>
    </font>
    <font>
      <sz val="12"/>
      <color theme="1"/>
      <name val="Helvetica Light"/>
    </font>
    <font>
      <b/>
      <i/>
      <sz val="24"/>
      <color theme="1"/>
      <name val="Helvetica Light"/>
    </font>
    <font>
      <u/>
      <sz val="10"/>
      <color theme="1"/>
      <name val="Helvetica Light"/>
    </font>
    <font>
      <b/>
      <sz val="12"/>
      <color theme="1"/>
      <name val="Helvetica Light"/>
    </font>
    <font>
      <b/>
      <i/>
      <sz val="14"/>
      <color theme="1"/>
      <name val="Helvetica Light"/>
    </font>
    <font>
      <b/>
      <u/>
      <sz val="10"/>
      <color theme="1"/>
      <name val="Helvetica Light"/>
    </font>
    <font>
      <sz val="8"/>
      <color theme="1"/>
      <name val="Helvetica Light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sz val="12"/>
      <color rgb="FFFF0000"/>
      <name val="Avenir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0" fontId="6" fillId="2" borderId="0" xfId="0" applyFont="1" applyFill="1"/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1" fillId="2" borderId="0" xfId="2" applyFont="1" applyFill="1"/>
    <xf numFmtId="0" fontId="4" fillId="2" borderId="0" xfId="0" applyFont="1" applyFill="1"/>
    <xf numFmtId="0" fontId="5" fillId="2" borderId="0" xfId="0" applyFont="1" applyFill="1"/>
    <xf numFmtId="0" fontId="4" fillId="2" borderId="1" xfId="0" applyFont="1" applyFill="1" applyBorder="1"/>
    <xf numFmtId="0" fontId="4" fillId="2" borderId="4" xfId="0" applyFont="1" applyFill="1" applyBorder="1"/>
    <xf numFmtId="0" fontId="5" fillId="2" borderId="7" xfId="0" applyFont="1" applyFill="1" applyBorder="1"/>
    <xf numFmtId="0" fontId="10" fillId="2" borderId="0" xfId="0" applyFont="1" applyFill="1"/>
    <xf numFmtId="0" fontId="4" fillId="2" borderId="8" xfId="0" applyFont="1" applyFill="1" applyBorder="1"/>
    <xf numFmtId="0" fontId="4" fillId="2" borderId="9" xfId="0" applyFont="1" applyFill="1" applyBorder="1" applyAlignment="1">
      <alignment horizontal="right"/>
    </xf>
    <xf numFmtId="0" fontId="4" fillId="2" borderId="10" xfId="0" applyFont="1" applyFill="1" applyBorder="1"/>
    <xf numFmtId="0" fontId="4" fillId="2" borderId="11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3" fontId="4" fillId="2" borderId="5" xfId="0" applyNumberFormat="1" applyFont="1" applyFill="1" applyBorder="1"/>
    <xf numFmtId="44" fontId="4" fillId="2" borderId="2" xfId="4" applyFont="1" applyFill="1" applyBorder="1"/>
    <xf numFmtId="0" fontId="4" fillId="2" borderId="3" xfId="0" applyFont="1" applyFill="1" applyBorder="1" applyAlignment="1">
      <alignment horizontal="right"/>
    </xf>
    <xf numFmtId="1" fontId="4" fillId="2" borderId="0" xfId="0" applyNumberFormat="1" applyFont="1" applyFill="1"/>
    <xf numFmtId="3" fontId="4" fillId="2" borderId="0" xfId="0" applyNumberFormat="1" applyFont="1" applyFill="1"/>
    <xf numFmtId="9" fontId="4" fillId="2" borderId="0" xfId="0" applyNumberFormat="1" applyFont="1" applyFill="1"/>
    <xf numFmtId="166" fontId="4" fillId="2" borderId="0" xfId="0" applyNumberFormat="1" applyFont="1" applyFill="1"/>
    <xf numFmtId="0" fontId="4" fillId="2" borderId="11" xfId="0" applyFont="1" applyFill="1" applyBorder="1"/>
    <xf numFmtId="165" fontId="4" fillId="2" borderId="11" xfId="0" applyNumberFormat="1" applyFont="1" applyFill="1" applyBorder="1"/>
    <xf numFmtId="10" fontId="4" fillId="2" borderId="11" xfId="0" applyNumberFormat="1" applyFont="1" applyFill="1" applyBorder="1"/>
    <xf numFmtId="8" fontId="4" fillId="2" borderId="11" xfId="0" applyNumberFormat="1" applyFont="1" applyFill="1" applyBorder="1"/>
    <xf numFmtId="10" fontId="4" fillId="2" borderId="11" xfId="1" applyNumberFormat="1" applyFont="1" applyFill="1" applyBorder="1"/>
    <xf numFmtId="167" fontId="4" fillId="2" borderId="11" xfId="0" applyNumberFormat="1" applyFont="1" applyFill="1" applyBorder="1"/>
    <xf numFmtId="0" fontId="4" fillId="2" borderId="5" xfId="0" applyFont="1" applyFill="1" applyBorder="1"/>
    <xf numFmtId="0" fontId="8" fillId="2" borderId="11" xfId="2" applyFont="1" applyFill="1" applyBorder="1"/>
    <xf numFmtId="0" fontId="5" fillId="2" borderId="9" xfId="0" applyFont="1" applyFill="1" applyBorder="1"/>
    <xf numFmtId="9" fontId="4" fillId="2" borderId="6" xfId="1" applyFont="1" applyFill="1" applyBorder="1"/>
    <xf numFmtId="0" fontId="2" fillId="2" borderId="0" xfId="2" applyFill="1"/>
    <xf numFmtId="0" fontId="5" fillId="2" borderId="0" xfId="0" quotePrefix="1" applyFont="1" applyFill="1"/>
    <xf numFmtId="0" fontId="12" fillId="2" borderId="0" xfId="0" applyFont="1" applyFill="1" applyAlignment="1">
      <alignment horizontal="right"/>
    </xf>
    <xf numFmtId="9" fontId="4" fillId="2" borderId="0" xfId="1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44" fontId="4" fillId="2" borderId="11" xfId="4" applyFont="1" applyFill="1" applyBorder="1"/>
    <xf numFmtId="44" fontId="4" fillId="2" borderId="6" xfId="4" applyFont="1" applyFill="1" applyBorder="1"/>
    <xf numFmtId="44" fontId="4" fillId="2" borderId="0" xfId="4" applyFont="1" applyFill="1" applyBorder="1"/>
    <xf numFmtId="0" fontId="4" fillId="2" borderId="13" xfId="0" applyFont="1" applyFill="1" applyBorder="1"/>
    <xf numFmtId="9" fontId="4" fillId="2" borderId="14" xfId="1" applyFont="1" applyFill="1" applyBorder="1"/>
    <xf numFmtId="0" fontId="4" fillId="2" borderId="15" xfId="0" applyFont="1" applyFill="1" applyBorder="1"/>
    <xf numFmtId="9" fontId="4" fillId="2" borderId="16" xfId="1" applyFont="1" applyFill="1" applyBorder="1"/>
    <xf numFmtId="44" fontId="4" fillId="2" borderId="16" xfId="4" applyFont="1" applyFill="1" applyBorder="1"/>
    <xf numFmtId="6" fontId="4" fillId="2" borderId="16" xfId="1" applyNumberFormat="1" applyFont="1" applyFill="1" applyBorder="1"/>
    <xf numFmtId="14" fontId="4" fillId="2" borderId="16" xfId="1" applyNumberFormat="1" applyFont="1" applyFill="1" applyBorder="1"/>
    <xf numFmtId="0" fontId="4" fillId="2" borderId="17" xfId="0" applyFont="1" applyFill="1" applyBorder="1"/>
    <xf numFmtId="0" fontId="4" fillId="2" borderId="18" xfId="0" applyFont="1" applyFill="1" applyBorder="1"/>
    <xf numFmtId="3" fontId="4" fillId="2" borderId="19" xfId="1" applyNumberFormat="1" applyFont="1" applyFill="1" applyBorder="1"/>
    <xf numFmtId="0" fontId="4" fillId="2" borderId="20" xfId="0" applyFont="1" applyFill="1" applyBorder="1"/>
    <xf numFmtId="0" fontId="4" fillId="2" borderId="21" xfId="0" applyFont="1" applyFill="1" applyBorder="1"/>
    <xf numFmtId="0" fontId="5" fillId="2" borderId="20" xfId="0" applyFont="1" applyFill="1" applyBorder="1"/>
    <xf numFmtId="168" fontId="5" fillId="2" borderId="22" xfId="4" applyNumberFormat="1" applyFont="1" applyFill="1" applyBorder="1"/>
    <xf numFmtId="0" fontId="4" fillId="2" borderId="11" xfId="2" applyFont="1" applyFill="1" applyBorder="1"/>
    <xf numFmtId="0" fontId="5" fillId="2" borderId="12" xfId="0" applyFont="1" applyFill="1" applyBorder="1"/>
    <xf numFmtId="0" fontId="4" fillId="2" borderId="22" xfId="0" applyFont="1" applyFill="1" applyBorder="1"/>
    <xf numFmtId="168" fontId="4" fillId="0" borderId="11" xfId="4" applyNumberFormat="1" applyFont="1" applyBorder="1"/>
    <xf numFmtId="0" fontId="2" fillId="2" borderId="15" xfId="2" applyFill="1" applyBorder="1"/>
    <xf numFmtId="0" fontId="4" fillId="2" borderId="16" xfId="0" applyFont="1" applyFill="1" applyBorder="1"/>
    <xf numFmtId="0" fontId="5" fillId="2" borderId="15" xfId="0" applyFont="1" applyFill="1" applyBorder="1"/>
    <xf numFmtId="0" fontId="4" fillId="2" borderId="19" xfId="0" applyFont="1" applyFill="1" applyBorder="1"/>
    <xf numFmtId="14" fontId="9" fillId="2" borderId="0" xfId="0" applyNumberFormat="1" applyFont="1" applyFill="1"/>
    <xf numFmtId="0" fontId="2" fillId="0" borderId="0" xfId="2" applyFill="1" applyBorder="1"/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4" fillId="0" borderId="0" xfId="2" applyFont="1" applyFill="1" applyBorder="1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1" fontId="15" fillId="0" borderId="0" xfId="0" applyNumberFormat="1" applyFont="1"/>
    <xf numFmtId="1" fontId="17" fillId="0" borderId="0" xfId="0" applyNumberFormat="1" applyFont="1"/>
    <xf numFmtId="0" fontId="20" fillId="0" borderId="0" xfId="0" applyFont="1" applyAlignment="1">
      <alignment vertical="center"/>
    </xf>
    <xf numFmtId="0" fontId="13" fillId="0" borderId="0" xfId="0" applyFont="1"/>
    <xf numFmtId="14" fontId="13" fillId="0" borderId="0" xfId="0" applyNumberFormat="1" applyFon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13" fillId="3" borderId="0" xfId="0" applyFont="1" applyFill="1"/>
    <xf numFmtId="4" fontId="0" fillId="3" borderId="0" xfId="0" applyNumberFormat="1" applyFill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21" fillId="0" borderId="0" xfId="0" applyFont="1"/>
    <xf numFmtId="9" fontId="22" fillId="0" borderId="0" xfId="2" applyNumberFormat="1" applyFont="1" applyFill="1" applyBorder="1"/>
    <xf numFmtId="9" fontId="21" fillId="0" borderId="0" xfId="0" applyNumberFormat="1" applyFont="1"/>
    <xf numFmtId="0" fontId="23" fillId="0" borderId="0" xfId="2" applyFont="1" applyFill="1" applyBorder="1"/>
    <xf numFmtId="10" fontId="0" fillId="0" borderId="0" xfId="0" applyNumberFormat="1"/>
    <xf numFmtId="9" fontId="21" fillId="0" borderId="0" xfId="1" applyFont="1" applyFill="1" applyBorder="1"/>
    <xf numFmtId="164" fontId="0" fillId="0" borderId="0" xfId="0" applyNumberFormat="1"/>
    <xf numFmtId="9" fontId="0" fillId="0" borderId="0" xfId="1" applyFont="1" applyFill="1" applyBorder="1"/>
    <xf numFmtId="9" fontId="0" fillId="0" borderId="0" xfId="0" applyNumberFormat="1"/>
    <xf numFmtId="2" fontId="0" fillId="0" borderId="0" xfId="2" applyNumberFormat="1" applyFont="1" applyFill="1" applyBorder="1"/>
    <xf numFmtId="1" fontId="13" fillId="0" borderId="0" xfId="0" applyNumberFormat="1" applyFont="1"/>
    <xf numFmtId="6" fontId="0" fillId="0" borderId="0" xfId="0" applyNumberFormat="1"/>
    <xf numFmtId="168" fontId="1" fillId="0" borderId="0" xfId="4" applyNumberFormat="1" applyFont="1" applyFill="1" applyBorder="1"/>
    <xf numFmtId="1" fontId="1" fillId="0" borderId="0" xfId="4" applyNumberFormat="1" applyFont="1" applyFill="1" applyBorder="1"/>
    <xf numFmtId="6" fontId="13" fillId="3" borderId="0" xfId="0" applyNumberFormat="1" applyFont="1" applyFill="1"/>
    <xf numFmtId="0" fontId="0" fillId="0" borderId="0" xfId="0" applyFill="1"/>
    <xf numFmtId="0" fontId="13" fillId="0" borderId="0" xfId="0" applyFont="1" applyFill="1"/>
    <xf numFmtId="14" fontId="13" fillId="0" borderId="0" xfId="0" applyNumberFormat="1" applyFont="1" applyFill="1"/>
    <xf numFmtId="1" fontId="0" fillId="0" borderId="0" xfId="0" applyNumberFormat="1" applyFill="1"/>
    <xf numFmtId="9" fontId="21" fillId="0" borderId="0" xfId="0" applyNumberFormat="1" applyFont="1" applyFill="1"/>
    <xf numFmtId="3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9" fontId="0" fillId="0" borderId="0" xfId="0" applyNumberFormat="1" applyFill="1"/>
    <xf numFmtId="1" fontId="13" fillId="0" borderId="0" xfId="0" applyNumberFormat="1" applyFont="1" applyFill="1"/>
    <xf numFmtId="1" fontId="0" fillId="0" borderId="0" xfId="1" applyNumberFormat="1" applyFont="1" applyFill="1" applyBorder="1"/>
    <xf numFmtId="0" fontId="1" fillId="0" borderId="0" xfId="4" applyNumberFormat="1" applyFont="1" applyFill="1" applyBorder="1"/>
    <xf numFmtId="0" fontId="0" fillId="0" borderId="0" xfId="0" applyFill="1" applyBorder="1"/>
    <xf numFmtId="168" fontId="25" fillId="2" borderId="0" xfId="4" applyNumberFormat="1" applyFont="1" applyFill="1" applyBorder="1"/>
    <xf numFmtId="1" fontId="0" fillId="0" borderId="0" xfId="0" applyNumberFormat="1" applyFill="1" applyBorder="1"/>
    <xf numFmtId="1" fontId="13" fillId="0" borderId="0" xfId="0" applyNumberFormat="1" applyFont="1" applyFill="1" applyBorder="1"/>
    <xf numFmtId="2" fontId="0" fillId="0" borderId="0" xfId="0" applyNumberFormat="1" applyFill="1" applyBorder="1"/>
    <xf numFmtId="0" fontId="24" fillId="0" borderId="0" xfId="0" applyFont="1" applyFill="1" applyBorder="1"/>
    <xf numFmtId="0" fontId="25" fillId="0" borderId="0" xfId="0" applyFont="1" applyFill="1" applyBorder="1"/>
    <xf numFmtId="168" fontId="25" fillId="0" borderId="0" xfId="4" applyNumberFormat="1" applyFont="1" applyFill="1" applyBorder="1"/>
    <xf numFmtId="1" fontId="25" fillId="0" borderId="0" xfId="0" applyNumberFormat="1" applyFont="1" applyFill="1" applyBorder="1"/>
    <xf numFmtId="171" fontId="25" fillId="0" borderId="0" xfId="4" applyNumberFormat="1" applyFont="1" applyFill="1" applyBorder="1"/>
    <xf numFmtId="1" fontId="24" fillId="0" borderId="0" xfId="0" applyNumberFormat="1" applyFont="1" applyFill="1" applyBorder="1"/>
    <xf numFmtId="9" fontId="25" fillId="0" borderId="0" xfId="1" applyFont="1" applyFill="1" applyBorder="1"/>
    <xf numFmtId="9" fontId="24" fillId="0" borderId="0" xfId="1" applyFont="1" applyFill="1" applyBorder="1"/>
    <xf numFmtId="0" fontId="26" fillId="0" borderId="0" xfId="1" applyNumberFormat="1" applyFont="1" applyFill="1" applyBorder="1"/>
    <xf numFmtId="2" fontId="25" fillId="0" borderId="0" xfId="0" applyNumberFormat="1" applyFont="1" applyFill="1" applyBorder="1"/>
  </cellXfs>
  <cellStyles count="5">
    <cellStyle name="Currency" xfId="4" builtinId="4"/>
    <cellStyle name="Hyperlink" xfId="2" builtinId="8"/>
    <cellStyle name="Normal" xfId="0" builtinId="0"/>
    <cellStyle name="Normal 2" xfId="3" xr:uid="{9416D167-2E1F-594D-A6D3-3F4A84AB094B}"/>
    <cellStyle name="Percent" xfId="1" builtinId="5"/>
  </cellStyles>
  <dxfs count="2">
    <dxf>
      <font>
        <color rgb="FFBD352B"/>
      </font>
    </dxf>
    <dxf>
      <font>
        <color rgb="FFBD352B"/>
      </font>
    </dxf>
  </dxfs>
  <tableStyles count="0" defaultTableStyle="TableStyleMedium2" defaultPivotStyle="PivotStyleLight16"/>
  <colors>
    <mruColors>
      <color rgb="FF9299DC"/>
      <color rgb="FFAB6AE4"/>
      <color rgb="FFBD3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r>
              <a:rPr lang="en-US" b="1"/>
              <a:t>Required</a:t>
            </a:r>
            <a:r>
              <a:rPr lang="en-US" b="1" baseline="0"/>
              <a:t> Cash From Financing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Light" panose="020B04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Accrued Cash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8150266132935E-2"/>
                  <c:y val="-3.97877984084880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EE-9F48-8203-B0561F5777DD}"/>
                </c:ext>
              </c:extLst>
            </c:dLbl>
            <c:dLbl>
              <c:idx val="1"/>
              <c:layout>
                <c:manualLayout>
                  <c:x val="-1.3967712136541591E-2"/>
                  <c:y val="2.9177718832891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EE-9F48-8203-B0561F5777DD}"/>
                </c:ext>
              </c:extLst>
            </c:dLbl>
            <c:dLbl>
              <c:idx val="2"/>
              <c:layout>
                <c:manualLayout>
                  <c:x val="-1.6202349008049972E-2"/>
                  <c:y val="3.4482758620689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EE-9F48-8203-B0561F5777DD}"/>
                </c:ext>
              </c:extLst>
            </c:dLbl>
            <c:dLbl>
              <c:idx val="3"/>
              <c:layout>
                <c:manualLayout>
                  <c:x val="-1.9554304315312541E-2"/>
                  <c:y val="4.5092838196286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EE-9F48-8203-B0561F5777DD}"/>
                </c:ext>
              </c:extLst>
            </c:dLbl>
            <c:dLbl>
              <c:idx val="9"/>
              <c:layout>
                <c:manualLayout>
                  <c:x val="-2.2377688822416753E-2"/>
                  <c:y val="2.6525198938992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EE-9F48-8203-B0561F5777DD}"/>
                </c:ext>
              </c:extLst>
            </c:dLbl>
            <c:dLbl>
              <c:idx val="10"/>
              <c:layout>
                <c:manualLayout>
                  <c:x val="-2.1892755025733516E-2"/>
                  <c:y val="3.964034336556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EE-9F48-8203-B0561F5777DD}"/>
                </c:ext>
              </c:extLst>
            </c:dLbl>
            <c:dLbl>
              <c:idx val="11"/>
              <c:layout>
                <c:manualLayout>
                  <c:x val="-2.0856816082347247E-2"/>
                  <c:y val="3.9831241253994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EE-9F48-8203-B0561F5777DD}"/>
                </c:ext>
              </c:extLst>
            </c:dLbl>
            <c:dLbl>
              <c:idx val="12"/>
              <c:layout>
                <c:manualLayout>
                  <c:x val="-2.4612325693925293E-2"/>
                  <c:y val="3.4482758620689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EE-9F48-8203-B0561F5777DD}"/>
                </c:ext>
              </c:extLst>
            </c:dLbl>
            <c:dLbl>
              <c:idx val="13"/>
              <c:layout>
                <c:manualLayout>
                  <c:x val="-2.2377688822416753E-2"/>
                  <c:y val="3.1830238726790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EE-9F48-8203-B0561F5777DD}"/>
                </c:ext>
              </c:extLst>
            </c:dLbl>
            <c:dLbl>
              <c:idx val="14"/>
              <c:layout>
                <c:manualLayout>
                  <c:x val="-2.2377688822416916E-2"/>
                  <c:y val="2.65251989389920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6EE-9F48-8203-B0561F5777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 Light" panose="020B04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Model!$T$6:$AH$6</c:f>
              <c:strCache>
                <c:ptCount val="15"/>
                <c:pt idx="0">
                  <c:v>2FQ23A</c:v>
                </c:pt>
                <c:pt idx="1">
                  <c:v>3Q23A</c:v>
                </c:pt>
                <c:pt idx="2">
                  <c:v>4Q23 E</c:v>
                </c:pt>
                <c:pt idx="3">
                  <c:v>1Q24 E</c:v>
                </c:pt>
                <c:pt idx="4">
                  <c:v>2Q24 E</c:v>
                </c:pt>
                <c:pt idx="5">
                  <c:v>3Q24 E</c:v>
                </c:pt>
                <c:pt idx="6">
                  <c:v>4Q24 E</c:v>
                </c:pt>
                <c:pt idx="7">
                  <c:v>1Q25 E</c:v>
                </c:pt>
                <c:pt idx="8">
                  <c:v>2Q25 E</c:v>
                </c:pt>
                <c:pt idx="9">
                  <c:v>3Q25 E</c:v>
                </c:pt>
                <c:pt idx="10">
                  <c:v>4Q25 E</c:v>
                </c:pt>
                <c:pt idx="11">
                  <c:v>1Q26 E</c:v>
                </c:pt>
                <c:pt idx="12">
                  <c:v>2Q26 E</c:v>
                </c:pt>
                <c:pt idx="13">
                  <c:v>3Q26 E</c:v>
                </c:pt>
                <c:pt idx="14">
                  <c:v>4Q26 E</c:v>
                </c:pt>
              </c:strCache>
            </c:strRef>
          </c:cat>
          <c:val>
            <c:numRef>
              <c:f>Model!$T$65:$AH$65</c:f>
              <c:numCache>
                <c:formatCode>0</c:formatCode>
                <c:ptCount val="15"/>
                <c:pt idx="0">
                  <c:v>328089</c:v>
                </c:pt>
                <c:pt idx="1">
                  <c:v>295197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E-9F48-8203-B0561F5777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498735"/>
        <c:axId val="145450879"/>
      </c:lineChart>
      <c:catAx>
        <c:axId val="19649873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45450879"/>
        <c:crosses val="autoZero"/>
        <c:auto val="1"/>
        <c:lblAlgn val="ctr"/>
        <c:lblOffset val="100"/>
        <c:noMultiLvlLbl val="0"/>
      </c:catAx>
      <c:valAx>
        <c:axId val="1454508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964987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Light" panose="020B04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 i="0">
          <a:latin typeface="Helvetica Light" panose="020B04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55</xdr:row>
      <xdr:rowOff>63500</xdr:rowOff>
    </xdr:from>
    <xdr:to>
      <xdr:col>6</xdr:col>
      <xdr:colOff>406400</xdr:colOff>
      <xdr:row>82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D7172-7061-E142-8548-FA5A773F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van@whiteskycapita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0000886158/000119380522000426/sc13d13351002_03072022.htm" TargetMode="External"/><Relationship Id="rId2" Type="http://schemas.openxmlformats.org/officeDocument/2006/relationships/hyperlink" Target="https://www.sec.gov/Archives/edgar/data/886158/000119380522000426/ex991to13d13351002_03072022.htm" TargetMode="External"/><Relationship Id="rId1" Type="http://schemas.openxmlformats.org/officeDocument/2006/relationships/hyperlink" Target="https://finra-markets.morningstar.com/bondquote/quote/c-prospectus-link?&amp;t=C614513&amp;region=usa&amp;culture=en-US&amp;productcode=QS&amp;cur=&amp;urlCookie=eyJlbmMiOiJBMTI4R0NNIiwiYWxnIjoiUlNBLU9BRVAifQ.s0rlNp4un_8AmNswA6FQtfdSnCUJ-G9SMIF1CNOocLdKfUXDBFY7F5vfVBNerR_3W_cZDR7LAoz3PiKk3sXn6IFoe9IIxl6XURwmCPYHY_kuDs4a-Ozv1l7qBs2QUGHb010gfcWJncVPHVxj7rFJSR-cCekYOn4H2MPoeXzKigE.lpsDU8QRsREnAYBz.NGXo0CILSaxvzw57El_plYnef-4F0bpncQsPaa0LY6tFAYD0buZmbbIfZ8XJi2DsMiX7GRwBabgD0u3ZVQPKO6GZpvyoW2s265efQzhrKi9rE7vuEIz3d8iPBatjxsjFa85jwRrk3-roeCEOmgZsTq9EaXxWrGwnQdW3Sn8thkS9DSUowyZ4BOqNKwtMGh4HJkhyKpoglgk7RfdP6lAxvOuubA.K6LuyIYc61OaB36hy8txQA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A28F-D9D7-FA49-9AFC-8F02A13E5D42}">
  <dimension ref="B5:B23"/>
  <sheetViews>
    <sheetView workbookViewId="0">
      <selection activeCell="B27" sqref="B27"/>
    </sheetView>
  </sheetViews>
  <sheetFormatPr baseColWidth="10" defaultRowHeight="16"/>
  <cols>
    <col min="1" max="1" width="10.83203125" style="1"/>
    <col min="2" max="2" width="51" style="1" bestFit="1" customWidth="1"/>
    <col min="3" max="16384" width="10.83203125" style="1"/>
  </cols>
  <sheetData>
    <row r="5" spans="2:2" ht="31">
      <c r="B5" s="2" t="s">
        <v>73</v>
      </c>
    </row>
    <row r="6" spans="2:2">
      <c r="B6" s="3" t="s">
        <v>88</v>
      </c>
    </row>
    <row r="7" spans="2:2">
      <c r="B7" s="64">
        <v>44787</v>
      </c>
    </row>
    <row r="9" spans="2:2">
      <c r="B9" s="33" t="s">
        <v>98</v>
      </c>
    </row>
    <row r="10" spans="2:2">
      <c r="B10" s="33" t="s">
        <v>99</v>
      </c>
    </row>
    <row r="11" spans="2:2">
      <c r="B11" s="33" t="s">
        <v>61</v>
      </c>
    </row>
    <row r="21" spans="2:2">
      <c r="B21" s="6" t="s">
        <v>71</v>
      </c>
    </row>
    <row r="22" spans="2:2">
      <c r="B22" s="4" t="s">
        <v>76</v>
      </c>
    </row>
    <row r="23" spans="2:2">
      <c r="B23" s="34" t="s">
        <v>72</v>
      </c>
    </row>
  </sheetData>
  <hyperlinks>
    <hyperlink ref="B22" r:id="rId1" xr:uid="{F24C21D7-A39D-214A-BD62-F7F7AAB062CD}"/>
    <hyperlink ref="B9" location="Main!A1" display="Main" xr:uid="{7F3B1394-BDC4-B743-9B97-AB8E8832862D}"/>
    <hyperlink ref="B11" location="'Debt Schedule'!A1" display="Debt Schedule" xr:uid="{189EF169-2EF2-864B-880E-D0ABA6BCC347}"/>
    <hyperlink ref="B10" location="Model!A1" display="Model" xr:uid="{346673C0-0F6B-B443-B24A-DA6802898F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A824-E077-A944-8BF4-766043A1D81D}">
  <dimension ref="B3:I69"/>
  <sheetViews>
    <sheetView workbookViewId="0">
      <selection activeCell="D30" sqref="D30"/>
    </sheetView>
  </sheetViews>
  <sheetFormatPr baseColWidth="10" defaultRowHeight="13"/>
  <cols>
    <col min="1" max="1" width="10.83203125" style="5"/>
    <col min="2" max="2" width="36.5" style="5" bestFit="1" customWidth="1"/>
    <col min="3" max="3" width="7.6640625" style="5" bestFit="1" customWidth="1"/>
    <col min="4" max="4" width="22.83203125" style="5" bestFit="1" customWidth="1"/>
    <col min="5" max="6" width="10.83203125" style="5"/>
    <col min="7" max="7" width="26" style="5" bestFit="1" customWidth="1"/>
    <col min="8" max="8" width="15.1640625" style="5" bestFit="1" customWidth="1"/>
    <col min="9" max="9" width="15.6640625" style="5" bestFit="1" customWidth="1"/>
    <col min="10" max="16384" width="10.83203125" style="5"/>
  </cols>
  <sheetData>
    <row r="3" spans="2:9" ht="18">
      <c r="B3" s="10" t="s">
        <v>79</v>
      </c>
    </row>
    <row r="4" spans="2:9">
      <c r="B4" s="5" t="s">
        <v>88</v>
      </c>
    </row>
    <row r="5" spans="2:9">
      <c r="B5" s="5" t="s">
        <v>80</v>
      </c>
    </row>
    <row r="7" spans="2:9" ht="16">
      <c r="B7" s="33" t="s">
        <v>98</v>
      </c>
    </row>
    <row r="8" spans="2:9" ht="16">
      <c r="B8" s="33" t="s">
        <v>99</v>
      </c>
    </row>
    <row r="9" spans="2:9" ht="16">
      <c r="B9" s="33" t="s">
        <v>61</v>
      </c>
    </row>
    <row r="10" spans="2:9" ht="16">
      <c r="B10" s="33"/>
    </row>
    <row r="11" spans="2:9" ht="16">
      <c r="B11" s="33"/>
    </row>
    <row r="13" spans="2:9">
      <c r="B13" s="9" t="s">
        <v>81</v>
      </c>
      <c r="C13" s="11"/>
      <c r="D13" s="12"/>
      <c r="G13" s="54" t="s">
        <v>111</v>
      </c>
      <c r="H13" s="53"/>
      <c r="I13" s="58"/>
    </row>
    <row r="14" spans="2:9" ht="16">
      <c r="B14" s="7" t="s">
        <v>82</v>
      </c>
      <c r="C14" s="17">
        <v>12.95</v>
      </c>
      <c r="D14" s="18"/>
      <c r="G14" s="60" t="s">
        <v>152</v>
      </c>
      <c r="I14" s="61"/>
    </row>
    <row r="15" spans="2:9" ht="16">
      <c r="B15" s="13" t="s">
        <v>83</v>
      </c>
      <c r="C15" s="19">
        <v>80</v>
      </c>
      <c r="D15" s="14" t="s">
        <v>14</v>
      </c>
      <c r="G15" s="60" t="s">
        <v>151</v>
      </c>
      <c r="I15" s="61"/>
    </row>
    <row r="16" spans="2:9">
      <c r="B16" s="13" t="s">
        <v>84</v>
      </c>
      <c r="C16" s="19">
        <f>C14*C15</f>
        <v>1036</v>
      </c>
      <c r="D16" s="14"/>
      <c r="G16" s="62"/>
      <c r="I16" s="61"/>
    </row>
    <row r="17" spans="2:9">
      <c r="B17" s="13" t="s">
        <v>74</v>
      </c>
      <c r="C17" s="19">
        <f>Model!S63</f>
        <v>816578</v>
      </c>
      <c r="D17" s="14" t="s">
        <v>14</v>
      </c>
      <c r="G17" s="49"/>
      <c r="H17" s="50"/>
      <c r="I17" s="63"/>
    </row>
    <row r="18" spans="2:9">
      <c r="B18" s="13" t="s">
        <v>78</v>
      </c>
      <c r="C18" s="19">
        <v>3276.6</v>
      </c>
      <c r="D18" s="14" t="s">
        <v>14</v>
      </c>
      <c r="G18" s="52" t="s">
        <v>153</v>
      </c>
      <c r="H18" s="53" t="s">
        <v>113</v>
      </c>
      <c r="I18" s="58" t="s">
        <v>114</v>
      </c>
    </row>
    <row r="19" spans="2:9">
      <c r="B19" s="13" t="s">
        <v>85</v>
      </c>
      <c r="C19" s="19">
        <f>C16-C17+C18</f>
        <v>-812265.4</v>
      </c>
      <c r="D19" s="14"/>
      <c r="G19" s="37" t="s">
        <v>106</v>
      </c>
      <c r="H19" s="5">
        <f>7780000</f>
        <v>7780000</v>
      </c>
      <c r="I19" s="59">
        <v>119376495.17389999</v>
      </c>
    </row>
    <row r="20" spans="2:9">
      <c r="B20" s="13"/>
      <c r="D20" s="14"/>
      <c r="G20" s="13"/>
      <c r="I20" s="23"/>
    </row>
    <row r="21" spans="2:9">
      <c r="B21" s="13" t="s">
        <v>86</v>
      </c>
      <c r="C21" s="20">
        <v>2716.7</v>
      </c>
      <c r="D21" s="14" t="s">
        <v>14</v>
      </c>
      <c r="G21" s="37" t="s">
        <v>154</v>
      </c>
      <c r="H21" s="6"/>
      <c r="I21" s="38"/>
    </row>
    <row r="22" spans="2:9">
      <c r="B22" s="8" t="s">
        <v>87</v>
      </c>
      <c r="C22" s="16">
        <v>1829</v>
      </c>
      <c r="D22" s="15" t="s">
        <v>14</v>
      </c>
      <c r="G22" s="13" t="s">
        <v>109</v>
      </c>
      <c r="H22" s="5">
        <v>475700</v>
      </c>
      <c r="I22" s="39">
        <v>0.93240000000000001</v>
      </c>
    </row>
    <row r="23" spans="2:9">
      <c r="C23" s="20"/>
      <c r="D23" s="35" t="s">
        <v>100</v>
      </c>
      <c r="G23" s="13" t="s">
        <v>110</v>
      </c>
      <c r="H23" s="5">
        <v>24300</v>
      </c>
      <c r="I23" s="39">
        <v>0.76029999999999998</v>
      </c>
    </row>
    <row r="24" spans="2:9">
      <c r="G24" s="13" t="s">
        <v>109</v>
      </c>
      <c r="H24" s="5">
        <v>500000</v>
      </c>
      <c r="I24" s="39">
        <v>1.4693000000000001</v>
      </c>
    </row>
    <row r="25" spans="2:9">
      <c r="G25" s="13" t="s">
        <v>109</v>
      </c>
      <c r="H25" s="5">
        <v>150000</v>
      </c>
      <c r="I25" s="39">
        <v>1.4115</v>
      </c>
    </row>
    <row r="26" spans="2:9">
      <c r="B26" s="54" t="s">
        <v>146</v>
      </c>
      <c r="C26" s="53"/>
      <c r="D26" s="55" t="e">
        <f>AVERAGE(Model!AA71:AH74)*0.7</f>
        <v>#DIV/0!</v>
      </c>
      <c r="G26" s="13" t="s">
        <v>108</v>
      </c>
      <c r="H26" s="5">
        <v>20100</v>
      </c>
      <c r="I26" s="39">
        <v>1.0803</v>
      </c>
    </row>
    <row r="27" spans="2:9">
      <c r="G27" s="8" t="s">
        <v>107</v>
      </c>
      <c r="H27" s="29">
        <v>500000</v>
      </c>
      <c r="I27" s="40">
        <v>0.71030000000000004</v>
      </c>
    </row>
    <row r="28" spans="2:9">
      <c r="I28" s="41"/>
    </row>
    <row r="29" spans="2:9">
      <c r="B29" s="9" t="s">
        <v>150</v>
      </c>
      <c r="C29" s="11"/>
      <c r="D29" s="31"/>
      <c r="I29" s="41"/>
    </row>
    <row r="30" spans="2:9">
      <c r="B30" s="6"/>
      <c r="D30" s="6"/>
      <c r="I30" s="41"/>
    </row>
    <row r="31" spans="2:9">
      <c r="B31" s="54" t="s">
        <v>91</v>
      </c>
      <c r="C31" s="53"/>
      <c r="D31" s="58" t="s">
        <v>97</v>
      </c>
      <c r="I31" s="41"/>
    </row>
    <row r="32" spans="2:9">
      <c r="B32" s="13"/>
      <c r="D32" s="23"/>
    </row>
    <row r="33" spans="2:7">
      <c r="B33" s="13" t="s">
        <v>89</v>
      </c>
      <c r="D33" s="30" t="s">
        <v>90</v>
      </c>
    </row>
    <row r="34" spans="2:7">
      <c r="B34" s="13" t="s">
        <v>147</v>
      </c>
      <c r="D34" s="56" t="s">
        <v>148</v>
      </c>
    </row>
    <row r="35" spans="2:7">
      <c r="B35" s="13" t="s">
        <v>149</v>
      </c>
      <c r="D35" s="24">
        <f>'Debt Schedule'!S14</f>
        <v>289</v>
      </c>
    </row>
    <row r="36" spans="2:7">
      <c r="B36" s="13"/>
      <c r="D36" s="24"/>
    </row>
    <row r="37" spans="2:7">
      <c r="B37" s="13" t="s">
        <v>92</v>
      </c>
      <c r="D37" s="25">
        <v>3.4790000000000001E-2</v>
      </c>
    </row>
    <row r="38" spans="2:7">
      <c r="B38" s="13" t="s">
        <v>93</v>
      </c>
      <c r="D38" s="26">
        <v>50</v>
      </c>
    </row>
    <row r="39" spans="2:7">
      <c r="B39" s="13" t="s">
        <v>94</v>
      </c>
      <c r="D39" s="27">
        <v>0.44633</v>
      </c>
    </row>
    <row r="40" spans="2:7">
      <c r="B40" s="13"/>
      <c r="D40" s="28"/>
    </row>
    <row r="41" spans="2:7">
      <c r="B41" s="13" t="s">
        <v>95</v>
      </c>
      <c r="D41" s="27">
        <v>3.211E-2</v>
      </c>
    </row>
    <row r="42" spans="2:7">
      <c r="B42" s="8" t="s">
        <v>96</v>
      </c>
      <c r="C42" s="29"/>
      <c r="D42" s="32">
        <f>1-((1+D41)/(1+D39))^2</f>
        <v>0.49076624583731654</v>
      </c>
    </row>
    <row r="43" spans="2:7">
      <c r="D43" s="36"/>
    </row>
    <row r="44" spans="2:7">
      <c r="B44" s="57" t="s">
        <v>115</v>
      </c>
      <c r="C44" s="42"/>
      <c r="D44" s="43" t="s">
        <v>97</v>
      </c>
    </row>
    <row r="45" spans="2:7">
      <c r="B45" s="44"/>
      <c r="D45" s="45"/>
      <c r="G45" s="22"/>
    </row>
    <row r="46" spans="2:7">
      <c r="B46" s="44" t="s">
        <v>103</v>
      </c>
      <c r="D46" s="46">
        <v>1.47</v>
      </c>
      <c r="G46" s="22"/>
    </row>
    <row r="47" spans="2:7">
      <c r="B47" s="44" t="s">
        <v>112</v>
      </c>
      <c r="D47" s="47">
        <v>60</v>
      </c>
      <c r="G47" s="22"/>
    </row>
    <row r="48" spans="2:7">
      <c r="B48" s="44" t="s">
        <v>104</v>
      </c>
      <c r="D48" s="48">
        <v>45311</v>
      </c>
      <c r="G48" s="22"/>
    </row>
    <row r="49" spans="2:7">
      <c r="B49" s="44" t="s">
        <v>101</v>
      </c>
      <c r="D49" s="45"/>
      <c r="G49" s="22"/>
    </row>
    <row r="50" spans="2:7">
      <c r="B50" s="44" t="s">
        <v>102</v>
      </c>
      <c r="D50" s="45"/>
      <c r="G50" s="22"/>
    </row>
    <row r="51" spans="2:7">
      <c r="B51" s="49" t="s">
        <v>105</v>
      </c>
      <c r="C51" s="50"/>
      <c r="D51" s="51">
        <v>40400</v>
      </c>
      <c r="G51" s="22"/>
    </row>
    <row r="52" spans="2:7">
      <c r="D52" s="36"/>
      <c r="G52" s="22"/>
    </row>
    <row r="53" spans="2:7">
      <c r="D53" s="36"/>
      <c r="G53" s="22"/>
    </row>
    <row r="54" spans="2:7">
      <c r="D54" s="36"/>
      <c r="G54" s="22"/>
    </row>
    <row r="55" spans="2:7">
      <c r="D55" s="36"/>
      <c r="G55" s="22"/>
    </row>
    <row r="56" spans="2:7">
      <c r="D56" s="36"/>
      <c r="G56" s="22"/>
    </row>
    <row r="57" spans="2:7">
      <c r="D57" s="36"/>
      <c r="G57" s="22"/>
    </row>
    <row r="58" spans="2:7">
      <c r="D58" s="36"/>
      <c r="G58" s="22"/>
    </row>
    <row r="59" spans="2:7">
      <c r="D59" s="36"/>
      <c r="G59" s="22"/>
    </row>
    <row r="60" spans="2:7">
      <c r="D60" s="36"/>
      <c r="G60" s="22"/>
    </row>
    <row r="61" spans="2:7">
      <c r="D61" s="36"/>
      <c r="G61" s="22"/>
    </row>
    <row r="62" spans="2:7">
      <c r="D62" s="36"/>
      <c r="G62" s="22"/>
    </row>
    <row r="63" spans="2:7">
      <c r="D63" s="36"/>
      <c r="G63" s="22"/>
    </row>
    <row r="64" spans="2:7">
      <c r="D64" s="36"/>
      <c r="G64" s="22"/>
    </row>
    <row r="65" spans="4:7">
      <c r="D65" s="36"/>
      <c r="G65" s="22"/>
    </row>
    <row r="66" spans="4:7">
      <c r="D66" s="36"/>
      <c r="G66" s="22"/>
    </row>
    <row r="67" spans="4:7">
      <c r="G67" s="22"/>
    </row>
    <row r="68" spans="4:7">
      <c r="D68" s="21"/>
      <c r="G68" s="22"/>
    </row>
    <row r="69" spans="4:7">
      <c r="G69" s="22"/>
    </row>
  </sheetData>
  <conditionalFormatting sqref="A51 A1:XFD13 A52:F1048576 C51:F51 I17 A14:F50 G21:I1048576 J14:XFD1048576 G14:I16 H18 G19">
    <cfRule type="cellIs" dxfId="1" priority="2" operator="lessThan">
      <formula>0</formula>
    </cfRule>
  </conditionalFormatting>
  <conditionalFormatting sqref="H19">
    <cfRule type="cellIs" dxfId="0" priority="1" operator="lessThan">
      <formula>0</formula>
    </cfRule>
  </conditionalFormatting>
  <hyperlinks>
    <hyperlink ref="D33" r:id="rId1" xr:uid="{6FE47631-34B8-BB4B-A0D0-1D61FB01BD5C}"/>
    <hyperlink ref="B7" location="Main!A1" display="Main" xr:uid="{49A734C2-84CD-CC44-A317-A07CFA4F9805}"/>
    <hyperlink ref="B9" location="'Debt Schedule'!A1" display="Debt Schedule" xr:uid="{A9093469-974C-D94D-B81E-A2E724C8D3F2}"/>
    <hyperlink ref="B8" location="Model!A1" display="Model" xr:uid="{A9E0A47E-1DAC-BA47-A38A-C4D0838145EE}"/>
    <hyperlink ref="G15" r:id="rId2" xr:uid="{0A619A45-4B14-0243-9FF6-E6AB203CE51E}"/>
    <hyperlink ref="G14" r:id="rId3" xr:uid="{EAE97FC0-A683-F448-87AE-1406E6457014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9653-E7B2-064F-B360-698FD4C4B67D}">
  <dimension ref="A1:AS127"/>
  <sheetViews>
    <sheetView tabSelected="1" workbookViewId="0">
      <pane xSplit="1" ySplit="7" topLeftCell="H11" activePane="bottomRight" state="frozen"/>
      <selection pane="topRight" activeCell="B1" sqref="B1"/>
      <selection pane="bottomLeft" activeCell="A4" sqref="A4"/>
      <selection pane="bottomRight" activeCell="A12" sqref="A12"/>
    </sheetView>
  </sheetViews>
  <sheetFormatPr baseColWidth="10" defaultRowHeight="16" outlineLevelCol="1"/>
  <cols>
    <col min="1" max="1" width="38" bestFit="1" customWidth="1"/>
    <col min="2" max="6" width="9.33203125" customWidth="1" outlineLevel="1"/>
    <col min="7" max="19" width="9.33203125" customWidth="1"/>
    <col min="20" max="20" width="11.33203125" customWidth="1"/>
    <col min="21" max="21" width="11.6640625" style="101" customWidth="1"/>
    <col min="22" max="25" width="9.33203125" style="101" customWidth="1"/>
    <col min="26" max="26" width="15.33203125" style="101" customWidth="1"/>
    <col min="27" max="27" width="14.1640625" style="101" customWidth="1"/>
    <col min="28" max="29" width="9.33203125" style="101" customWidth="1"/>
    <col min="30" max="34" width="9.33203125" customWidth="1"/>
    <col min="38" max="39" width="8.6640625" bestFit="1" customWidth="1"/>
    <col min="40" max="45" width="7.6640625" bestFit="1" customWidth="1"/>
  </cols>
  <sheetData>
    <row r="1" spans="1:45" ht="39" customHeight="1">
      <c r="A1" s="75" t="s">
        <v>77</v>
      </c>
    </row>
    <row r="2" spans="1:45">
      <c r="A2" s="76" t="s">
        <v>88</v>
      </c>
    </row>
    <row r="4" spans="1:45">
      <c r="A4" s="65" t="s">
        <v>98</v>
      </c>
    </row>
    <row r="5" spans="1:45">
      <c r="A5" s="65" t="s">
        <v>61</v>
      </c>
    </row>
    <row r="6" spans="1:45">
      <c r="A6" s="76" t="s">
        <v>99</v>
      </c>
      <c r="B6" s="76" t="s">
        <v>124</v>
      </c>
      <c r="C6" s="76" t="s">
        <v>123</v>
      </c>
      <c r="D6" s="76" t="s">
        <v>122</v>
      </c>
      <c r="E6" s="76" t="s">
        <v>121</v>
      </c>
      <c r="F6" s="76" t="s">
        <v>120</v>
      </c>
      <c r="G6" s="76" t="s">
        <v>119</v>
      </c>
      <c r="H6" s="76" t="s">
        <v>118</v>
      </c>
      <c r="I6" s="76" t="s">
        <v>117</v>
      </c>
      <c r="J6" s="76" t="s">
        <v>116</v>
      </c>
      <c r="K6" s="76" t="s">
        <v>179</v>
      </c>
      <c r="L6" s="76" t="s">
        <v>178</v>
      </c>
      <c r="M6" s="76" t="s">
        <v>177</v>
      </c>
      <c r="N6" s="76" t="s">
        <v>170</v>
      </c>
      <c r="O6" s="76" t="s">
        <v>171</v>
      </c>
      <c r="P6" s="76" t="s">
        <v>172</v>
      </c>
      <c r="Q6" s="76" t="s">
        <v>173</v>
      </c>
      <c r="R6" s="76" t="s">
        <v>174</v>
      </c>
      <c r="S6" s="76" t="s">
        <v>175</v>
      </c>
      <c r="T6" s="76" t="s">
        <v>176</v>
      </c>
      <c r="U6" s="102" t="s">
        <v>232</v>
      </c>
      <c r="V6" s="102" t="s">
        <v>125</v>
      </c>
      <c r="W6" s="102" t="s">
        <v>126</v>
      </c>
      <c r="X6" s="102" t="s">
        <v>127</v>
      </c>
      <c r="Y6" s="102" t="s">
        <v>128</v>
      </c>
      <c r="Z6" s="102" t="s">
        <v>129</v>
      </c>
      <c r="AA6" s="102" t="s">
        <v>130</v>
      </c>
      <c r="AB6" s="102" t="s">
        <v>131</v>
      </c>
      <c r="AC6" s="102" t="s">
        <v>132</v>
      </c>
      <c r="AD6" s="76" t="s">
        <v>133</v>
      </c>
      <c r="AE6" s="76" t="s">
        <v>134</v>
      </c>
      <c r="AF6" s="76" t="s">
        <v>135</v>
      </c>
      <c r="AG6" s="76" t="s">
        <v>136</v>
      </c>
      <c r="AH6" s="76" t="s">
        <v>137</v>
      </c>
      <c r="AL6" s="76" t="s">
        <v>138</v>
      </c>
      <c r="AM6" s="76" t="s">
        <v>139</v>
      </c>
      <c r="AN6" s="76" t="s">
        <v>140</v>
      </c>
      <c r="AO6" s="76" t="s">
        <v>141</v>
      </c>
      <c r="AP6" s="76" t="s">
        <v>142</v>
      </c>
      <c r="AQ6" s="76" t="s">
        <v>143</v>
      </c>
      <c r="AR6" s="76" t="s">
        <v>144</v>
      </c>
      <c r="AS6" s="76" t="s">
        <v>145</v>
      </c>
    </row>
    <row r="7" spans="1:45">
      <c r="A7" s="76" t="s">
        <v>165</v>
      </c>
      <c r="B7" s="77">
        <v>43162</v>
      </c>
      <c r="C7" s="77">
        <v>43253</v>
      </c>
      <c r="D7" s="77">
        <v>43344</v>
      </c>
      <c r="E7" s="77">
        <v>43435</v>
      </c>
      <c r="F7" s="77">
        <v>43526</v>
      </c>
      <c r="G7" s="77">
        <v>43617</v>
      </c>
      <c r="H7" s="77">
        <v>43708</v>
      </c>
      <c r="I7" s="77">
        <v>43799</v>
      </c>
      <c r="J7" s="77">
        <v>43890</v>
      </c>
      <c r="K7" s="77">
        <v>43981</v>
      </c>
      <c r="L7" s="77">
        <v>44072</v>
      </c>
      <c r="M7" s="77">
        <v>44163</v>
      </c>
      <c r="N7" s="77">
        <v>44254</v>
      </c>
      <c r="O7" s="77">
        <v>44345</v>
      </c>
      <c r="P7" s="77">
        <v>44436</v>
      </c>
      <c r="Q7" s="77">
        <v>44527</v>
      </c>
      <c r="R7" s="77">
        <v>44618</v>
      </c>
      <c r="S7" s="77">
        <v>44709</v>
      </c>
      <c r="T7" s="77">
        <f>P7+365</f>
        <v>44801</v>
      </c>
      <c r="U7" s="103">
        <f t="shared" ref="U7:AH7" si="0">Q7+365</f>
        <v>44892</v>
      </c>
      <c r="V7" s="103">
        <f t="shared" si="0"/>
        <v>44983</v>
      </c>
      <c r="W7" s="103">
        <f t="shared" si="0"/>
        <v>45074</v>
      </c>
      <c r="X7" s="103">
        <f t="shared" si="0"/>
        <v>45166</v>
      </c>
      <c r="Y7" s="103">
        <f t="shared" si="0"/>
        <v>45257</v>
      </c>
      <c r="Z7" s="103">
        <f t="shared" si="0"/>
        <v>45348</v>
      </c>
      <c r="AA7" s="103">
        <f>W7+366</f>
        <v>45440</v>
      </c>
      <c r="AB7" s="103">
        <f t="shared" ref="AB7:AD7" si="1">X7+366</f>
        <v>45532</v>
      </c>
      <c r="AC7" s="103">
        <f t="shared" si="1"/>
        <v>45623</v>
      </c>
      <c r="AD7" s="77">
        <f t="shared" si="1"/>
        <v>45714</v>
      </c>
      <c r="AE7" s="77">
        <f t="shared" si="0"/>
        <v>45805</v>
      </c>
      <c r="AF7" s="77">
        <f t="shared" si="0"/>
        <v>45897</v>
      </c>
      <c r="AG7" s="77">
        <f t="shared" si="0"/>
        <v>45988</v>
      </c>
      <c r="AH7" s="77">
        <f t="shared" si="0"/>
        <v>46079</v>
      </c>
      <c r="AL7" s="76">
        <v>2019</v>
      </c>
      <c r="AM7" s="76">
        <f>AL7+1</f>
        <v>2020</v>
      </c>
      <c r="AN7" s="76">
        <f t="shared" ref="AN7:AS7" si="2">AM7+1</f>
        <v>2021</v>
      </c>
      <c r="AO7" s="76">
        <f t="shared" si="2"/>
        <v>2022</v>
      </c>
      <c r="AP7" s="76">
        <f t="shared" si="2"/>
        <v>2023</v>
      </c>
      <c r="AQ7" s="76">
        <f t="shared" si="2"/>
        <v>2024</v>
      </c>
      <c r="AR7" s="76">
        <f t="shared" si="2"/>
        <v>2025</v>
      </c>
      <c r="AS7" s="76">
        <f t="shared" si="2"/>
        <v>2026</v>
      </c>
    </row>
    <row r="8" spans="1:45" hidden="1"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45" hidden="1">
      <c r="A9" t="s">
        <v>0</v>
      </c>
      <c r="B9" s="79">
        <v>3716.26</v>
      </c>
      <c r="C9" s="79">
        <v>2753.67</v>
      </c>
      <c r="D9" s="79">
        <v>2935.02</v>
      </c>
      <c r="E9" s="79">
        <v>3032.23</v>
      </c>
      <c r="F9" s="79">
        <v>3307.88</v>
      </c>
      <c r="G9" s="79">
        <v>2572.9899999999998</v>
      </c>
      <c r="H9" s="79">
        <v>2719.45</v>
      </c>
      <c r="I9" s="79">
        <v>2759.32</v>
      </c>
      <c r="J9" s="79">
        <v>3106.82</v>
      </c>
      <c r="K9" s="79">
        <v>1307.45</v>
      </c>
      <c r="L9" s="79">
        <v>2687.97</v>
      </c>
      <c r="M9" s="79">
        <v>2618.4699999999998</v>
      </c>
      <c r="N9" s="79">
        <v>2619.14</v>
      </c>
      <c r="O9" s="79">
        <v>1953.81</v>
      </c>
      <c r="P9" s="79">
        <v>1984.7</v>
      </c>
      <c r="Q9" s="79">
        <v>1877.87</v>
      </c>
      <c r="R9" s="79">
        <v>2051.4</v>
      </c>
      <c r="S9" s="79">
        <v>1463.42</v>
      </c>
    </row>
    <row r="10" spans="1:45" hidden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45" s="83" customFormat="1">
      <c r="A11" s="81" t="s">
        <v>32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</row>
    <row r="12" spans="1:45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1:45" s="84" customFormat="1">
      <c r="A13" s="84" t="s">
        <v>1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>
        <v>1953812</v>
      </c>
      <c r="P13" s="85">
        <v>1984696</v>
      </c>
      <c r="Q13" s="85"/>
      <c r="R13" s="85"/>
      <c r="S13" s="85">
        <v>1463418</v>
      </c>
      <c r="T13" s="85">
        <v>1437018</v>
      </c>
      <c r="U13" s="104"/>
      <c r="V13" s="104"/>
      <c r="W13" s="104"/>
      <c r="X13" s="104"/>
      <c r="Y13" s="104"/>
      <c r="Z13" s="104"/>
      <c r="AA13" s="104"/>
      <c r="AB13" s="104"/>
      <c r="AC13" s="104"/>
      <c r="AD13" s="85"/>
      <c r="AE13" s="85"/>
      <c r="AF13" s="85"/>
      <c r="AG13" s="85"/>
      <c r="AH13" s="85"/>
      <c r="AL13" s="85">
        <f>SUM(C13:F13)</f>
        <v>0</v>
      </c>
      <c r="AM13" s="85">
        <f>SUM(G13:J13)</f>
        <v>0</v>
      </c>
      <c r="AN13" s="85">
        <f>SUM(K13:N13)</f>
        <v>0</v>
      </c>
      <c r="AO13" s="85">
        <f>SUM(O13:R13)</f>
        <v>3938508</v>
      </c>
      <c r="AP13" s="85">
        <f>SUM(S13:V13)</f>
        <v>2900436</v>
      </c>
      <c r="AQ13" s="85">
        <f>SUM(W13:Z13)</f>
        <v>0</v>
      </c>
      <c r="AR13" s="85">
        <f>SUM(AA13:AD13)</f>
        <v>0</v>
      </c>
      <c r="AS13" s="85">
        <f>SUM(AE13:AH13)</f>
        <v>0</v>
      </c>
    </row>
    <row r="14" spans="1:45">
      <c r="A14" t="s">
        <v>3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>
        <v>1320118</v>
      </c>
      <c r="P14" s="85">
        <v>1383627</v>
      </c>
      <c r="Q14" s="85"/>
      <c r="R14" s="85"/>
      <c r="S14" s="85">
        <v>1114106</v>
      </c>
      <c r="T14" s="85">
        <v>1038756</v>
      </c>
      <c r="U14" s="104"/>
      <c r="V14" s="104"/>
      <c r="W14" s="104"/>
      <c r="X14" s="104"/>
      <c r="Y14" s="104"/>
      <c r="Z14" s="104"/>
      <c r="AA14" s="104"/>
      <c r="AB14" s="104"/>
      <c r="AC14" s="104"/>
      <c r="AD14" s="85"/>
      <c r="AE14" s="85"/>
      <c r="AF14" s="85"/>
      <c r="AG14" s="85"/>
      <c r="AH14" s="85"/>
      <c r="AL14" s="85">
        <f>SUM(C14:F14)</f>
        <v>0</v>
      </c>
      <c r="AM14" s="85">
        <f>SUM(G14:J14)</f>
        <v>0</v>
      </c>
      <c r="AN14" s="85">
        <f>SUM(K14:N14)</f>
        <v>0</v>
      </c>
      <c r="AO14" s="85">
        <f>SUM(O14:R14)</f>
        <v>2703745</v>
      </c>
      <c r="AP14" s="85">
        <f>SUM(S14:V14)</f>
        <v>2152862</v>
      </c>
      <c r="AQ14" s="85">
        <f>SUM(W14:Z14)</f>
        <v>0</v>
      </c>
      <c r="AR14" s="85">
        <f>SUM(AA14:AD14)</f>
        <v>0</v>
      </c>
      <c r="AS14" s="85">
        <f>SUM(AE14:AH14)</f>
        <v>0</v>
      </c>
    </row>
    <row r="15" spans="1:45">
      <c r="A15" t="s">
        <v>4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85">
        <f>S13-S14</f>
        <v>349312</v>
      </c>
      <c r="T15" s="85">
        <f>T13-T14</f>
        <v>398262</v>
      </c>
      <c r="U15" s="104"/>
      <c r="V15" s="104"/>
      <c r="W15" s="104"/>
      <c r="X15" s="104"/>
      <c r="Y15" s="104"/>
      <c r="Z15" s="104"/>
      <c r="AA15" s="104"/>
      <c r="AB15" s="104"/>
      <c r="AC15" s="104"/>
      <c r="AD15" s="85"/>
      <c r="AE15" s="85"/>
      <c r="AF15" s="85"/>
      <c r="AG15" s="85"/>
      <c r="AH15" s="85"/>
      <c r="AL15" s="85">
        <f>SUM(C15:F15)</f>
        <v>0</v>
      </c>
      <c r="AM15" s="85">
        <f>SUM(G15:J15)</f>
        <v>0</v>
      </c>
      <c r="AN15" s="85">
        <f>SUM(K15:N15)</f>
        <v>0</v>
      </c>
      <c r="AO15" s="85">
        <f>SUM(O15:R15)</f>
        <v>0</v>
      </c>
      <c r="AP15" s="85">
        <f>SUM(S15:V15)</f>
        <v>747574</v>
      </c>
      <c r="AQ15" s="85">
        <f>SUM(W15:Z15)</f>
        <v>0</v>
      </c>
      <c r="AR15" s="85">
        <f>SUM(AA15:AD15)</f>
        <v>0</v>
      </c>
      <c r="AS15" s="85">
        <f>SUM(AE15:AH15)</f>
        <v>0</v>
      </c>
    </row>
    <row r="16" spans="1:45" s="88" customFormat="1">
      <c r="A16" s="88" t="s">
        <v>157</v>
      </c>
      <c r="U16" s="105"/>
      <c r="V16" s="105"/>
      <c r="W16" s="105"/>
      <c r="X16" s="105"/>
      <c r="Y16" s="105"/>
      <c r="Z16" s="105"/>
      <c r="AA16" s="105"/>
      <c r="AB16" s="105"/>
      <c r="AC16" s="105"/>
    </row>
    <row r="17" spans="1:45">
      <c r="A17" t="s">
        <v>5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>
        <v>658762</v>
      </c>
      <c r="P17" s="85">
        <v>652972</v>
      </c>
      <c r="Q17" s="85"/>
      <c r="R17" s="85"/>
      <c r="S17" s="85">
        <v>637508</v>
      </c>
      <c r="T17" s="85">
        <v>634877</v>
      </c>
      <c r="U17" s="104"/>
      <c r="V17" s="104"/>
      <c r="W17" s="104"/>
      <c r="X17" s="104"/>
      <c r="Y17" s="104"/>
      <c r="Z17" s="104"/>
      <c r="AA17" s="104"/>
      <c r="AB17" s="104"/>
      <c r="AC17" s="104"/>
      <c r="AD17" s="85"/>
      <c r="AE17" s="85"/>
      <c r="AF17" s="85"/>
      <c r="AG17" s="85"/>
      <c r="AH17" s="85"/>
      <c r="AL17" s="85">
        <f>SUM(C17:F17)</f>
        <v>0</v>
      </c>
      <c r="AM17" s="85">
        <f>SUM(G17:J17)</f>
        <v>0</v>
      </c>
      <c r="AN17" s="85">
        <f>SUM(K17:N17)</f>
        <v>0</v>
      </c>
      <c r="AO17" s="85">
        <f>SUM(O17:R17)</f>
        <v>1311734</v>
      </c>
      <c r="AP17" s="85">
        <f>SUM(S17:V17)</f>
        <v>1272385</v>
      </c>
      <c r="AQ17" s="85">
        <f>SUM(W17:Z17)</f>
        <v>0</v>
      </c>
      <c r="AR17" s="85">
        <f>SUM(AA17:AD17)</f>
        <v>0</v>
      </c>
      <c r="AS17" s="85">
        <f>SUM(AE17:AH17)</f>
        <v>0</v>
      </c>
    </row>
    <row r="18" spans="1:45" s="79" customFormat="1">
      <c r="A18" t="s">
        <v>163</v>
      </c>
      <c r="O18" s="79">
        <v>9129</v>
      </c>
      <c r="P18" s="79">
        <v>7584</v>
      </c>
      <c r="S18" s="85">
        <v>26699</v>
      </c>
      <c r="T18" s="79">
        <v>55518</v>
      </c>
      <c r="U18" s="106"/>
      <c r="V18" s="106"/>
      <c r="W18" s="106"/>
      <c r="X18" s="106"/>
      <c r="Y18" s="106"/>
      <c r="Z18" s="106"/>
      <c r="AA18" s="106"/>
      <c r="AB18" s="106"/>
      <c r="AC18" s="106"/>
      <c r="AL18" s="85"/>
      <c r="AM18" s="85"/>
      <c r="AN18" s="85"/>
      <c r="AO18" s="85">
        <f>SUM(O18:R18)</f>
        <v>16713</v>
      </c>
      <c r="AP18" s="85">
        <f>SUM(S18:V18)</f>
        <v>82217</v>
      </c>
      <c r="AQ18" s="85"/>
      <c r="AR18" s="85"/>
      <c r="AS18" s="85"/>
    </row>
    <row r="19" spans="1:45" s="79" customFormat="1">
      <c r="A19" t="s">
        <v>164</v>
      </c>
      <c r="O19" s="79">
        <v>33686</v>
      </c>
      <c r="P19" s="79">
        <v>24495</v>
      </c>
      <c r="S19" s="85">
        <v>24263</v>
      </c>
      <c r="T19" s="79">
        <v>54069</v>
      </c>
      <c r="U19" s="106"/>
      <c r="V19" s="106"/>
      <c r="W19" s="106"/>
      <c r="X19" s="106"/>
      <c r="Y19" s="106"/>
      <c r="Z19" s="106"/>
      <c r="AA19" s="106"/>
      <c r="AB19" s="106"/>
      <c r="AC19" s="106"/>
      <c r="AL19" s="85"/>
      <c r="AM19" s="85"/>
      <c r="AN19" s="85"/>
      <c r="AO19" s="85"/>
      <c r="AP19" s="85">
        <f>SUM(S19:V19)</f>
        <v>78332</v>
      </c>
      <c r="AQ19" s="85"/>
      <c r="AR19" s="85"/>
      <c r="AS19" s="85"/>
    </row>
    <row r="20" spans="1:45" s="79" customFormat="1">
      <c r="A20" t="s">
        <v>169</v>
      </c>
      <c r="O20" s="79">
        <v>3989</v>
      </c>
      <c r="P20" s="79">
        <v>132</v>
      </c>
      <c r="U20" s="106"/>
      <c r="V20" s="106"/>
      <c r="W20" s="106"/>
      <c r="X20" s="106"/>
      <c r="Y20" s="106"/>
      <c r="Z20" s="106"/>
      <c r="AA20" s="106"/>
      <c r="AB20" s="106"/>
      <c r="AC20" s="106"/>
      <c r="AL20" s="85"/>
      <c r="AM20" s="85"/>
      <c r="AN20" s="85"/>
      <c r="AO20" s="85"/>
      <c r="AP20" s="85"/>
      <c r="AQ20" s="85"/>
      <c r="AR20" s="85"/>
      <c r="AS20" s="85"/>
    </row>
    <row r="21" spans="1:45">
      <c r="A21" t="s">
        <v>43</v>
      </c>
      <c r="S21" s="85">
        <f>S15-S17-S18-S19-S20</f>
        <v>-339158</v>
      </c>
      <c r="T21" s="85">
        <f>T15-T17-T18-T19-T20</f>
        <v>-346202</v>
      </c>
      <c r="AL21" s="85"/>
      <c r="AM21" s="85"/>
      <c r="AN21" s="85"/>
      <c r="AO21" s="85"/>
      <c r="AP21" s="85"/>
      <c r="AQ21" s="85"/>
      <c r="AR21" s="85"/>
      <c r="AS21" s="85"/>
    </row>
    <row r="22" spans="1:45" s="85" customFormat="1">
      <c r="A22" t="s">
        <v>166</v>
      </c>
      <c r="O22" s="85">
        <v>16000</v>
      </c>
      <c r="P22" s="85">
        <v>16121</v>
      </c>
      <c r="S22" s="85">
        <v>16448</v>
      </c>
      <c r="T22" s="85">
        <v>18603</v>
      </c>
      <c r="U22" s="104"/>
      <c r="V22" s="104"/>
      <c r="W22" s="104"/>
      <c r="X22" s="104"/>
      <c r="Y22" s="104"/>
      <c r="Z22" s="104"/>
      <c r="AA22" s="104"/>
      <c r="AB22" s="104"/>
      <c r="AC22" s="104"/>
      <c r="AL22" s="85">
        <f>SUM(C22:F22)</f>
        <v>0</v>
      </c>
      <c r="AM22" s="85">
        <f>SUM(G22:J22)</f>
        <v>0</v>
      </c>
      <c r="AN22" s="85">
        <f>SUM(K22:N22)</f>
        <v>0</v>
      </c>
      <c r="AO22" s="85">
        <f>SUM(O22:R22)</f>
        <v>32121</v>
      </c>
      <c r="AP22" s="85">
        <f>SUM(S22:V22)</f>
        <v>35051</v>
      </c>
      <c r="AQ22" s="85">
        <f>SUM(W22:Z22)</f>
        <v>0</v>
      </c>
      <c r="AR22" s="85">
        <f>SUM(AA22:AD22)</f>
        <v>0</v>
      </c>
      <c r="AS22" s="85">
        <f>SUM(AE22:AH22)</f>
        <v>0</v>
      </c>
    </row>
    <row r="23" spans="1:45">
      <c r="A23" t="s">
        <v>167</v>
      </c>
      <c r="O23" s="79">
        <v>265</v>
      </c>
      <c r="P23" s="79">
        <v>111</v>
      </c>
      <c r="T23" s="92"/>
      <c r="U23" s="107"/>
      <c r="V23" s="107"/>
      <c r="W23" s="107"/>
      <c r="X23" s="107"/>
      <c r="Y23" s="107"/>
      <c r="Z23" s="107"/>
      <c r="AA23" s="107"/>
      <c r="AB23" s="107"/>
      <c r="AC23" s="107"/>
      <c r="AD23" s="92"/>
      <c r="AE23" s="92"/>
      <c r="AF23" s="92"/>
      <c r="AG23" s="92"/>
      <c r="AH23" s="92"/>
      <c r="AL23" s="85">
        <f>SUM(C23:F23)</f>
        <v>0</v>
      </c>
      <c r="AM23" s="85">
        <f>SUM(G23:J23)</f>
        <v>0</v>
      </c>
      <c r="AN23" s="85">
        <f>SUM(K23:N23)</f>
        <v>0</v>
      </c>
      <c r="AO23" s="85">
        <f>SUM(O23:R23)</f>
        <v>376</v>
      </c>
      <c r="AP23" s="85">
        <f>SUM(S23:V23)</f>
        <v>0</v>
      </c>
      <c r="AQ23" s="85">
        <f>SUM(W23:Z23)</f>
        <v>0</v>
      </c>
      <c r="AR23" s="85">
        <f>SUM(AA23:AD23)</f>
        <v>0</v>
      </c>
      <c r="AS23" s="85">
        <f>SUM(AE23:AH23)</f>
        <v>0</v>
      </c>
    </row>
    <row r="24" spans="1:45">
      <c r="A24" t="s">
        <v>168</v>
      </c>
      <c r="S24" s="85">
        <f>S21-S22-S23</f>
        <v>-355606</v>
      </c>
      <c r="T24" s="85">
        <f>T21-T22-T23</f>
        <v>-364805</v>
      </c>
      <c r="AL24" s="85">
        <f>SUM(C24:F24)</f>
        <v>0</v>
      </c>
      <c r="AM24" s="85">
        <f>SUM(G24:J24)</f>
        <v>0</v>
      </c>
      <c r="AN24" s="85">
        <f>SUM(K24:N24)</f>
        <v>0</v>
      </c>
      <c r="AO24" s="85">
        <f>SUM(O24:R24)</f>
        <v>0</v>
      </c>
      <c r="AP24" s="85">
        <f>SUM(S24:V24)</f>
        <v>-720411</v>
      </c>
      <c r="AQ24" s="85">
        <f>SUM(W24:Z24)</f>
        <v>0</v>
      </c>
      <c r="AR24" s="85">
        <f>SUM(AA24:AD24)</f>
        <v>0</v>
      </c>
      <c r="AS24" s="85">
        <f>SUM(AE24:AH24)</f>
        <v>0</v>
      </c>
    </row>
    <row r="25" spans="1:45" s="85" customFormat="1">
      <c r="A25" t="s">
        <v>8</v>
      </c>
      <c r="O25" s="85">
        <v>-37263</v>
      </c>
      <c r="P25" s="85">
        <v>-27131</v>
      </c>
      <c r="S25" s="85">
        <v>2060</v>
      </c>
      <c r="T25" s="85">
        <v>1354</v>
      </c>
      <c r="U25" s="104"/>
      <c r="V25" s="104"/>
      <c r="W25" s="104"/>
      <c r="X25" s="104"/>
      <c r="Y25" s="104"/>
      <c r="Z25" s="104"/>
      <c r="AA25" s="104"/>
      <c r="AB25" s="104"/>
      <c r="AC25" s="104"/>
      <c r="AL25" s="85">
        <f>SUM(C25:F25)</f>
        <v>0</v>
      </c>
      <c r="AM25" s="85">
        <f>SUM(G25:J25)</f>
        <v>0</v>
      </c>
      <c r="AN25" s="85">
        <f>SUM(K25:N25)</f>
        <v>0</v>
      </c>
      <c r="AO25" s="85">
        <f>SUM(O25:R25)</f>
        <v>-64394</v>
      </c>
      <c r="AP25" s="85">
        <f>SUM(S25:V25)</f>
        <v>3414</v>
      </c>
      <c r="AQ25" s="85">
        <f>SUM(W25:Z25)</f>
        <v>0</v>
      </c>
      <c r="AR25" s="85">
        <f>SUM(AA25:AD25)</f>
        <v>0</v>
      </c>
      <c r="AS25" s="85">
        <f>SUM(AE25:AH25)</f>
        <v>0</v>
      </c>
    </row>
    <row r="26" spans="1:45">
      <c r="A26" t="s">
        <v>9</v>
      </c>
      <c r="S26" s="85">
        <f>S24-S25</f>
        <v>-357666</v>
      </c>
      <c r="T26" s="85">
        <f>T24-T25</f>
        <v>-366159</v>
      </c>
      <c r="U26" s="104"/>
      <c r="V26" s="104"/>
      <c r="W26" s="104"/>
      <c r="X26" s="104"/>
      <c r="Y26" s="104"/>
      <c r="Z26" s="104"/>
      <c r="AA26" s="104"/>
      <c r="AB26" s="104"/>
      <c r="AC26" s="104"/>
      <c r="AD26" s="85"/>
      <c r="AE26" s="85"/>
      <c r="AF26" s="85"/>
      <c r="AG26" s="85"/>
      <c r="AH26" s="85"/>
      <c r="AL26" s="85">
        <f>SUM(C26:F26)</f>
        <v>0</v>
      </c>
      <c r="AM26" s="85">
        <f>SUM(G26:J26)</f>
        <v>0</v>
      </c>
      <c r="AN26" s="85">
        <f>SUM(K26:N26)</f>
        <v>0</v>
      </c>
      <c r="AO26" s="85">
        <f>SUM(O26:R26)</f>
        <v>0</v>
      </c>
      <c r="AP26" s="85">
        <f>SUM(S26:V26)</f>
        <v>-723825</v>
      </c>
      <c r="AQ26" s="85">
        <f>SUM(W26:Z26)</f>
        <v>0</v>
      </c>
      <c r="AR26" s="85">
        <f>SUM(AA26:AD26)</f>
        <v>0</v>
      </c>
      <c r="AS26" s="85">
        <f>SUM(AE26:AH26)</f>
        <v>0</v>
      </c>
    </row>
    <row r="28" spans="1:45" s="85" customFormat="1">
      <c r="A28" t="s">
        <v>11</v>
      </c>
      <c r="O28" s="85">
        <v>106722</v>
      </c>
      <c r="P28" s="85">
        <v>101951</v>
      </c>
      <c r="S28" s="85">
        <v>79611</v>
      </c>
      <c r="T28" s="85">
        <v>79706</v>
      </c>
      <c r="U28" s="104"/>
      <c r="V28" s="104"/>
      <c r="W28" s="104"/>
      <c r="X28" s="104"/>
      <c r="Y28" s="104"/>
      <c r="Z28" s="104"/>
      <c r="AA28" s="104"/>
      <c r="AB28" s="104"/>
      <c r="AC28" s="104"/>
      <c r="AL28" s="85">
        <f>F28</f>
        <v>0</v>
      </c>
      <c r="AM28" s="85">
        <f>J28</f>
        <v>0</v>
      </c>
      <c r="AN28" s="85">
        <f>N28</f>
        <v>0</v>
      </c>
      <c r="AO28" s="85">
        <f>R28</f>
        <v>0</v>
      </c>
      <c r="AP28" s="85">
        <f>V28</f>
        <v>0</v>
      </c>
      <c r="AQ28" s="85">
        <f>Z28</f>
        <v>0</v>
      </c>
      <c r="AR28" s="85">
        <f>AD28</f>
        <v>0</v>
      </c>
      <c r="AS28" s="85">
        <f>AH28</f>
        <v>0</v>
      </c>
    </row>
    <row r="29" spans="1:45" s="85" customFormat="1">
      <c r="A29" t="s">
        <v>10</v>
      </c>
      <c r="O29" s="85">
        <v>106722</v>
      </c>
      <c r="P29" s="85">
        <v>101951</v>
      </c>
      <c r="S29" s="85">
        <v>79611</v>
      </c>
      <c r="T29" s="85">
        <v>79706</v>
      </c>
      <c r="U29" s="104"/>
      <c r="V29" s="104"/>
      <c r="W29" s="104"/>
      <c r="X29" s="104"/>
      <c r="Y29" s="104"/>
      <c r="Z29" s="104"/>
      <c r="AA29" s="104"/>
      <c r="AB29" s="104"/>
      <c r="AC29" s="104"/>
      <c r="AL29" s="85">
        <f>F29</f>
        <v>0</v>
      </c>
      <c r="AM29" s="85">
        <f>J29</f>
        <v>0</v>
      </c>
      <c r="AN29" s="85">
        <f>N29</f>
        <v>0</v>
      </c>
      <c r="AO29" s="85">
        <f>R29</f>
        <v>0</v>
      </c>
      <c r="AP29" s="85">
        <f>V29</f>
        <v>0</v>
      </c>
      <c r="AQ29" s="85">
        <f>Z29</f>
        <v>0</v>
      </c>
      <c r="AR29" s="85">
        <f>AD29</f>
        <v>0</v>
      </c>
      <c r="AS29" s="85">
        <f>AH29</f>
        <v>0</v>
      </c>
    </row>
    <row r="30" spans="1:45" s="85" customFormat="1">
      <c r="A30"/>
      <c r="U30" s="104"/>
      <c r="V30" s="104"/>
      <c r="W30" s="104"/>
      <c r="X30" s="104"/>
      <c r="Y30" s="104"/>
      <c r="Z30" s="104"/>
      <c r="AA30" s="104"/>
      <c r="AB30" s="104"/>
      <c r="AC30" s="104"/>
    </row>
    <row r="31" spans="1:45">
      <c r="A31" t="s">
        <v>13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L31" s="85">
        <f>SUM(C31:F31)</f>
        <v>0</v>
      </c>
      <c r="AM31" s="85">
        <f>SUM(G31:J31)</f>
        <v>0</v>
      </c>
      <c r="AN31" s="85">
        <f>SUM(K31:N31)</f>
        <v>0</v>
      </c>
      <c r="AO31" s="85">
        <f>SUM(O31:R31)</f>
        <v>0</v>
      </c>
      <c r="AP31" s="85">
        <f>SUM(S31:V31)</f>
        <v>0</v>
      </c>
      <c r="AQ31" s="85">
        <f>SUM(W31:Z31)</f>
        <v>0</v>
      </c>
      <c r="AR31" s="85">
        <f>SUM(AA31:AD31)</f>
        <v>0</v>
      </c>
      <c r="AS31" s="85">
        <f>SUM(AE31:AH31)</f>
        <v>0</v>
      </c>
    </row>
    <row r="32" spans="1:45">
      <c r="A32" t="s">
        <v>33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108"/>
      <c r="V32" s="108"/>
      <c r="W32" s="108"/>
      <c r="X32" s="108"/>
      <c r="Y32" s="108"/>
      <c r="Z32" s="108"/>
      <c r="AA32" s="108"/>
      <c r="AB32" s="108"/>
      <c r="AC32" s="108"/>
      <c r="AD32" s="84"/>
      <c r="AE32" s="84"/>
      <c r="AF32" s="84"/>
      <c r="AG32" s="84"/>
      <c r="AH32" s="84"/>
      <c r="AL32" s="85">
        <f>SUM(C32:F32)</f>
        <v>0</v>
      </c>
      <c r="AM32" s="85">
        <f>SUM(G32:J32)</f>
        <v>0</v>
      </c>
      <c r="AN32" s="85">
        <f>SUM(K32:N32)</f>
        <v>0</v>
      </c>
      <c r="AO32" s="85">
        <f>SUM(O32:R32)</f>
        <v>0</v>
      </c>
      <c r="AP32" s="85">
        <f>SUM(S32:V32)</f>
        <v>0</v>
      </c>
      <c r="AQ32" s="85">
        <f>SUM(W32:Z32)</f>
        <v>0</v>
      </c>
      <c r="AR32" s="85">
        <f>SUM(AA32:AD32)</f>
        <v>0</v>
      </c>
      <c r="AS32" s="85">
        <f>SUM(AE32:AH32)</f>
        <v>0</v>
      </c>
    </row>
    <row r="34" spans="1:45">
      <c r="A34" t="s">
        <v>12</v>
      </c>
      <c r="AL34" s="92">
        <f>SUM(C34:F34)</f>
        <v>0</v>
      </c>
      <c r="AM34" s="92">
        <f>SUM(G34:J34)</f>
        <v>0</v>
      </c>
      <c r="AN34" s="92"/>
      <c r="AO34" s="92"/>
      <c r="AP34" s="92"/>
      <c r="AQ34" s="92"/>
      <c r="AR34" s="92"/>
      <c r="AS34" s="92"/>
    </row>
    <row r="35" spans="1:45">
      <c r="A35" t="s">
        <v>2</v>
      </c>
      <c r="B35" s="89"/>
      <c r="C35" s="89"/>
      <c r="D35" s="90"/>
      <c r="E35" s="90"/>
      <c r="F35" s="90"/>
      <c r="G35" s="90"/>
      <c r="H35" s="90"/>
      <c r="I35" s="90"/>
      <c r="J35" s="90"/>
    </row>
    <row r="36" spans="1:45">
      <c r="B36" s="89"/>
      <c r="C36" s="89"/>
      <c r="D36" s="90"/>
      <c r="E36" s="90"/>
      <c r="F36" s="90"/>
      <c r="G36" s="90"/>
      <c r="H36" s="90"/>
      <c r="I36" s="90"/>
      <c r="J36" s="90"/>
    </row>
    <row r="37" spans="1:45">
      <c r="B37" s="89"/>
      <c r="C37" s="89"/>
      <c r="D37" s="90"/>
      <c r="E37" s="90"/>
      <c r="F37" s="90"/>
      <c r="G37" s="90"/>
      <c r="H37" s="90"/>
      <c r="I37" s="90"/>
      <c r="J37" s="90"/>
    </row>
    <row r="40" spans="1:45" s="81" customFormat="1">
      <c r="A40" s="81" t="s">
        <v>162</v>
      </c>
    </row>
    <row r="42" spans="1:45" s="86" customFormat="1">
      <c r="A42" s="86" t="s">
        <v>158</v>
      </c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88"/>
      <c r="U42" s="105"/>
      <c r="V42" s="105"/>
      <c r="W42" s="105"/>
      <c r="X42" s="105"/>
      <c r="Y42" s="105"/>
      <c r="Z42" s="105"/>
      <c r="AA42" s="105"/>
      <c r="AB42" s="105"/>
      <c r="AC42" s="105"/>
      <c r="AD42" s="88"/>
      <c r="AE42" s="88"/>
      <c r="AF42" s="88"/>
      <c r="AG42" s="88"/>
      <c r="AH42" s="88"/>
    </row>
    <row r="43" spans="1:45" s="88" customFormat="1">
      <c r="A43" s="86" t="s">
        <v>155</v>
      </c>
      <c r="B43" s="87"/>
      <c r="C43" s="87"/>
      <c r="U43" s="105"/>
      <c r="V43" s="105"/>
      <c r="W43" s="105"/>
      <c r="X43" s="105"/>
      <c r="Y43" s="105"/>
      <c r="Z43" s="105"/>
      <c r="AA43" s="105"/>
      <c r="AB43" s="105"/>
      <c r="AC43" s="105"/>
    </row>
    <row r="44" spans="1:45" s="86" customFormat="1">
      <c r="A44" s="86" t="s">
        <v>156</v>
      </c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88"/>
      <c r="U44" s="105"/>
      <c r="V44" s="105"/>
      <c r="W44" s="105"/>
      <c r="X44" s="105"/>
      <c r="Y44" s="105"/>
      <c r="Z44" s="105"/>
      <c r="AA44" s="105"/>
      <c r="AB44" s="105"/>
      <c r="AC44" s="105"/>
      <c r="AD44" s="88"/>
      <c r="AE44" s="88"/>
      <c r="AF44" s="88"/>
      <c r="AG44" s="88"/>
      <c r="AH44" s="88"/>
    </row>
    <row r="45" spans="1:45" s="88" customFormat="1">
      <c r="A45" s="88" t="s">
        <v>160</v>
      </c>
      <c r="B45" s="87"/>
      <c r="C45" s="87"/>
      <c r="U45" s="105"/>
      <c r="V45" s="105"/>
      <c r="W45" s="105"/>
      <c r="X45" s="105"/>
      <c r="Y45" s="105"/>
      <c r="Z45" s="105"/>
      <c r="AA45" s="105"/>
      <c r="AB45" s="105"/>
      <c r="AC45" s="105"/>
    </row>
    <row r="46" spans="1:45" s="88" customFormat="1">
      <c r="A46" s="88" t="s">
        <v>159</v>
      </c>
      <c r="U46" s="105"/>
      <c r="V46" s="105"/>
      <c r="W46" s="105"/>
      <c r="X46" s="105"/>
      <c r="Y46" s="105"/>
      <c r="Z46" s="105"/>
      <c r="AA46" s="105"/>
      <c r="AB46" s="105"/>
      <c r="AC46" s="105"/>
    </row>
    <row r="47" spans="1:45">
      <c r="A47" s="86" t="s">
        <v>161</v>
      </c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</row>
    <row r="48" spans="1:45">
      <c r="A48" t="s">
        <v>45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4"/>
      <c r="U48" s="109"/>
      <c r="V48" s="109"/>
      <c r="W48" s="109"/>
      <c r="X48" s="109"/>
      <c r="Y48" s="109"/>
      <c r="Z48" s="109"/>
      <c r="AA48" s="109"/>
      <c r="AB48" s="109"/>
      <c r="AC48" s="109"/>
      <c r="AD48" s="94"/>
      <c r="AE48" s="94"/>
      <c r="AF48" s="94"/>
      <c r="AG48" s="94"/>
      <c r="AH48" s="94"/>
      <c r="AL48" s="94"/>
      <c r="AM48" s="94"/>
      <c r="AN48" s="94"/>
      <c r="AO48" s="94"/>
      <c r="AP48" s="94"/>
      <c r="AQ48" s="94"/>
      <c r="AR48" s="94"/>
      <c r="AS48" s="94"/>
    </row>
    <row r="51" spans="1:34" s="81" customFormat="1">
      <c r="A51" s="81" t="s">
        <v>180</v>
      </c>
    </row>
    <row r="52" spans="1:34" ht="17">
      <c r="X52" s="118"/>
      <c r="Y52" s="119"/>
      <c r="Z52" s="118"/>
      <c r="AA52" s="118"/>
      <c r="AB52" s="118"/>
      <c r="AC52" s="113"/>
    </row>
    <row r="53" spans="1:34" ht="17">
      <c r="A53" t="s">
        <v>181</v>
      </c>
      <c r="R53">
        <v>439496</v>
      </c>
      <c r="S53">
        <v>107543</v>
      </c>
      <c r="T53">
        <v>135270</v>
      </c>
      <c r="U53" s="101">
        <v>153521</v>
      </c>
      <c r="X53" s="119"/>
      <c r="Y53" s="113"/>
      <c r="Z53" s="119"/>
      <c r="AA53" s="119"/>
      <c r="AB53" s="119"/>
      <c r="AC53" s="113"/>
    </row>
    <row r="54" spans="1:34" ht="17">
      <c r="A54" t="s">
        <v>182</v>
      </c>
      <c r="R54">
        <v>1725</v>
      </c>
      <c r="S54">
        <v>1759586</v>
      </c>
      <c r="T54">
        <v>1576270</v>
      </c>
      <c r="U54" s="101">
        <v>1436150</v>
      </c>
      <c r="X54" s="119"/>
      <c r="Y54" s="118"/>
      <c r="Z54" s="119"/>
      <c r="AA54" s="120"/>
      <c r="AB54" s="119"/>
      <c r="AC54" s="113"/>
    </row>
    <row r="55" spans="1:34" ht="17">
      <c r="A55" t="s">
        <v>183</v>
      </c>
      <c r="R55">
        <v>198248</v>
      </c>
      <c r="S55">
        <v>190179</v>
      </c>
      <c r="T55">
        <v>192615</v>
      </c>
      <c r="U55" s="101">
        <v>288503</v>
      </c>
      <c r="X55" s="119"/>
      <c r="Y55" s="119"/>
      <c r="Z55" s="119"/>
      <c r="AA55" s="120"/>
      <c r="AB55" s="119"/>
      <c r="AC55" s="113"/>
    </row>
    <row r="56" spans="1:34" ht="17">
      <c r="A56" t="s">
        <v>184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>
        <v>19212</v>
      </c>
      <c r="S56" s="85">
        <v>18983</v>
      </c>
      <c r="T56">
        <v>20228</v>
      </c>
      <c r="U56" s="101">
        <v>21451</v>
      </c>
      <c r="X56" s="119"/>
      <c r="Y56" s="119"/>
      <c r="Z56" s="119"/>
      <c r="AA56" s="120"/>
      <c r="AB56" s="119"/>
      <c r="AC56" s="113"/>
    </row>
    <row r="57" spans="1:34" ht="17">
      <c r="A57" t="s">
        <v>185</v>
      </c>
      <c r="R57">
        <v>1027387</v>
      </c>
      <c r="S57">
        <v>1119247</v>
      </c>
      <c r="T57">
        <v>1121203</v>
      </c>
      <c r="U57" s="101">
        <v>1050526</v>
      </c>
      <c r="X57" s="119"/>
      <c r="Y57" s="119"/>
      <c r="Z57" s="119"/>
      <c r="AA57" s="120"/>
      <c r="AB57" s="119"/>
      <c r="AC57" s="113"/>
    </row>
    <row r="58" spans="1:34" ht="17">
      <c r="A58" t="s">
        <v>186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>
        <v>1562857</v>
      </c>
      <c r="S58" s="85">
        <v>1597461</v>
      </c>
      <c r="T58" s="85">
        <v>1469076</v>
      </c>
      <c r="U58" s="104">
        <v>1321665</v>
      </c>
      <c r="V58" s="104"/>
      <c r="W58" s="104"/>
      <c r="X58" s="119"/>
      <c r="Y58" s="119"/>
      <c r="Z58" s="119"/>
      <c r="AA58" s="120"/>
      <c r="AB58" s="119"/>
      <c r="AC58" s="115"/>
      <c r="AD58" s="85"/>
      <c r="AE58" s="85"/>
      <c r="AF58" s="85"/>
      <c r="AG58" s="85"/>
      <c r="AH58" s="85"/>
    </row>
    <row r="59" spans="1:34" ht="17">
      <c r="A59" t="s">
        <v>187</v>
      </c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>
        <v>157962</v>
      </c>
      <c r="S59" s="85">
        <v>156103</v>
      </c>
      <c r="T59" s="85">
        <v>151977</v>
      </c>
      <c r="U59" s="104">
        <v>129610</v>
      </c>
      <c r="V59" s="104"/>
      <c r="W59" s="104"/>
      <c r="X59" s="121"/>
      <c r="Y59" s="119"/>
      <c r="Z59" s="119"/>
      <c r="AA59" s="119"/>
      <c r="AB59" s="121"/>
      <c r="AC59" s="115"/>
      <c r="AD59" s="85"/>
      <c r="AE59" s="85"/>
      <c r="AF59" s="85"/>
      <c r="AG59" s="85"/>
      <c r="AH59" s="85"/>
    </row>
    <row r="60" spans="1:34" ht="17">
      <c r="A60" t="s">
        <v>188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>
        <f>SUM(R53:R59)</f>
        <v>3406887</v>
      </c>
      <c r="S60" s="85">
        <f t="shared" ref="S60:U60" si="3">SUM(S53:S59)</f>
        <v>4949102</v>
      </c>
      <c r="T60" s="85">
        <f t="shared" si="3"/>
        <v>4666639</v>
      </c>
      <c r="U60" s="104">
        <f t="shared" si="3"/>
        <v>4401426</v>
      </c>
      <c r="V60" s="104"/>
      <c r="W60" s="104"/>
      <c r="X60" s="121"/>
      <c r="Y60" s="121"/>
      <c r="Z60" s="121"/>
      <c r="AA60" s="121"/>
      <c r="AB60" s="121"/>
      <c r="AC60" s="115"/>
      <c r="AD60" s="85"/>
      <c r="AE60" s="85"/>
      <c r="AF60" s="85"/>
      <c r="AG60" s="85"/>
      <c r="AH60" s="85"/>
    </row>
    <row r="61" spans="1:34" ht="17">
      <c r="X61" s="121"/>
      <c r="Y61" s="118"/>
      <c r="Z61" s="119"/>
      <c r="AA61" s="122"/>
      <c r="AB61" s="121"/>
      <c r="AC61" s="113"/>
    </row>
    <row r="62" spans="1:34" ht="17">
      <c r="A62" t="s">
        <v>235</v>
      </c>
      <c r="U62" s="101">
        <v>909303</v>
      </c>
      <c r="X62" s="119"/>
      <c r="Y62" s="121"/>
      <c r="Z62" s="121"/>
      <c r="AA62" s="122"/>
      <c r="AB62" s="119"/>
      <c r="AC62" s="113"/>
    </row>
    <row r="63" spans="1:34" ht="17">
      <c r="A63" t="s">
        <v>189</v>
      </c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>
        <v>872445</v>
      </c>
      <c r="S63" s="85">
        <v>816578</v>
      </c>
      <c r="T63" s="85">
        <v>783681</v>
      </c>
      <c r="U63" s="104">
        <v>697889</v>
      </c>
      <c r="V63" s="104"/>
      <c r="W63" s="104"/>
      <c r="X63" s="119"/>
      <c r="Y63" s="119"/>
      <c r="Z63" s="119"/>
      <c r="AA63" s="122"/>
      <c r="AB63" s="119"/>
      <c r="AC63" s="115"/>
      <c r="AD63" s="85"/>
      <c r="AE63" s="85"/>
      <c r="AF63" s="85"/>
      <c r="AG63" s="85"/>
      <c r="AH63" s="85"/>
    </row>
    <row r="64" spans="1:34" ht="17">
      <c r="A64" t="s">
        <v>190</v>
      </c>
      <c r="R64" s="85">
        <v>529371</v>
      </c>
      <c r="S64" s="85">
        <v>549754</v>
      </c>
      <c r="T64" s="85">
        <v>394268</v>
      </c>
      <c r="U64" s="101">
        <v>356482</v>
      </c>
      <c r="X64" s="121"/>
      <c r="Y64" s="121"/>
      <c r="Z64" s="121"/>
      <c r="AA64" s="122"/>
      <c r="AB64" s="121"/>
      <c r="AC64" s="113"/>
    </row>
    <row r="65" spans="1:41" s="76" customFormat="1" ht="17">
      <c r="A65" t="s">
        <v>191</v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>
        <v>326465</v>
      </c>
      <c r="S65" s="96">
        <v>325232</v>
      </c>
      <c r="T65" s="96">
        <v>328089</v>
      </c>
      <c r="U65" s="110">
        <v>295197</v>
      </c>
      <c r="V65" s="110"/>
      <c r="W65" s="110"/>
      <c r="X65" s="119"/>
      <c r="Y65" s="119"/>
      <c r="Z65" s="119"/>
      <c r="AA65" s="122"/>
      <c r="AB65" s="119"/>
      <c r="AC65" s="11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</row>
    <row r="66" spans="1:41" ht="17">
      <c r="A66" t="s">
        <v>192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>
        <v>346506</v>
      </c>
      <c r="S66" s="85">
        <v>334891</v>
      </c>
      <c r="T66" s="85">
        <v>322430</v>
      </c>
      <c r="U66" s="111">
        <v>313368</v>
      </c>
      <c r="V66" s="93"/>
      <c r="W66" s="93"/>
      <c r="X66" s="123"/>
      <c r="Y66" s="123"/>
      <c r="Z66" s="123"/>
      <c r="AA66" s="123"/>
      <c r="AB66" s="123"/>
      <c r="AC66" s="93"/>
      <c r="AD66" s="93"/>
      <c r="AE66" s="93"/>
      <c r="AF66" s="93"/>
      <c r="AG66" s="93"/>
      <c r="AH66" s="93"/>
      <c r="AI66" s="85"/>
      <c r="AJ66" s="85"/>
      <c r="AK66" s="85"/>
      <c r="AL66" s="85"/>
      <c r="AM66" s="85"/>
      <c r="AN66" s="85"/>
      <c r="AO66" s="85"/>
    </row>
    <row r="67" spans="1:41" ht="17">
      <c r="A67" t="s">
        <v>234</v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>
        <f>SUM(R63:R66)</f>
        <v>2074787</v>
      </c>
      <c r="S67" s="85">
        <f t="shared" ref="S67:T67" si="4">SUM(S63:S66)</f>
        <v>2026455</v>
      </c>
      <c r="T67" s="85">
        <f t="shared" si="4"/>
        <v>1828468</v>
      </c>
      <c r="U67" s="104">
        <f>SUM(U62:U66)</f>
        <v>2572239</v>
      </c>
      <c r="V67" s="93"/>
      <c r="W67" s="93"/>
      <c r="X67" s="124"/>
      <c r="Y67" s="125"/>
      <c r="Z67" s="124"/>
      <c r="AA67" s="126"/>
      <c r="AB67" s="124"/>
      <c r="AC67" s="93"/>
      <c r="AD67" s="93"/>
      <c r="AE67" s="93"/>
      <c r="AF67" s="93"/>
      <c r="AG67" s="93"/>
      <c r="AH67" s="93"/>
      <c r="AI67" s="85"/>
      <c r="AJ67" s="85"/>
      <c r="AK67" s="85"/>
      <c r="AL67" s="85"/>
      <c r="AM67" s="85"/>
      <c r="AN67" s="85"/>
      <c r="AO67" s="85"/>
    </row>
    <row r="68" spans="1:41" ht="17">
      <c r="A68" t="s">
        <v>193</v>
      </c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>
        <v>102438</v>
      </c>
      <c r="S68" s="85">
        <v>111085</v>
      </c>
      <c r="T68" s="85">
        <v>114259</v>
      </c>
      <c r="U68" s="104">
        <v>119907</v>
      </c>
      <c r="V68" s="104"/>
      <c r="W68" s="104"/>
      <c r="X68" s="124"/>
      <c r="Y68" s="124"/>
      <c r="Z68" s="124"/>
      <c r="AA68" s="124"/>
      <c r="AB68" s="124"/>
      <c r="AC68" s="11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</row>
    <row r="69" spans="1:41" ht="17">
      <c r="A69" t="s">
        <v>194</v>
      </c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>
        <v>1508002</v>
      </c>
      <c r="S69" s="85">
        <v>1561870</v>
      </c>
      <c r="T69" s="85">
        <v>1479456</v>
      </c>
      <c r="U69" s="104">
        <v>1388484</v>
      </c>
      <c r="V69" s="104"/>
      <c r="W69" s="104"/>
      <c r="X69" s="121"/>
      <c r="Y69" s="121"/>
      <c r="Z69" s="121"/>
      <c r="AA69" s="121"/>
      <c r="AB69" s="121"/>
      <c r="AC69" s="11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</row>
    <row r="70" spans="1:41" ht="17">
      <c r="A70" t="s">
        <v>195</v>
      </c>
      <c r="R70" s="85">
        <v>91424</v>
      </c>
      <c r="S70" s="85">
        <v>90120</v>
      </c>
      <c r="T70" s="85">
        <v>92146</v>
      </c>
      <c r="U70" s="104">
        <v>93386</v>
      </c>
      <c r="V70" s="108"/>
      <c r="W70" s="108"/>
      <c r="X70" s="121"/>
      <c r="Y70" s="121"/>
      <c r="Z70" s="121"/>
      <c r="AA70" s="121"/>
      <c r="AB70" s="121"/>
      <c r="AC70" s="117"/>
      <c r="AD70" s="84"/>
      <c r="AE70" s="84"/>
      <c r="AF70" s="84"/>
      <c r="AG70" s="84"/>
      <c r="AH70" s="84"/>
    </row>
    <row r="71" spans="1:41" ht="17">
      <c r="A71" s="97" t="s">
        <v>196</v>
      </c>
      <c r="R71" s="85">
        <v>1179776</v>
      </c>
      <c r="S71" s="85">
        <v>1379870</v>
      </c>
      <c r="T71" s="99">
        <v>1729964</v>
      </c>
      <c r="U71" s="112">
        <v>1026053</v>
      </c>
      <c r="V71" s="98"/>
      <c r="W71" s="98"/>
      <c r="X71" s="127"/>
      <c r="Y71" s="127"/>
      <c r="Z71" s="127"/>
      <c r="AA71" s="127"/>
      <c r="AB71" s="127"/>
      <c r="AC71" s="98"/>
      <c r="AD71" s="98"/>
      <c r="AE71" s="98"/>
      <c r="AF71" s="98"/>
      <c r="AG71" s="98"/>
      <c r="AH71" s="98"/>
    </row>
    <row r="72" spans="1:41" ht="17">
      <c r="A72" s="97" t="s">
        <v>233</v>
      </c>
      <c r="R72" s="85">
        <f>R67+SUM(R68:R71)</f>
        <v>4956427</v>
      </c>
      <c r="S72" s="85">
        <f t="shared" ref="S72:U72" si="5">S67+SUM(S68:S71)</f>
        <v>5169400</v>
      </c>
      <c r="T72" s="85">
        <f t="shared" si="5"/>
        <v>5244293</v>
      </c>
      <c r="U72" s="104">
        <f t="shared" si="5"/>
        <v>5200069</v>
      </c>
      <c r="V72" s="98"/>
      <c r="W72" s="98"/>
      <c r="X72" s="114"/>
      <c r="Y72" s="114"/>
      <c r="Z72" s="114"/>
      <c r="AA72" s="114"/>
      <c r="AB72" s="114"/>
      <c r="AC72" s="98"/>
      <c r="AD72" s="98"/>
      <c r="AE72" s="98"/>
      <c r="AF72" s="98"/>
      <c r="AG72" s="98"/>
      <c r="AH72" s="98"/>
    </row>
    <row r="73" spans="1:41">
      <c r="A73" s="97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</row>
    <row r="74" spans="1:41">
      <c r="A74" s="97" t="s">
        <v>197</v>
      </c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</row>
    <row r="75" spans="1:41">
      <c r="A75" s="97" t="s">
        <v>198</v>
      </c>
      <c r="R75" s="85">
        <v>3441</v>
      </c>
      <c r="S75" s="85">
        <v>3446</v>
      </c>
      <c r="T75" s="99">
        <v>3450</v>
      </c>
      <c r="U75" s="101">
        <v>3823</v>
      </c>
      <c r="X75" s="98"/>
      <c r="Y75" s="98"/>
      <c r="Z75" s="98"/>
      <c r="AA75" s="98"/>
      <c r="AB75" s="98"/>
    </row>
    <row r="76" spans="1:41">
      <c r="A76" s="97" t="s">
        <v>199</v>
      </c>
      <c r="R76" s="85">
        <v>2235894</v>
      </c>
      <c r="S76" s="85">
        <v>2243378</v>
      </c>
      <c r="T76" s="99">
        <v>2253039</v>
      </c>
      <c r="U76" s="101">
        <v>2427739</v>
      </c>
    </row>
    <row r="77" spans="1:41">
      <c r="A77" s="97" t="s">
        <v>200</v>
      </c>
      <c r="R77" s="85">
        <v>9666091</v>
      </c>
      <c r="S77" s="85">
        <v>9308530</v>
      </c>
      <c r="T77" s="99">
        <v>8942368</v>
      </c>
      <c r="U77" s="101">
        <v>8549536</v>
      </c>
    </row>
    <row r="78" spans="1:41">
      <c r="A78" s="97" t="s">
        <v>201</v>
      </c>
      <c r="R78" s="85">
        <v>-11685267</v>
      </c>
      <c r="S78" s="85">
        <v>-11728295</v>
      </c>
      <c r="T78" s="99">
        <v>-11728514</v>
      </c>
      <c r="U78" s="101">
        <v>-11731194</v>
      </c>
    </row>
    <row r="79" spans="1:41">
      <c r="A79" s="97" t="s">
        <v>202</v>
      </c>
      <c r="R79" s="85">
        <v>262167</v>
      </c>
      <c r="S79" s="85">
        <v>264663</v>
      </c>
      <c r="T79" s="99">
        <v>264691</v>
      </c>
      <c r="U79" s="101">
        <v>265017</v>
      </c>
    </row>
    <row r="80" spans="1:41">
      <c r="A80" s="97" t="s">
        <v>205</v>
      </c>
      <c r="R80" s="85">
        <v>-46014</v>
      </c>
      <c r="S80" s="85">
        <v>-47357</v>
      </c>
      <c r="T80" s="99">
        <v>-47997</v>
      </c>
      <c r="U80" s="101">
        <v>-48547</v>
      </c>
    </row>
    <row r="81" spans="1:29">
      <c r="A81" s="97" t="s">
        <v>204</v>
      </c>
      <c r="R81" s="85">
        <f>R75+R76+R77+R78+R80</f>
        <v>174145</v>
      </c>
      <c r="S81" s="85">
        <f>S75+S76+S77+S78+S80</f>
        <v>-220298</v>
      </c>
      <c r="T81" s="85">
        <f>T75+T76+T77+T78+T80</f>
        <v>-577654</v>
      </c>
      <c r="U81" s="104">
        <f>U75+U76+U77+U78+U80</f>
        <v>-798643</v>
      </c>
    </row>
    <row r="83" spans="1:29">
      <c r="A83" s="97" t="s">
        <v>203</v>
      </c>
      <c r="R83" s="85">
        <f>R81+R72</f>
        <v>5130572</v>
      </c>
      <c r="S83" s="85">
        <f t="shared" ref="S83:U83" si="6">S81+S72</f>
        <v>4949102</v>
      </c>
      <c r="T83" s="85">
        <f t="shared" si="6"/>
        <v>4666639</v>
      </c>
      <c r="U83" s="85">
        <f t="shared" si="6"/>
        <v>4401426</v>
      </c>
    </row>
    <row r="84" spans="1:29">
      <c r="A84" s="97" t="s">
        <v>44</v>
      </c>
      <c r="R84" s="85">
        <f>R83-R60</f>
        <v>1723685</v>
      </c>
      <c r="S84" s="85">
        <f t="shared" ref="S84:U84" si="7">S83-S60</f>
        <v>0</v>
      </c>
      <c r="T84" s="85">
        <f t="shared" si="7"/>
        <v>0</v>
      </c>
      <c r="U84" s="85">
        <f t="shared" si="7"/>
        <v>0</v>
      </c>
    </row>
    <row r="86" spans="1:29" s="81" customFormat="1">
      <c r="A86" s="100" t="s">
        <v>206</v>
      </c>
      <c r="U86" s="102"/>
      <c r="V86" s="102"/>
      <c r="W86" s="102"/>
      <c r="X86" s="101"/>
      <c r="Y86" s="101"/>
      <c r="Z86" s="101"/>
      <c r="AA86" s="101"/>
      <c r="AB86" s="101"/>
      <c r="AC86" s="102"/>
    </row>
    <row r="87" spans="1:29">
      <c r="X87" s="102"/>
      <c r="Y87" s="102"/>
      <c r="Z87" s="102"/>
      <c r="AA87" s="102"/>
      <c r="AB87" s="102"/>
    </row>
    <row r="88" spans="1:29">
      <c r="A88" s="76" t="s">
        <v>207</v>
      </c>
    </row>
    <row r="89" spans="1:29">
      <c r="A89" t="s">
        <v>9</v>
      </c>
      <c r="S89" s="85">
        <f>S26</f>
        <v>-357666</v>
      </c>
    </row>
    <row r="90" spans="1:29">
      <c r="A90" s="76" t="s">
        <v>208</v>
      </c>
    </row>
    <row r="91" spans="1:29">
      <c r="A91" t="s">
        <v>6</v>
      </c>
      <c r="S91">
        <v>71103</v>
      </c>
    </row>
    <row r="92" spans="1:29">
      <c r="A92" t="s">
        <v>163</v>
      </c>
      <c r="S92">
        <v>26699</v>
      </c>
    </row>
    <row r="93" spans="1:29">
      <c r="A93" t="s">
        <v>209</v>
      </c>
      <c r="S93">
        <v>7123</v>
      </c>
    </row>
    <row r="94" spans="1:29">
      <c r="A94" t="s">
        <v>210</v>
      </c>
      <c r="S94">
        <v>-2299</v>
      </c>
    </row>
    <row r="95" spans="1:29">
      <c r="A95" t="s">
        <v>169</v>
      </c>
    </row>
    <row r="96" spans="1:29">
      <c r="A96" t="s">
        <v>229</v>
      </c>
    </row>
    <row r="97" spans="1:29">
      <c r="A97" t="s">
        <v>230</v>
      </c>
      <c r="S97">
        <v>590</v>
      </c>
    </row>
    <row r="99" spans="1:29">
      <c r="A99" s="76" t="s">
        <v>212</v>
      </c>
    </row>
    <row r="100" spans="1:29">
      <c r="A100" t="s">
        <v>182</v>
      </c>
      <c r="S100">
        <v>-34757</v>
      </c>
    </row>
    <row r="101" spans="1:29">
      <c r="A101" t="s">
        <v>211</v>
      </c>
      <c r="S101">
        <v>7971</v>
      </c>
    </row>
    <row r="102" spans="1:29">
      <c r="A102" t="s">
        <v>187</v>
      </c>
      <c r="S102">
        <v>-106</v>
      </c>
    </row>
    <row r="104" spans="1:29">
      <c r="A104" t="s">
        <v>189</v>
      </c>
      <c r="S104">
        <v>-47597</v>
      </c>
    </row>
    <row r="105" spans="1:29">
      <c r="A105" t="s">
        <v>190</v>
      </c>
      <c r="S105">
        <v>-38038</v>
      </c>
    </row>
    <row r="106" spans="1:29">
      <c r="A106" t="s">
        <v>191</v>
      </c>
      <c r="S106">
        <v>-1176</v>
      </c>
    </row>
    <row r="107" spans="1:29">
      <c r="A107" t="s">
        <v>213</v>
      </c>
      <c r="S107">
        <v>-1304</v>
      </c>
    </row>
    <row r="108" spans="1:29">
      <c r="A108" t="s">
        <v>214</v>
      </c>
      <c r="S108">
        <v>-13096</v>
      </c>
    </row>
    <row r="109" spans="1:29">
      <c r="A109" t="s">
        <v>193</v>
      </c>
      <c r="S109">
        <v>-998</v>
      </c>
    </row>
    <row r="110" spans="1:29">
      <c r="A110" t="s">
        <v>215</v>
      </c>
      <c r="S110" s="85">
        <f>S89+SUM(S91:S97,S100:S102,S104:S109)</f>
        <v>-383551</v>
      </c>
    </row>
    <row r="112" spans="1:29" s="76" customFormat="1">
      <c r="A112" s="76" t="s">
        <v>216</v>
      </c>
      <c r="U112" s="102"/>
      <c r="V112" s="102"/>
      <c r="W112" s="102"/>
      <c r="X112" s="101"/>
      <c r="Y112" s="101"/>
      <c r="Z112" s="101"/>
      <c r="AA112" s="101"/>
      <c r="AB112" s="101"/>
      <c r="AC112" s="102"/>
    </row>
    <row r="113" spans="1:28">
      <c r="A113" t="s">
        <v>217</v>
      </c>
      <c r="X113" s="102"/>
      <c r="Y113" s="102"/>
      <c r="Z113" s="102"/>
      <c r="AA113" s="102"/>
      <c r="AB113" s="102"/>
    </row>
    <row r="114" spans="1:28">
      <c r="A114" t="s">
        <v>218</v>
      </c>
      <c r="S114">
        <v>-104852</v>
      </c>
    </row>
    <row r="115" spans="1:28">
      <c r="A115" t="s">
        <v>219</v>
      </c>
      <c r="S115">
        <f>S113+S114</f>
        <v>-104852</v>
      </c>
    </row>
    <row r="117" spans="1:28">
      <c r="A117" s="76" t="s">
        <v>220</v>
      </c>
    </row>
    <row r="118" spans="1:28">
      <c r="A118" t="s">
        <v>221</v>
      </c>
      <c r="S118">
        <v>200000</v>
      </c>
    </row>
    <row r="119" spans="1:28">
      <c r="A119" t="s">
        <v>222</v>
      </c>
    </row>
    <row r="120" spans="1:28">
      <c r="A120" t="s">
        <v>223</v>
      </c>
      <c r="S120">
        <v>-43028</v>
      </c>
    </row>
    <row r="121" spans="1:28">
      <c r="A121" t="s">
        <v>224</v>
      </c>
      <c r="S121">
        <v>-271</v>
      </c>
    </row>
    <row r="122" spans="1:28">
      <c r="A122" t="s">
        <v>225</v>
      </c>
      <c r="S122">
        <f>S118+S119+S120+S121</f>
        <v>156701</v>
      </c>
    </row>
    <row r="124" spans="1:28">
      <c r="A124" t="s">
        <v>231</v>
      </c>
      <c r="S124">
        <v>-251</v>
      </c>
    </row>
    <row r="125" spans="1:28">
      <c r="A125" t="s">
        <v>226</v>
      </c>
      <c r="S125" s="85">
        <f>S122+S115+S110+S124</f>
        <v>-331953</v>
      </c>
    </row>
    <row r="126" spans="1:28">
      <c r="A126" t="s">
        <v>227</v>
      </c>
      <c r="S126" s="85">
        <f>R127</f>
        <v>470884</v>
      </c>
      <c r="T126" s="85">
        <f>S127</f>
        <v>138931</v>
      </c>
    </row>
    <row r="127" spans="1:28">
      <c r="A127" t="s">
        <v>228</v>
      </c>
      <c r="R127">
        <v>470884</v>
      </c>
      <c r="S127" s="85">
        <f>S126+S125</f>
        <v>138931</v>
      </c>
    </row>
  </sheetData>
  <hyperlinks>
    <hyperlink ref="A4" location="Main!A1" display="Main" xr:uid="{3ED6F794-CB36-1B4D-9883-E3EA0EC4F2AE}"/>
    <hyperlink ref="A5" location="'Debt Schedule'!A1" display="Debt Schedule" xr:uid="{52FAB004-D435-7649-B5C4-9161E6F98F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2FD-4FC9-2040-8AB6-2AAB3C25BA52}">
  <dimension ref="A2:AS38"/>
  <sheetViews>
    <sheetView workbookViewId="0">
      <pane xSplit="1" ySplit="10" topLeftCell="F11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baseColWidth="10" defaultRowHeight="16"/>
  <cols>
    <col min="1" max="1" width="28.33203125" style="66" customWidth="1"/>
    <col min="2" max="16384" width="10.83203125" style="66"/>
  </cols>
  <sheetData>
    <row r="2" spans="1:45">
      <c r="A2" s="67" t="s">
        <v>77</v>
      </c>
    </row>
    <row r="3" spans="1:45">
      <c r="A3" s="68" t="s">
        <v>88</v>
      </c>
    </row>
    <row r="4" spans="1:45">
      <c r="A4" s="68"/>
    </row>
    <row r="5" spans="1:45">
      <c r="A5" s="69" t="s">
        <v>98</v>
      </c>
    </row>
    <row r="6" spans="1:45">
      <c r="A6" s="69" t="s">
        <v>99</v>
      </c>
    </row>
    <row r="7" spans="1:45">
      <c r="A7" s="69" t="s">
        <v>61</v>
      </c>
    </row>
    <row r="9" spans="1:45">
      <c r="A9" s="70" t="s">
        <v>61</v>
      </c>
      <c r="B9" s="70" t="s">
        <v>31</v>
      </c>
      <c r="C9" s="70" t="s">
        <v>30</v>
      </c>
      <c r="D9" s="70" t="s">
        <v>29</v>
      </c>
      <c r="E9" s="70" t="s">
        <v>28</v>
      </c>
      <c r="F9" s="70" t="s">
        <v>27</v>
      </c>
      <c r="G9" s="70" t="s">
        <v>26</v>
      </c>
      <c r="H9" s="70" t="s">
        <v>25</v>
      </c>
      <c r="I9" s="70" t="s">
        <v>24</v>
      </c>
      <c r="J9" s="70" t="s">
        <v>23</v>
      </c>
      <c r="K9" s="70" t="s">
        <v>22</v>
      </c>
      <c r="L9" s="70" t="s">
        <v>21</v>
      </c>
      <c r="M9" s="70" t="s">
        <v>20</v>
      </c>
      <c r="N9" s="70" t="s">
        <v>19</v>
      </c>
      <c r="O9" s="70" t="s">
        <v>18</v>
      </c>
      <c r="P9" s="70" t="s">
        <v>17</v>
      </c>
      <c r="Q9" s="70" t="s">
        <v>16</v>
      </c>
      <c r="R9" s="70" t="s">
        <v>15</v>
      </c>
      <c r="S9" s="70" t="s">
        <v>14</v>
      </c>
      <c r="T9" s="70" t="s">
        <v>46</v>
      </c>
      <c r="U9" s="70" t="s">
        <v>47</v>
      </c>
      <c r="V9" s="70" t="s">
        <v>48</v>
      </c>
      <c r="W9" s="70" t="s">
        <v>49</v>
      </c>
      <c r="X9" s="70" t="s">
        <v>50</v>
      </c>
      <c r="Y9" s="70" t="s">
        <v>51</v>
      </c>
      <c r="Z9" s="70" t="s">
        <v>52</v>
      </c>
      <c r="AA9" s="70" t="s">
        <v>53</v>
      </c>
      <c r="AB9" s="70" t="s">
        <v>54</v>
      </c>
      <c r="AC9" s="70" t="s">
        <v>55</v>
      </c>
      <c r="AD9" s="70" t="s">
        <v>56</v>
      </c>
      <c r="AE9" s="70" t="s">
        <v>57</v>
      </c>
      <c r="AF9" s="70" t="s">
        <v>58</v>
      </c>
      <c r="AG9" s="70" t="s">
        <v>59</v>
      </c>
      <c r="AH9" s="70" t="s">
        <v>60</v>
      </c>
      <c r="AI9" s="71"/>
      <c r="AJ9" s="71"/>
      <c r="AK9" s="71"/>
      <c r="AL9" s="70" t="s">
        <v>34</v>
      </c>
      <c r="AM9" s="70" t="s">
        <v>36</v>
      </c>
      <c r="AN9" s="70" t="s">
        <v>37</v>
      </c>
      <c r="AO9" s="70" t="s">
        <v>38</v>
      </c>
      <c r="AP9" s="70" t="s">
        <v>39</v>
      </c>
      <c r="AQ9" s="70" t="s">
        <v>40</v>
      </c>
      <c r="AR9" s="70" t="s">
        <v>41</v>
      </c>
      <c r="AS9" s="70" t="s">
        <v>42</v>
      </c>
    </row>
    <row r="10" spans="1:45">
      <c r="A10" s="66" t="s">
        <v>75</v>
      </c>
      <c r="B10" s="72">
        <v>43162</v>
      </c>
      <c r="C10" s="72">
        <v>43253</v>
      </c>
      <c r="D10" s="72">
        <v>43344</v>
      </c>
      <c r="E10" s="72">
        <v>43435</v>
      </c>
      <c r="F10" s="72">
        <v>43526</v>
      </c>
      <c r="G10" s="72">
        <v>43617</v>
      </c>
      <c r="H10" s="72">
        <v>43708</v>
      </c>
      <c r="I10" s="72">
        <v>43799</v>
      </c>
      <c r="J10" s="72">
        <v>43890</v>
      </c>
      <c r="K10" s="72">
        <v>43981</v>
      </c>
      <c r="L10" s="72">
        <v>44072</v>
      </c>
      <c r="M10" s="72">
        <v>44163</v>
      </c>
      <c r="N10" s="72">
        <v>44254</v>
      </c>
      <c r="O10" s="72">
        <v>44345</v>
      </c>
      <c r="P10" s="72">
        <v>44436</v>
      </c>
      <c r="Q10" s="72">
        <v>44527</v>
      </c>
      <c r="R10" s="72">
        <v>44618</v>
      </c>
      <c r="S10" s="72">
        <v>44709</v>
      </c>
      <c r="T10" s="72">
        <v>44801</v>
      </c>
      <c r="U10" s="72">
        <v>44892</v>
      </c>
      <c r="V10" s="72">
        <v>44983</v>
      </c>
      <c r="W10" s="72">
        <v>45074</v>
      </c>
      <c r="X10" s="72">
        <v>45166</v>
      </c>
      <c r="Y10" s="72">
        <v>45257</v>
      </c>
      <c r="Z10" s="72">
        <v>45348</v>
      </c>
      <c r="AA10" s="72">
        <v>45440</v>
      </c>
      <c r="AB10" s="72">
        <v>45532</v>
      </c>
      <c r="AC10" s="72">
        <v>45623</v>
      </c>
      <c r="AD10" s="72">
        <v>45714</v>
      </c>
      <c r="AE10" s="72">
        <v>45805</v>
      </c>
      <c r="AF10" s="72">
        <v>45897</v>
      </c>
      <c r="AG10" s="72">
        <v>45988</v>
      </c>
      <c r="AH10" s="72">
        <v>46079</v>
      </c>
      <c r="AI10" s="71"/>
      <c r="AJ10" s="71"/>
      <c r="AK10" s="71"/>
      <c r="AL10" s="70" t="s">
        <v>35</v>
      </c>
      <c r="AM10" s="70" t="s">
        <v>35</v>
      </c>
      <c r="AN10" s="70" t="s">
        <v>35</v>
      </c>
      <c r="AO10" s="70" t="s">
        <v>35</v>
      </c>
      <c r="AP10" s="70" t="s">
        <v>35</v>
      </c>
      <c r="AQ10" s="70" t="s">
        <v>35</v>
      </c>
      <c r="AR10" s="70" t="s">
        <v>35</v>
      </c>
      <c r="AS10" s="70" t="s">
        <v>35</v>
      </c>
    </row>
    <row r="12" spans="1:45" s="68" customFormat="1">
      <c r="A12" s="68" t="s">
        <v>62</v>
      </c>
    </row>
    <row r="13" spans="1:45">
      <c r="A13" s="66" t="s">
        <v>67</v>
      </c>
      <c r="N13" s="66">
        <v>11</v>
      </c>
    </row>
    <row r="14" spans="1:45">
      <c r="A14" s="66" t="s">
        <v>63</v>
      </c>
      <c r="B14" s="66">
        <v>300</v>
      </c>
      <c r="C14" s="66">
        <v>300</v>
      </c>
      <c r="D14" s="66">
        <v>300</v>
      </c>
      <c r="E14" s="66">
        <v>300</v>
      </c>
      <c r="F14" s="66">
        <v>300</v>
      </c>
      <c r="G14" s="66">
        <v>300</v>
      </c>
      <c r="H14" s="66">
        <v>300</v>
      </c>
      <c r="I14" s="66">
        <v>300</v>
      </c>
      <c r="J14" s="66">
        <v>300</v>
      </c>
      <c r="K14" s="66">
        <v>300</v>
      </c>
      <c r="L14" s="66">
        <v>300</v>
      </c>
      <c r="M14" s="66">
        <v>300</v>
      </c>
      <c r="N14" s="66">
        <f>M14-N13</f>
        <v>289</v>
      </c>
      <c r="O14" s="66">
        <f t="shared" ref="O14:AB14" si="0">N14-O13</f>
        <v>289</v>
      </c>
      <c r="P14" s="66">
        <f t="shared" si="0"/>
        <v>289</v>
      </c>
      <c r="Q14" s="66">
        <f t="shared" si="0"/>
        <v>289</v>
      </c>
      <c r="R14" s="66">
        <f t="shared" si="0"/>
        <v>289</v>
      </c>
      <c r="S14" s="66">
        <f t="shared" si="0"/>
        <v>289</v>
      </c>
      <c r="T14" s="66">
        <f t="shared" si="0"/>
        <v>289</v>
      </c>
      <c r="U14" s="66">
        <f t="shared" si="0"/>
        <v>289</v>
      </c>
      <c r="V14" s="66">
        <f t="shared" si="0"/>
        <v>289</v>
      </c>
      <c r="W14" s="66">
        <f t="shared" si="0"/>
        <v>289</v>
      </c>
      <c r="X14" s="66">
        <f t="shared" si="0"/>
        <v>289</v>
      </c>
      <c r="Y14" s="66">
        <f t="shared" si="0"/>
        <v>289</v>
      </c>
      <c r="Z14" s="66">
        <f t="shared" si="0"/>
        <v>289</v>
      </c>
      <c r="AA14" s="66">
        <f t="shared" si="0"/>
        <v>289</v>
      </c>
      <c r="AB14" s="66">
        <f t="shared" si="0"/>
        <v>289</v>
      </c>
    </row>
    <row r="15" spans="1:45">
      <c r="A15" s="66" t="s">
        <v>64</v>
      </c>
      <c r="AB15" s="66">
        <f>-AB14</f>
        <v>-289</v>
      </c>
    </row>
    <row r="16" spans="1:45">
      <c r="A16" s="66" t="s">
        <v>7</v>
      </c>
      <c r="B16" s="73">
        <f>(B14*0.03749/2)*-1</f>
        <v>-5.6234999999999999</v>
      </c>
      <c r="C16" s="73"/>
      <c r="D16" s="73">
        <f>(D14*0.03749/2)*-1</f>
        <v>-5.6234999999999999</v>
      </c>
      <c r="E16" s="73"/>
      <c r="F16" s="73">
        <f>(F14*0.03749/2)*-1</f>
        <v>-5.6234999999999999</v>
      </c>
      <c r="G16" s="73"/>
      <c r="H16" s="73">
        <f>(H14*0.03749/2)*-1</f>
        <v>-5.6234999999999999</v>
      </c>
      <c r="I16" s="73"/>
      <c r="J16" s="73">
        <f>(J14*0.03749/2)*-1</f>
        <v>-5.6234999999999999</v>
      </c>
      <c r="K16" s="73"/>
      <c r="L16" s="73">
        <f>(L14*0.03749/2)*-1</f>
        <v>-5.6234999999999999</v>
      </c>
      <c r="M16" s="73"/>
      <c r="N16" s="73">
        <f>(N14*0.03749/2)*-1</f>
        <v>-5.4173050000000007</v>
      </c>
      <c r="O16" s="73"/>
      <c r="P16" s="73">
        <f>(P14*0.03749/2)*-1</f>
        <v>-5.4173050000000007</v>
      </c>
      <c r="Q16" s="73"/>
      <c r="R16" s="73">
        <f>(R14*0.03749/2)*-1</f>
        <v>-5.4173050000000007</v>
      </c>
      <c r="S16" s="73"/>
      <c r="T16" s="73">
        <f>(T14*0.03749/2)*-1</f>
        <v>-5.4173050000000007</v>
      </c>
      <c r="U16" s="73"/>
      <c r="V16" s="73">
        <f>(V14*0.03749/2)*-1</f>
        <v>-5.4173050000000007</v>
      </c>
      <c r="W16" s="73"/>
      <c r="X16" s="73">
        <f>(X14*0.03749/2)*-1</f>
        <v>-5.4173050000000007</v>
      </c>
      <c r="Y16" s="73"/>
      <c r="Z16" s="73">
        <f>(Z14*0.03749/2)*-1</f>
        <v>-5.4173050000000007</v>
      </c>
      <c r="AA16" s="73"/>
      <c r="AB16" s="73">
        <f>(Z16)*1</f>
        <v>-5.4173050000000007</v>
      </c>
      <c r="AD16" s="73"/>
    </row>
    <row r="17" spans="1:34">
      <c r="A17" s="66" t="s">
        <v>65</v>
      </c>
      <c r="B17" s="73">
        <f t="shared" ref="B17:W17" si="1">B15+B16</f>
        <v>-5.6234999999999999</v>
      </c>
      <c r="C17" s="73">
        <f t="shared" si="1"/>
        <v>0</v>
      </c>
      <c r="D17" s="73">
        <f t="shared" si="1"/>
        <v>-5.6234999999999999</v>
      </c>
      <c r="E17" s="73">
        <f t="shared" si="1"/>
        <v>0</v>
      </c>
      <c r="F17" s="73">
        <f t="shared" si="1"/>
        <v>-5.6234999999999999</v>
      </c>
      <c r="G17" s="73">
        <f t="shared" si="1"/>
        <v>0</v>
      </c>
      <c r="H17" s="73">
        <f t="shared" si="1"/>
        <v>-5.6234999999999999</v>
      </c>
      <c r="I17" s="73">
        <f t="shared" si="1"/>
        <v>0</v>
      </c>
      <c r="J17" s="73">
        <f t="shared" si="1"/>
        <v>-5.6234999999999999</v>
      </c>
      <c r="K17" s="73">
        <f t="shared" si="1"/>
        <v>0</v>
      </c>
      <c r="L17" s="73">
        <f t="shared" si="1"/>
        <v>-5.6234999999999999</v>
      </c>
      <c r="M17" s="73">
        <f t="shared" si="1"/>
        <v>0</v>
      </c>
      <c r="N17" s="73">
        <f t="shared" si="1"/>
        <v>-5.4173050000000007</v>
      </c>
      <c r="O17" s="73">
        <f t="shared" si="1"/>
        <v>0</v>
      </c>
      <c r="P17" s="73">
        <f t="shared" si="1"/>
        <v>-5.4173050000000007</v>
      </c>
      <c r="Q17" s="73">
        <f t="shared" si="1"/>
        <v>0</v>
      </c>
      <c r="R17" s="73">
        <f t="shared" si="1"/>
        <v>-5.4173050000000007</v>
      </c>
      <c r="S17" s="73">
        <f t="shared" si="1"/>
        <v>0</v>
      </c>
      <c r="T17" s="73">
        <f t="shared" si="1"/>
        <v>-5.4173050000000007</v>
      </c>
      <c r="U17" s="73">
        <f t="shared" si="1"/>
        <v>0</v>
      </c>
      <c r="V17" s="73">
        <f t="shared" si="1"/>
        <v>-5.4173050000000007</v>
      </c>
      <c r="W17" s="73">
        <f t="shared" si="1"/>
        <v>0</v>
      </c>
      <c r="X17" s="73">
        <f>X15+X16</f>
        <v>-5.4173050000000007</v>
      </c>
      <c r="Y17" s="73">
        <f t="shared" ref="Y17:AB17" si="2">Y15+Y16</f>
        <v>0</v>
      </c>
      <c r="Z17" s="73">
        <f t="shared" si="2"/>
        <v>-5.4173050000000007</v>
      </c>
      <c r="AA17" s="73">
        <f t="shared" si="2"/>
        <v>0</v>
      </c>
      <c r="AB17" s="73">
        <f t="shared" si="2"/>
        <v>-294.417305</v>
      </c>
    </row>
    <row r="19" spans="1:34">
      <c r="A19" s="68" t="s">
        <v>66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34">
      <c r="A20" s="66" t="s">
        <v>67</v>
      </c>
      <c r="J20" s="66">
        <v>75</v>
      </c>
    </row>
    <row r="21" spans="1:34">
      <c r="A21" s="66" t="s">
        <v>63</v>
      </c>
      <c r="B21" s="66">
        <v>300</v>
      </c>
      <c r="C21" s="66">
        <v>300</v>
      </c>
      <c r="D21" s="66">
        <v>300</v>
      </c>
      <c r="E21" s="66">
        <v>300</v>
      </c>
      <c r="F21" s="66">
        <v>300</v>
      </c>
      <c r="G21" s="66">
        <v>300</v>
      </c>
      <c r="H21" s="66">
        <v>300</v>
      </c>
      <c r="I21" s="66">
        <v>300</v>
      </c>
      <c r="J21" s="66">
        <f>I21-J20</f>
        <v>225</v>
      </c>
      <c r="K21" s="66">
        <f t="shared" ref="K21:AH21" si="3">J21-K20</f>
        <v>225</v>
      </c>
      <c r="L21" s="66">
        <f t="shared" si="3"/>
        <v>225</v>
      </c>
      <c r="M21" s="66">
        <f t="shared" si="3"/>
        <v>225</v>
      </c>
      <c r="N21" s="66">
        <f t="shared" si="3"/>
        <v>225</v>
      </c>
      <c r="O21" s="66">
        <f t="shared" si="3"/>
        <v>225</v>
      </c>
      <c r="P21" s="66">
        <f t="shared" si="3"/>
        <v>225</v>
      </c>
      <c r="Q21" s="66">
        <f t="shared" si="3"/>
        <v>225</v>
      </c>
      <c r="R21" s="66">
        <f t="shared" si="3"/>
        <v>225</v>
      </c>
      <c r="S21" s="66">
        <f t="shared" si="3"/>
        <v>225</v>
      </c>
      <c r="T21" s="66">
        <f t="shared" si="3"/>
        <v>225</v>
      </c>
      <c r="U21" s="66">
        <f t="shared" si="3"/>
        <v>225</v>
      </c>
      <c r="V21" s="66">
        <f t="shared" si="3"/>
        <v>225</v>
      </c>
      <c r="W21" s="66">
        <f t="shared" si="3"/>
        <v>225</v>
      </c>
      <c r="X21" s="66">
        <f t="shared" si="3"/>
        <v>225</v>
      </c>
      <c r="Y21" s="66">
        <f t="shared" si="3"/>
        <v>225</v>
      </c>
      <c r="Z21" s="66">
        <f t="shared" si="3"/>
        <v>225</v>
      </c>
      <c r="AA21" s="66">
        <f t="shared" si="3"/>
        <v>225</v>
      </c>
      <c r="AB21" s="66">
        <f t="shared" si="3"/>
        <v>225</v>
      </c>
      <c r="AC21" s="66">
        <f t="shared" si="3"/>
        <v>225</v>
      </c>
      <c r="AD21" s="66">
        <f t="shared" si="3"/>
        <v>225</v>
      </c>
      <c r="AE21" s="66">
        <f t="shared" si="3"/>
        <v>225</v>
      </c>
      <c r="AF21" s="66">
        <f t="shared" si="3"/>
        <v>225</v>
      </c>
      <c r="AG21" s="66">
        <f t="shared" si="3"/>
        <v>225</v>
      </c>
      <c r="AH21" s="66">
        <f t="shared" si="3"/>
        <v>225</v>
      </c>
    </row>
    <row r="22" spans="1:34">
      <c r="A22" s="66" t="s">
        <v>64</v>
      </c>
      <c r="B22" s="73"/>
      <c r="C22" s="73"/>
      <c r="D22" s="73"/>
      <c r="E22" s="73"/>
      <c r="F22" s="73"/>
      <c r="G22" s="73"/>
      <c r="H22" s="73"/>
      <c r="I22" s="73"/>
      <c r="J22" s="73">
        <f>(J20)*-1</f>
        <v>-75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4">
      <c r="A23" s="66" t="s">
        <v>7</v>
      </c>
      <c r="B23" s="73">
        <f>(B21*0.04195/2)*-1</f>
        <v>-6.2925000000000004</v>
      </c>
      <c r="C23" s="73"/>
      <c r="D23" s="73">
        <f>(D21*0.04195/2)*-1</f>
        <v>-6.2925000000000004</v>
      </c>
      <c r="E23" s="73"/>
      <c r="F23" s="73">
        <f>(F21*0.04195/2)*-1</f>
        <v>-6.2925000000000004</v>
      </c>
      <c r="G23" s="73"/>
      <c r="H23" s="73">
        <f>(H21*0.04195/2)*-1</f>
        <v>-6.2925000000000004</v>
      </c>
      <c r="I23" s="73"/>
      <c r="J23" s="73">
        <f>(J21*0.04195/2)*-1</f>
        <v>-4.7193750000000003</v>
      </c>
      <c r="K23" s="73"/>
      <c r="L23" s="73">
        <f>(L21*0.04195/2)*-1</f>
        <v>-4.7193750000000003</v>
      </c>
      <c r="M23" s="73"/>
      <c r="N23" s="73">
        <f>(N21*0.04195/2)*-1</f>
        <v>-4.7193750000000003</v>
      </c>
      <c r="O23" s="73"/>
      <c r="P23" s="73">
        <f>(P21*0.04195/2)*-1</f>
        <v>-4.7193750000000003</v>
      </c>
      <c r="Q23" s="73"/>
      <c r="R23" s="73">
        <f>(R21*0.04195/2)*-1</f>
        <v>-4.7193750000000003</v>
      </c>
      <c r="S23" s="73"/>
      <c r="T23" s="73">
        <f>(T21*0.04195/2)*-1</f>
        <v>-4.7193750000000003</v>
      </c>
      <c r="U23" s="73"/>
      <c r="V23" s="73">
        <f>(V21*0.04195/2)*-1</f>
        <v>-4.7193750000000003</v>
      </c>
      <c r="W23" s="73"/>
      <c r="X23" s="73">
        <f>(X21*0.04195/2)*-1</f>
        <v>-4.7193750000000003</v>
      </c>
      <c r="Y23" s="73"/>
      <c r="Z23" s="73">
        <f>(Z21*0.04195/2)*-1</f>
        <v>-4.7193750000000003</v>
      </c>
      <c r="AA23" s="73"/>
      <c r="AB23" s="73">
        <f>(AB21*0.04195/2)*-1</f>
        <v>-4.7193750000000003</v>
      </c>
      <c r="AC23" s="73"/>
      <c r="AD23" s="73">
        <f>(AD21*0.04195/2)*-1</f>
        <v>-4.7193750000000003</v>
      </c>
      <c r="AE23" s="73"/>
      <c r="AF23" s="73">
        <f>(AF21*0.04195/2)*-1</f>
        <v>-4.7193750000000003</v>
      </c>
      <c r="AG23" s="73"/>
      <c r="AH23" s="73">
        <f>(AH21*0.04195/2)*-1</f>
        <v>-4.7193750000000003</v>
      </c>
    </row>
    <row r="24" spans="1:34">
      <c r="A24" s="66" t="s">
        <v>65</v>
      </c>
      <c r="B24" s="73">
        <f t="shared" ref="B24" si="4">B22+B23</f>
        <v>-6.2925000000000004</v>
      </c>
      <c r="C24" s="73">
        <f t="shared" ref="C24" si="5">C22+C23</f>
        <v>0</v>
      </c>
      <c r="D24" s="73">
        <f t="shared" ref="D24" si="6">D22+D23</f>
        <v>-6.2925000000000004</v>
      </c>
      <c r="E24" s="73">
        <f t="shared" ref="E24" si="7">E22+E23</f>
        <v>0</v>
      </c>
      <c r="F24" s="73">
        <f t="shared" ref="F24" si="8">F22+F23</f>
        <v>-6.2925000000000004</v>
      </c>
      <c r="G24" s="73">
        <f t="shared" ref="G24" si="9">G22+G23</f>
        <v>0</v>
      </c>
      <c r="H24" s="73">
        <f t="shared" ref="H24" si="10">H22+H23</f>
        <v>-6.2925000000000004</v>
      </c>
      <c r="I24" s="73">
        <f t="shared" ref="I24" si="11">I22+I23</f>
        <v>0</v>
      </c>
      <c r="J24" s="73">
        <f t="shared" ref="J24" si="12">J22+J23</f>
        <v>-79.719374999999999</v>
      </c>
      <c r="K24" s="73">
        <f t="shared" ref="K24" si="13">K22+K23</f>
        <v>0</v>
      </c>
      <c r="L24" s="73">
        <f t="shared" ref="L24" si="14">L22+L23</f>
        <v>-4.7193750000000003</v>
      </c>
      <c r="M24" s="73">
        <f t="shared" ref="M24" si="15">M22+M23</f>
        <v>0</v>
      </c>
      <c r="N24" s="73">
        <f t="shared" ref="N24" si="16">N22+N23</f>
        <v>-4.7193750000000003</v>
      </c>
      <c r="O24" s="73">
        <f t="shared" ref="O24" si="17">O22+O23</f>
        <v>0</v>
      </c>
      <c r="P24" s="73">
        <f t="shared" ref="P24" si="18">P22+P23</f>
        <v>-4.7193750000000003</v>
      </c>
      <c r="Q24" s="73">
        <f t="shared" ref="Q24" si="19">Q22+Q23</f>
        <v>0</v>
      </c>
      <c r="R24" s="73">
        <f t="shared" ref="R24" si="20">R22+R23</f>
        <v>-4.7193750000000003</v>
      </c>
      <c r="S24" s="73">
        <f t="shared" ref="S24" si="21">S22+S23</f>
        <v>0</v>
      </c>
      <c r="T24" s="73">
        <f t="shared" ref="T24" si="22">T22+T23</f>
        <v>-4.7193750000000003</v>
      </c>
      <c r="U24" s="73">
        <f t="shared" ref="U24" si="23">U22+U23</f>
        <v>0</v>
      </c>
      <c r="V24" s="73">
        <f t="shared" ref="V24" si="24">V22+V23</f>
        <v>-4.7193750000000003</v>
      </c>
      <c r="W24" s="73">
        <f t="shared" ref="W24" si="25">W22+W23</f>
        <v>0</v>
      </c>
      <c r="X24" s="73">
        <f t="shared" ref="X24" si="26">X22+X23</f>
        <v>-4.7193750000000003</v>
      </c>
      <c r="Y24" s="73">
        <f t="shared" ref="Y24" si="27">Y22+Y23</f>
        <v>0</v>
      </c>
      <c r="Z24" s="73">
        <f t="shared" ref="Z24" si="28">Z22+Z23</f>
        <v>-4.7193750000000003</v>
      </c>
      <c r="AA24" s="73">
        <f t="shared" ref="AA24" si="29">AA22+AA23</f>
        <v>0</v>
      </c>
      <c r="AB24" s="73">
        <f t="shared" ref="AB24" si="30">AB22+AB23</f>
        <v>-4.7193750000000003</v>
      </c>
      <c r="AC24" s="73">
        <f t="shared" ref="AC24" si="31">AC22+AC23</f>
        <v>0</v>
      </c>
      <c r="AD24" s="73">
        <f t="shared" ref="AD24" si="32">AD22+AD23</f>
        <v>-4.7193750000000003</v>
      </c>
      <c r="AE24" s="73">
        <f t="shared" ref="AE24" si="33">AE22+AE23</f>
        <v>0</v>
      </c>
      <c r="AF24" s="73">
        <f t="shared" ref="AF24" si="34">AF22+AF23</f>
        <v>-4.7193750000000003</v>
      </c>
      <c r="AG24" s="73">
        <f t="shared" ref="AG24" si="35">AG22+AG23</f>
        <v>0</v>
      </c>
      <c r="AH24" s="73">
        <f t="shared" ref="AH24" si="36">AH22+AH23</f>
        <v>-4.7193750000000003</v>
      </c>
    </row>
    <row r="26" spans="1:34">
      <c r="A26" s="68" t="s">
        <v>68</v>
      </c>
      <c r="B26" s="68"/>
      <c r="C26" s="68"/>
      <c r="D26" s="68"/>
      <c r="E26" s="68"/>
    </row>
    <row r="27" spans="1:34">
      <c r="A27" s="66" t="s">
        <v>67</v>
      </c>
      <c r="J27" s="66">
        <v>225</v>
      </c>
    </row>
    <row r="28" spans="1:34">
      <c r="A28" s="66" t="s">
        <v>63</v>
      </c>
      <c r="B28" s="66">
        <v>900</v>
      </c>
      <c r="C28" s="66">
        <v>900</v>
      </c>
      <c r="D28" s="66">
        <v>900</v>
      </c>
      <c r="E28" s="66">
        <v>900</v>
      </c>
      <c r="F28" s="66">
        <v>900</v>
      </c>
      <c r="G28" s="66">
        <v>900</v>
      </c>
      <c r="H28" s="66">
        <v>900</v>
      </c>
      <c r="I28" s="66">
        <v>900</v>
      </c>
      <c r="J28" s="66">
        <f>I28-J27</f>
        <v>675</v>
      </c>
      <c r="K28" s="66">
        <f t="shared" ref="K28:AH28" si="37">J28-K27</f>
        <v>675</v>
      </c>
      <c r="L28" s="66">
        <f t="shared" si="37"/>
        <v>675</v>
      </c>
      <c r="M28" s="66">
        <f t="shared" si="37"/>
        <v>675</v>
      </c>
      <c r="N28" s="66">
        <f t="shared" si="37"/>
        <v>675</v>
      </c>
      <c r="O28" s="66">
        <f t="shared" si="37"/>
        <v>675</v>
      </c>
      <c r="P28" s="66">
        <f t="shared" si="37"/>
        <v>675</v>
      </c>
      <c r="Q28" s="66">
        <f t="shared" si="37"/>
        <v>675</v>
      </c>
      <c r="R28" s="66">
        <f t="shared" si="37"/>
        <v>675</v>
      </c>
      <c r="S28" s="66">
        <f t="shared" si="37"/>
        <v>675</v>
      </c>
      <c r="T28" s="66">
        <f t="shared" si="37"/>
        <v>675</v>
      </c>
      <c r="U28" s="66">
        <f t="shared" si="37"/>
        <v>675</v>
      </c>
      <c r="V28" s="66">
        <f t="shared" si="37"/>
        <v>675</v>
      </c>
      <c r="W28" s="66">
        <f t="shared" si="37"/>
        <v>675</v>
      </c>
      <c r="X28" s="66">
        <f t="shared" si="37"/>
        <v>675</v>
      </c>
      <c r="Y28" s="66">
        <f t="shared" si="37"/>
        <v>675</v>
      </c>
      <c r="Z28" s="66">
        <f t="shared" si="37"/>
        <v>675</v>
      </c>
      <c r="AA28" s="66">
        <f t="shared" si="37"/>
        <v>675</v>
      </c>
      <c r="AB28" s="66">
        <f t="shared" si="37"/>
        <v>675</v>
      </c>
      <c r="AC28" s="66">
        <f t="shared" si="37"/>
        <v>675</v>
      </c>
      <c r="AD28" s="66">
        <f t="shared" si="37"/>
        <v>675</v>
      </c>
      <c r="AE28" s="66">
        <f t="shared" si="37"/>
        <v>675</v>
      </c>
      <c r="AF28" s="66">
        <f t="shared" si="37"/>
        <v>675</v>
      </c>
      <c r="AG28" s="66">
        <f t="shared" si="37"/>
        <v>675</v>
      </c>
      <c r="AH28" s="66">
        <f t="shared" si="37"/>
        <v>675</v>
      </c>
    </row>
    <row r="29" spans="1:34">
      <c r="A29" s="66" t="s">
        <v>64</v>
      </c>
      <c r="B29" s="73"/>
      <c r="C29" s="73"/>
      <c r="D29" s="73"/>
      <c r="E29" s="73"/>
      <c r="F29" s="73"/>
      <c r="G29" s="73"/>
      <c r="H29" s="73"/>
      <c r="I29" s="73"/>
      <c r="J29" s="73">
        <f>(J27)*-1</f>
        <v>-225</v>
      </c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</row>
    <row r="30" spans="1:34">
      <c r="A30" s="66" t="s">
        <v>7</v>
      </c>
      <c r="B30" s="73">
        <f>(B28*0.05165)*-1</f>
        <v>-46.484999999999999</v>
      </c>
      <c r="C30" s="73">
        <v>0</v>
      </c>
      <c r="D30" s="73">
        <f>(D28*0.05165)*-1</f>
        <v>-46.484999999999999</v>
      </c>
      <c r="E30" s="73">
        <v>0</v>
      </c>
      <c r="F30" s="73">
        <f>(F28*0.05165/2)*-1</f>
        <v>-23.2425</v>
      </c>
      <c r="G30" s="73">
        <v>0</v>
      </c>
      <c r="H30" s="73">
        <f>(H28*0.05165/2)*-1</f>
        <v>-23.2425</v>
      </c>
      <c r="I30" s="73">
        <v>0</v>
      </c>
      <c r="J30" s="73">
        <f>(J28*0.05165/2)*-1</f>
        <v>-17.431875000000002</v>
      </c>
      <c r="K30" s="73">
        <v>0</v>
      </c>
      <c r="L30" s="73">
        <f>(L28*0.05165/2)*-1</f>
        <v>-17.431875000000002</v>
      </c>
      <c r="M30" s="73">
        <v>0</v>
      </c>
      <c r="N30" s="73">
        <f>(N28*0.05165/2)*-1</f>
        <v>-17.431875000000002</v>
      </c>
      <c r="O30" s="73">
        <v>0</v>
      </c>
      <c r="P30" s="73">
        <f>(P28*0.05165/2)*-1</f>
        <v>-17.431875000000002</v>
      </c>
      <c r="Q30" s="73">
        <v>0</v>
      </c>
      <c r="R30" s="73">
        <f>(R28*0.05165/2)*-1</f>
        <v>-17.431875000000002</v>
      </c>
      <c r="S30" s="73">
        <v>0</v>
      </c>
      <c r="T30" s="73">
        <f>(T28*0.05165/2)*-1</f>
        <v>-17.431875000000002</v>
      </c>
      <c r="U30" s="73">
        <v>0</v>
      </c>
      <c r="V30" s="73">
        <f>(V28*0.05165/2)*-1</f>
        <v>-17.431875000000002</v>
      </c>
      <c r="W30" s="73">
        <v>0</v>
      </c>
      <c r="X30" s="73">
        <f>(X28*0.05165/2)*-1</f>
        <v>-17.431875000000002</v>
      </c>
      <c r="Y30" s="73">
        <v>0</v>
      </c>
      <c r="Z30" s="73">
        <f>(Z28*0.05165/2)*-1</f>
        <v>-17.431875000000002</v>
      </c>
      <c r="AA30" s="73">
        <v>0</v>
      </c>
      <c r="AB30" s="73">
        <f>(AB28*0.05165/2)*-1</f>
        <v>-17.431875000000002</v>
      </c>
      <c r="AC30" s="73">
        <v>0</v>
      </c>
      <c r="AD30" s="73">
        <f>(AD28*0.05165/2)*-1</f>
        <v>-17.431875000000002</v>
      </c>
      <c r="AE30" s="73">
        <v>0</v>
      </c>
      <c r="AF30" s="73">
        <f>(AF28*0.05165/2)*-1</f>
        <v>-17.431875000000002</v>
      </c>
      <c r="AG30" s="73">
        <v>0</v>
      </c>
      <c r="AH30" s="73">
        <f>(AH28*0.05165/2)*-1</f>
        <v>-17.431875000000002</v>
      </c>
    </row>
    <row r="31" spans="1:34">
      <c r="A31" s="66" t="s">
        <v>65</v>
      </c>
      <c r="B31" s="73">
        <f t="shared" ref="B31" si="38">B29+B30</f>
        <v>-46.484999999999999</v>
      </c>
      <c r="C31" s="73">
        <f t="shared" ref="C31" si="39">C29+C30</f>
        <v>0</v>
      </c>
      <c r="D31" s="73">
        <f t="shared" ref="D31" si="40">D29+D30</f>
        <v>-46.484999999999999</v>
      </c>
      <c r="E31" s="73">
        <f t="shared" ref="E31" si="41">E29+E30</f>
        <v>0</v>
      </c>
      <c r="F31" s="73">
        <f t="shared" ref="F31" si="42">F29+F30</f>
        <v>-23.2425</v>
      </c>
      <c r="G31" s="73">
        <f t="shared" ref="G31" si="43">G29+G30</f>
        <v>0</v>
      </c>
      <c r="H31" s="73">
        <f t="shared" ref="H31" si="44">H29+H30</f>
        <v>-23.2425</v>
      </c>
      <c r="I31" s="73">
        <f t="shared" ref="I31" si="45">I29+I30</f>
        <v>0</v>
      </c>
      <c r="J31" s="73">
        <f t="shared" ref="J31" si="46">J29+J30</f>
        <v>-242.43187499999999</v>
      </c>
      <c r="K31" s="73">
        <f t="shared" ref="K31" si="47">K29+K30</f>
        <v>0</v>
      </c>
      <c r="L31" s="73">
        <f t="shared" ref="L31" si="48">L29+L30</f>
        <v>-17.431875000000002</v>
      </c>
      <c r="M31" s="73">
        <f t="shared" ref="M31" si="49">M29+M30</f>
        <v>0</v>
      </c>
      <c r="N31" s="73">
        <f t="shared" ref="N31" si="50">N29+N30</f>
        <v>-17.431875000000002</v>
      </c>
      <c r="O31" s="73">
        <f t="shared" ref="O31" si="51">O29+O30</f>
        <v>0</v>
      </c>
      <c r="P31" s="73">
        <f t="shared" ref="P31" si="52">P29+P30</f>
        <v>-17.431875000000002</v>
      </c>
      <c r="Q31" s="73">
        <f t="shared" ref="Q31" si="53">Q29+Q30</f>
        <v>0</v>
      </c>
      <c r="R31" s="73">
        <f t="shared" ref="R31" si="54">R29+R30</f>
        <v>-17.431875000000002</v>
      </c>
      <c r="S31" s="73">
        <f t="shared" ref="S31" si="55">S29+S30</f>
        <v>0</v>
      </c>
      <c r="T31" s="73">
        <f t="shared" ref="T31" si="56">T29+T30</f>
        <v>-17.431875000000002</v>
      </c>
      <c r="U31" s="73">
        <f t="shared" ref="U31" si="57">U29+U30</f>
        <v>0</v>
      </c>
      <c r="V31" s="73">
        <f t="shared" ref="V31" si="58">V29+V30</f>
        <v>-17.431875000000002</v>
      </c>
      <c r="W31" s="73">
        <f t="shared" ref="W31" si="59">W29+W30</f>
        <v>0</v>
      </c>
      <c r="X31" s="73">
        <f t="shared" ref="X31" si="60">X29+X30</f>
        <v>-17.431875000000002</v>
      </c>
      <c r="Y31" s="73">
        <f t="shared" ref="Y31" si="61">Y29+Y30</f>
        <v>0</v>
      </c>
      <c r="Z31" s="73">
        <f t="shared" ref="Z31" si="62">Z29+Z30</f>
        <v>-17.431875000000002</v>
      </c>
      <c r="AA31" s="73">
        <f t="shared" ref="AA31" si="63">AA29+AA30</f>
        <v>0</v>
      </c>
      <c r="AB31" s="73">
        <f t="shared" ref="AB31" si="64">AB29+AB30</f>
        <v>-17.431875000000002</v>
      </c>
      <c r="AC31" s="73">
        <f t="shared" ref="AC31" si="65">AC29+AC30</f>
        <v>0</v>
      </c>
      <c r="AD31" s="73">
        <f t="shared" ref="AD31" si="66">AD29+AD30</f>
        <v>-17.431875000000002</v>
      </c>
      <c r="AE31" s="73">
        <f t="shared" ref="AE31" si="67">AE29+AE30</f>
        <v>0</v>
      </c>
      <c r="AF31" s="73">
        <f t="shared" ref="AF31" si="68">AF29+AF30</f>
        <v>-17.431875000000002</v>
      </c>
      <c r="AG31" s="73">
        <f t="shared" ref="AG31" si="69">AG29+AG30</f>
        <v>0</v>
      </c>
      <c r="AH31" s="73">
        <f t="shared" ref="AH31" si="70">AH29+AH30</f>
        <v>-17.431875000000002</v>
      </c>
    </row>
    <row r="33" spans="1:34" s="68" customFormat="1">
      <c r="A33" s="68" t="s">
        <v>69</v>
      </c>
    </row>
    <row r="34" spans="1:34">
      <c r="A34" s="66" t="s">
        <v>67</v>
      </c>
      <c r="B34" s="66">
        <f>B13+B20+B27</f>
        <v>0</v>
      </c>
      <c r="C34" s="66">
        <f t="shared" ref="C34:AH37" si="71">C13+C20+C27</f>
        <v>0</v>
      </c>
      <c r="D34" s="66">
        <f t="shared" si="71"/>
        <v>0</v>
      </c>
      <c r="E34" s="66">
        <f t="shared" si="71"/>
        <v>0</v>
      </c>
      <c r="F34" s="66">
        <f t="shared" si="71"/>
        <v>0</v>
      </c>
      <c r="G34" s="66">
        <f t="shared" si="71"/>
        <v>0</v>
      </c>
      <c r="H34" s="66">
        <f t="shared" si="71"/>
        <v>0</v>
      </c>
      <c r="I34" s="66">
        <f t="shared" si="71"/>
        <v>0</v>
      </c>
      <c r="J34" s="66">
        <f t="shared" si="71"/>
        <v>300</v>
      </c>
      <c r="K34" s="66">
        <f t="shared" si="71"/>
        <v>0</v>
      </c>
      <c r="L34" s="66">
        <f t="shared" si="71"/>
        <v>0</v>
      </c>
      <c r="M34" s="66">
        <f t="shared" si="71"/>
        <v>0</v>
      </c>
      <c r="N34" s="66">
        <f t="shared" si="71"/>
        <v>11</v>
      </c>
      <c r="O34" s="66">
        <f t="shared" si="71"/>
        <v>0</v>
      </c>
      <c r="P34" s="66">
        <f t="shared" si="71"/>
        <v>0</v>
      </c>
      <c r="Q34" s="66">
        <f t="shared" si="71"/>
        <v>0</v>
      </c>
      <c r="R34" s="66">
        <f t="shared" si="71"/>
        <v>0</v>
      </c>
      <c r="S34" s="66">
        <f t="shared" si="71"/>
        <v>0</v>
      </c>
      <c r="T34" s="66">
        <f t="shared" si="71"/>
        <v>0</v>
      </c>
      <c r="U34" s="66">
        <f t="shared" si="71"/>
        <v>0</v>
      </c>
      <c r="V34" s="66">
        <f t="shared" si="71"/>
        <v>0</v>
      </c>
      <c r="W34" s="66">
        <f t="shared" si="71"/>
        <v>0</v>
      </c>
      <c r="X34" s="66">
        <f t="shared" si="71"/>
        <v>0</v>
      </c>
      <c r="Y34" s="66">
        <f t="shared" si="71"/>
        <v>0</v>
      </c>
      <c r="Z34" s="66">
        <f t="shared" si="71"/>
        <v>0</v>
      </c>
      <c r="AA34" s="66">
        <f t="shared" si="71"/>
        <v>0</v>
      </c>
      <c r="AB34" s="66">
        <f t="shared" si="71"/>
        <v>0</v>
      </c>
      <c r="AC34" s="66">
        <f t="shared" si="71"/>
        <v>0</v>
      </c>
      <c r="AD34" s="66">
        <f t="shared" si="71"/>
        <v>0</v>
      </c>
      <c r="AE34" s="66">
        <f t="shared" si="71"/>
        <v>0</v>
      </c>
      <c r="AF34" s="66">
        <f t="shared" si="71"/>
        <v>0</v>
      </c>
      <c r="AG34" s="66">
        <f t="shared" si="71"/>
        <v>0</v>
      </c>
      <c r="AH34" s="66">
        <f t="shared" si="71"/>
        <v>0</v>
      </c>
    </row>
    <row r="35" spans="1:34">
      <c r="A35" s="66" t="s">
        <v>70</v>
      </c>
      <c r="B35" s="66">
        <f t="shared" ref="B35:Q37" si="72">B14+B21+B28</f>
        <v>1500</v>
      </c>
      <c r="C35" s="66">
        <f t="shared" si="72"/>
        <v>1500</v>
      </c>
      <c r="D35" s="66">
        <f t="shared" si="72"/>
        <v>1500</v>
      </c>
      <c r="E35" s="66">
        <f t="shared" si="72"/>
        <v>1500</v>
      </c>
      <c r="F35" s="66">
        <f t="shared" si="72"/>
        <v>1500</v>
      </c>
      <c r="G35" s="66">
        <f t="shared" si="72"/>
        <v>1500</v>
      </c>
      <c r="H35" s="66">
        <f t="shared" si="72"/>
        <v>1500</v>
      </c>
      <c r="I35" s="66">
        <f t="shared" si="72"/>
        <v>1500</v>
      </c>
      <c r="J35" s="66">
        <f t="shared" si="72"/>
        <v>1200</v>
      </c>
      <c r="K35" s="66">
        <f t="shared" si="72"/>
        <v>1200</v>
      </c>
      <c r="L35" s="66">
        <f t="shared" si="72"/>
        <v>1200</v>
      </c>
      <c r="M35" s="66">
        <f t="shared" si="72"/>
        <v>1200</v>
      </c>
      <c r="N35" s="66">
        <f t="shared" si="72"/>
        <v>1189</v>
      </c>
      <c r="O35" s="66">
        <f t="shared" si="72"/>
        <v>1189</v>
      </c>
      <c r="P35" s="66">
        <f t="shared" si="72"/>
        <v>1189</v>
      </c>
      <c r="Q35" s="66">
        <f t="shared" si="72"/>
        <v>1189</v>
      </c>
      <c r="R35" s="66">
        <f t="shared" si="71"/>
        <v>1189</v>
      </c>
      <c r="S35" s="66">
        <f t="shared" si="71"/>
        <v>1189</v>
      </c>
      <c r="T35" s="66">
        <f t="shared" si="71"/>
        <v>1189</v>
      </c>
      <c r="U35" s="66">
        <f t="shared" si="71"/>
        <v>1189</v>
      </c>
      <c r="V35" s="66">
        <f t="shared" si="71"/>
        <v>1189</v>
      </c>
      <c r="W35" s="66">
        <f t="shared" si="71"/>
        <v>1189</v>
      </c>
      <c r="X35" s="66">
        <f t="shared" si="71"/>
        <v>1189</v>
      </c>
      <c r="Y35" s="66">
        <f t="shared" si="71"/>
        <v>1189</v>
      </c>
      <c r="Z35" s="66">
        <f t="shared" si="71"/>
        <v>1189</v>
      </c>
      <c r="AA35" s="66">
        <f t="shared" si="71"/>
        <v>1189</v>
      </c>
      <c r="AB35" s="66">
        <f t="shared" si="71"/>
        <v>1189</v>
      </c>
      <c r="AC35" s="66">
        <f t="shared" si="71"/>
        <v>900</v>
      </c>
      <c r="AD35" s="66">
        <f t="shared" si="71"/>
        <v>900</v>
      </c>
      <c r="AE35" s="66">
        <f t="shared" si="71"/>
        <v>900</v>
      </c>
      <c r="AF35" s="66">
        <f t="shared" si="71"/>
        <v>900</v>
      </c>
      <c r="AG35" s="66">
        <f t="shared" si="71"/>
        <v>900</v>
      </c>
      <c r="AH35" s="66">
        <f t="shared" si="71"/>
        <v>900</v>
      </c>
    </row>
    <row r="36" spans="1:34">
      <c r="A36" s="66" t="s">
        <v>64</v>
      </c>
      <c r="B36" s="66">
        <f t="shared" si="72"/>
        <v>0</v>
      </c>
      <c r="C36" s="66">
        <f t="shared" si="71"/>
        <v>0</v>
      </c>
      <c r="D36" s="66">
        <f t="shared" si="71"/>
        <v>0</v>
      </c>
      <c r="E36" s="66">
        <f t="shared" si="71"/>
        <v>0</v>
      </c>
      <c r="F36" s="66">
        <f t="shared" si="71"/>
        <v>0</v>
      </c>
      <c r="G36" s="66">
        <f t="shared" si="71"/>
        <v>0</v>
      </c>
      <c r="H36" s="66">
        <f t="shared" si="71"/>
        <v>0</v>
      </c>
      <c r="I36" s="66">
        <f t="shared" si="71"/>
        <v>0</v>
      </c>
      <c r="J36" s="66">
        <f t="shared" si="71"/>
        <v>-300</v>
      </c>
      <c r="K36" s="66">
        <f t="shared" si="71"/>
        <v>0</v>
      </c>
      <c r="L36" s="66">
        <f t="shared" si="71"/>
        <v>0</v>
      </c>
      <c r="M36" s="66">
        <f t="shared" si="71"/>
        <v>0</v>
      </c>
      <c r="N36" s="66">
        <f t="shared" si="71"/>
        <v>0</v>
      </c>
      <c r="O36" s="66">
        <f t="shared" si="71"/>
        <v>0</v>
      </c>
      <c r="P36" s="66">
        <f t="shared" si="71"/>
        <v>0</v>
      </c>
      <c r="Q36" s="66">
        <f t="shared" si="71"/>
        <v>0</v>
      </c>
      <c r="R36" s="66">
        <f t="shared" si="71"/>
        <v>0</v>
      </c>
      <c r="S36" s="66">
        <f t="shared" si="71"/>
        <v>0</v>
      </c>
      <c r="T36" s="66">
        <f t="shared" si="71"/>
        <v>0</v>
      </c>
      <c r="U36" s="66">
        <f t="shared" si="71"/>
        <v>0</v>
      </c>
      <c r="V36" s="66">
        <f t="shared" si="71"/>
        <v>0</v>
      </c>
      <c r="W36" s="66">
        <f t="shared" si="71"/>
        <v>0</v>
      </c>
      <c r="X36" s="66">
        <f t="shared" si="71"/>
        <v>0</v>
      </c>
      <c r="Y36" s="66">
        <f t="shared" si="71"/>
        <v>0</v>
      </c>
      <c r="Z36" s="66">
        <f t="shared" si="71"/>
        <v>0</v>
      </c>
      <c r="AA36" s="66">
        <f t="shared" si="71"/>
        <v>0</v>
      </c>
      <c r="AB36" s="66">
        <f t="shared" si="71"/>
        <v>-289</v>
      </c>
      <c r="AC36" s="66">
        <f t="shared" si="71"/>
        <v>0</v>
      </c>
      <c r="AD36" s="66">
        <f t="shared" si="71"/>
        <v>0</v>
      </c>
      <c r="AE36" s="66">
        <f t="shared" si="71"/>
        <v>0</v>
      </c>
      <c r="AF36" s="66">
        <f t="shared" si="71"/>
        <v>0</v>
      </c>
      <c r="AG36" s="66">
        <f t="shared" si="71"/>
        <v>0</v>
      </c>
      <c r="AH36" s="66">
        <f t="shared" si="71"/>
        <v>0</v>
      </c>
    </row>
    <row r="37" spans="1:34">
      <c r="A37" s="66" t="s">
        <v>7</v>
      </c>
      <c r="B37" s="73">
        <f t="shared" si="72"/>
        <v>-58.400999999999996</v>
      </c>
      <c r="C37" s="73">
        <f t="shared" si="71"/>
        <v>0</v>
      </c>
      <c r="D37" s="73">
        <f t="shared" si="71"/>
        <v>-58.400999999999996</v>
      </c>
      <c r="E37" s="73">
        <f t="shared" si="71"/>
        <v>0</v>
      </c>
      <c r="F37" s="73">
        <f t="shared" si="71"/>
        <v>-35.158500000000004</v>
      </c>
      <c r="G37" s="73">
        <f t="shared" si="71"/>
        <v>0</v>
      </c>
      <c r="H37" s="73">
        <f t="shared" si="71"/>
        <v>-35.158500000000004</v>
      </c>
      <c r="I37" s="73">
        <f t="shared" si="71"/>
        <v>0</v>
      </c>
      <c r="J37" s="73">
        <f t="shared" si="71"/>
        <v>-27.774750000000001</v>
      </c>
      <c r="K37" s="73">
        <f t="shared" si="71"/>
        <v>0</v>
      </c>
      <c r="L37" s="73">
        <f t="shared" si="71"/>
        <v>-27.774750000000001</v>
      </c>
      <c r="M37" s="73">
        <f t="shared" si="71"/>
        <v>0</v>
      </c>
      <c r="N37" s="73">
        <f t="shared" si="71"/>
        <v>-27.568555000000003</v>
      </c>
      <c r="O37" s="73">
        <f t="shared" si="71"/>
        <v>0</v>
      </c>
      <c r="P37" s="73">
        <f t="shared" si="71"/>
        <v>-27.568555000000003</v>
      </c>
      <c r="Q37" s="73">
        <f t="shared" si="71"/>
        <v>0</v>
      </c>
      <c r="R37" s="73">
        <f t="shared" si="71"/>
        <v>-27.568555000000003</v>
      </c>
      <c r="S37" s="73">
        <f t="shared" si="71"/>
        <v>0</v>
      </c>
      <c r="T37" s="73">
        <f t="shared" si="71"/>
        <v>-27.568555000000003</v>
      </c>
      <c r="U37" s="73">
        <f t="shared" si="71"/>
        <v>0</v>
      </c>
      <c r="V37" s="73">
        <f t="shared" si="71"/>
        <v>-27.568555000000003</v>
      </c>
      <c r="W37" s="73">
        <f t="shared" si="71"/>
        <v>0</v>
      </c>
      <c r="X37" s="73">
        <f t="shared" si="71"/>
        <v>-27.568555000000003</v>
      </c>
      <c r="Y37" s="73">
        <f t="shared" si="71"/>
        <v>0</v>
      </c>
      <c r="Z37" s="73">
        <f t="shared" si="71"/>
        <v>-27.568555000000003</v>
      </c>
      <c r="AA37" s="73">
        <f t="shared" si="71"/>
        <v>0</v>
      </c>
      <c r="AB37" s="73">
        <f t="shared" si="71"/>
        <v>-27.568555000000003</v>
      </c>
      <c r="AC37" s="73">
        <f t="shared" si="71"/>
        <v>0</v>
      </c>
      <c r="AD37" s="73">
        <f t="shared" si="71"/>
        <v>-22.151250000000001</v>
      </c>
      <c r="AE37" s="73">
        <f t="shared" si="71"/>
        <v>0</v>
      </c>
      <c r="AF37" s="73">
        <f t="shared" si="71"/>
        <v>-22.151250000000001</v>
      </c>
      <c r="AG37" s="73">
        <f t="shared" si="71"/>
        <v>0</v>
      </c>
      <c r="AH37" s="73">
        <f t="shared" si="71"/>
        <v>-22.151250000000001</v>
      </c>
    </row>
    <row r="38" spans="1:34" s="68" customFormat="1">
      <c r="A38" s="68" t="s">
        <v>65</v>
      </c>
      <c r="B38" s="74">
        <f>B36+B37</f>
        <v>-58.400999999999996</v>
      </c>
      <c r="C38" s="74">
        <f t="shared" ref="C38:AH38" si="73">C36+C37</f>
        <v>0</v>
      </c>
      <c r="D38" s="74">
        <f t="shared" si="73"/>
        <v>-58.400999999999996</v>
      </c>
      <c r="E38" s="74">
        <f t="shared" si="73"/>
        <v>0</v>
      </c>
      <c r="F38" s="74">
        <f t="shared" si="73"/>
        <v>-35.158500000000004</v>
      </c>
      <c r="G38" s="74">
        <f t="shared" si="73"/>
        <v>0</v>
      </c>
      <c r="H38" s="74">
        <f t="shared" si="73"/>
        <v>-35.158500000000004</v>
      </c>
      <c r="I38" s="74">
        <f t="shared" si="73"/>
        <v>0</v>
      </c>
      <c r="J38" s="74">
        <f t="shared" si="73"/>
        <v>-327.77474999999998</v>
      </c>
      <c r="K38" s="74">
        <f t="shared" si="73"/>
        <v>0</v>
      </c>
      <c r="L38" s="74">
        <f t="shared" si="73"/>
        <v>-27.774750000000001</v>
      </c>
      <c r="M38" s="74">
        <f t="shared" si="73"/>
        <v>0</v>
      </c>
      <c r="N38" s="74">
        <f t="shared" si="73"/>
        <v>-27.568555000000003</v>
      </c>
      <c r="O38" s="74">
        <f t="shared" si="73"/>
        <v>0</v>
      </c>
      <c r="P38" s="74">
        <f t="shared" si="73"/>
        <v>-27.568555000000003</v>
      </c>
      <c r="Q38" s="74">
        <f t="shared" si="73"/>
        <v>0</v>
      </c>
      <c r="R38" s="74">
        <f t="shared" si="73"/>
        <v>-27.568555000000003</v>
      </c>
      <c r="S38" s="74">
        <f t="shared" si="73"/>
        <v>0</v>
      </c>
      <c r="T38" s="74">
        <f t="shared" si="73"/>
        <v>-27.568555000000003</v>
      </c>
      <c r="U38" s="74">
        <f t="shared" si="73"/>
        <v>0</v>
      </c>
      <c r="V38" s="74">
        <f t="shared" si="73"/>
        <v>-27.568555000000003</v>
      </c>
      <c r="W38" s="74">
        <f t="shared" si="73"/>
        <v>0</v>
      </c>
      <c r="X38" s="74">
        <f t="shared" si="73"/>
        <v>-27.568555000000003</v>
      </c>
      <c r="Y38" s="74">
        <f t="shared" si="73"/>
        <v>0</v>
      </c>
      <c r="Z38" s="74">
        <f t="shared" si="73"/>
        <v>-27.568555000000003</v>
      </c>
      <c r="AA38" s="74">
        <f t="shared" si="73"/>
        <v>0</v>
      </c>
      <c r="AB38" s="74">
        <f t="shared" si="73"/>
        <v>-316.568555</v>
      </c>
      <c r="AC38" s="74">
        <f t="shared" si="73"/>
        <v>0</v>
      </c>
      <c r="AD38" s="74">
        <f t="shared" si="73"/>
        <v>-22.151250000000001</v>
      </c>
      <c r="AE38" s="74">
        <f t="shared" si="73"/>
        <v>0</v>
      </c>
      <c r="AF38" s="74">
        <f t="shared" si="73"/>
        <v>-22.151250000000001</v>
      </c>
      <c r="AG38" s="74">
        <f t="shared" si="73"/>
        <v>0</v>
      </c>
      <c r="AH38" s="74">
        <f t="shared" si="73"/>
        <v>-22.151250000000001</v>
      </c>
    </row>
  </sheetData>
  <hyperlinks>
    <hyperlink ref="A5" location="Main!A1" display="Main" xr:uid="{DAE9DDF5-A572-8144-85EA-7F8E19540B7A}"/>
    <hyperlink ref="A7" location="'Debt Schedule'!A1" display="Debt Schedule" xr:uid="{089E8BBD-F7A3-F14D-8735-6CD235BDB1F3}"/>
    <hyperlink ref="A6" location="Model!A1" display="Model" xr:uid="{2073E1A4-9D15-4847-A540-C42A15C561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Main</vt:lpstr>
      <vt:lpstr>Model</vt:lpstr>
      <vt:lpstr>Debt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2022-08-08T23:56:52Z</dcterms:created>
  <dcterms:modified xsi:type="dcterms:W3CDTF">2023-04-23T16:07:48Z</dcterms:modified>
</cp:coreProperties>
</file>