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770C3FA2-0333-BF43-80C0-3AFE1484AD98}" xr6:coauthVersionLast="47" xr6:coauthVersionMax="47" xr10:uidLastSave="{00000000-0000-0000-0000-000000000000}"/>
  <bookViews>
    <workbookView xWindow="400" yWindow="760" windowWidth="28940" windowHeight="17440" activeTab="3" xr2:uid="{D70B168D-5140-1546-9A8A-CC34256164CF}"/>
  </bookViews>
  <sheets>
    <sheet name="Cover" sheetId="1" r:id="rId1"/>
    <sheet name="Main" sheetId="5" r:id="rId2"/>
    <sheet name="Model" sheetId="2" r:id="rId3"/>
    <sheet name="Schedule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17" i="2" l="1"/>
  <c r="AE217" i="2"/>
  <c r="AF217" i="2"/>
  <c r="AG217" i="2"/>
  <c r="AH217" i="2"/>
  <c r="AC204" i="2"/>
  <c r="AC188" i="2"/>
  <c r="AC160" i="2"/>
  <c r="AC165" i="2"/>
  <c r="AC57" i="2"/>
  <c r="AW73" i="2"/>
  <c r="AV73" i="2"/>
  <c r="AU73" i="2"/>
  <c r="AT73" i="2"/>
  <c r="AR73" i="2"/>
  <c r="AQ73" i="2"/>
  <c r="AR72" i="2"/>
  <c r="AQ72" i="2"/>
  <c r="AW71" i="2"/>
  <c r="AV71" i="2"/>
  <c r="AU71" i="2"/>
  <c r="AT71" i="2"/>
  <c r="AS71" i="2"/>
  <c r="AR71" i="2"/>
  <c r="AQ71" i="2"/>
  <c r="AW70" i="2"/>
  <c r="AV70" i="2"/>
  <c r="AU70" i="2"/>
  <c r="AT70" i="2"/>
  <c r="AR70" i="2"/>
  <c r="AQ70" i="2"/>
  <c r="AW69" i="2"/>
  <c r="AV69" i="2"/>
  <c r="AU69" i="2"/>
  <c r="AT69" i="2"/>
  <c r="AS69" i="2"/>
  <c r="AR69" i="2"/>
  <c r="AQ69" i="2"/>
  <c r="AW68" i="2"/>
  <c r="AV68" i="2"/>
  <c r="AU68" i="2"/>
  <c r="AT68" i="2"/>
  <c r="AS68" i="2"/>
  <c r="AR68" i="2"/>
  <c r="AQ68" i="2"/>
  <c r="AW64" i="2"/>
  <c r="AV64" i="2"/>
  <c r="AU64" i="2"/>
  <c r="AT64" i="2"/>
  <c r="AS64" i="2"/>
  <c r="AR64" i="2"/>
  <c r="AT63" i="2"/>
  <c r="AT62" i="2"/>
  <c r="AT61" i="2"/>
  <c r="AC17" i="2"/>
  <c r="AF14" i="2"/>
  <c r="AR17" i="2"/>
  <c r="AS19" i="2"/>
  <c r="AS15" i="2"/>
  <c r="AR19" i="2"/>
  <c r="AR15" i="2"/>
  <c r="AQ19" i="2"/>
  <c r="AQ15" i="2"/>
  <c r="AR18" i="2"/>
  <c r="AQ18" i="2"/>
  <c r="AQ17" i="2"/>
  <c r="AR53" i="2"/>
  <c r="AQ53" i="2"/>
  <c r="AR50" i="2"/>
  <c r="AQ50" i="2"/>
  <c r="AT21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N67" i="2"/>
  <c r="AO67" i="2"/>
  <c r="L155" i="3"/>
  <c r="G163" i="3"/>
  <c r="H163" i="3"/>
  <c r="J163" i="3"/>
  <c r="K163" i="3"/>
  <c r="F163" i="3"/>
  <c r="S173" i="3"/>
  <c r="S174" i="3"/>
  <c r="AI72" i="2"/>
  <c r="T173" i="3"/>
  <c r="T174" i="3"/>
  <c r="AJ72" i="2"/>
  <c r="U173" i="3"/>
  <c r="U174" i="3"/>
  <c r="AK72" i="2"/>
  <c r="V173" i="3"/>
  <c r="V174" i="3"/>
  <c r="AL72" i="2"/>
  <c r="AW72" i="2"/>
  <c r="W173" i="3"/>
  <c r="W174" i="3"/>
  <c r="AM72" i="2"/>
  <c r="X173" i="3"/>
  <c r="X174" i="3"/>
  <c r="AN72" i="2"/>
  <c r="Y173" i="3"/>
  <c r="Y174" i="3"/>
  <c r="AO72" i="2"/>
  <c r="M171" i="3"/>
  <c r="N173" i="3"/>
  <c r="N174" i="3"/>
  <c r="O173" i="3"/>
  <c r="O174" i="3"/>
  <c r="P173" i="3"/>
  <c r="P174" i="3"/>
  <c r="Q173" i="3"/>
  <c r="Q174" i="3"/>
  <c r="R173" i="3"/>
  <c r="R174" i="3"/>
  <c r="M173" i="3"/>
  <c r="L49" i="3"/>
  <c r="E49" i="3"/>
  <c r="I49" i="3"/>
  <c r="H49" i="3"/>
  <c r="G49" i="3"/>
  <c r="F49" i="3"/>
  <c r="F48" i="3"/>
  <c r="F44" i="3"/>
  <c r="F45" i="3"/>
  <c r="E43" i="3"/>
  <c r="AB2" i="3"/>
  <c r="AC2" i="3"/>
  <c r="AD2" i="3"/>
  <c r="AE2" i="3"/>
  <c r="AF2" i="3"/>
  <c r="AG2" i="3"/>
  <c r="AH2" i="3"/>
  <c r="J49" i="3"/>
  <c r="K49" i="3"/>
  <c r="J45" i="3"/>
  <c r="J46" i="3"/>
  <c r="J48" i="3"/>
  <c r="I44" i="3"/>
  <c r="I43" i="3"/>
  <c r="G153" i="3"/>
  <c r="G156" i="3"/>
  <c r="H153" i="3"/>
  <c r="I153" i="3"/>
  <c r="J153" i="3"/>
  <c r="K153" i="3"/>
  <c r="L153" i="3"/>
  <c r="G155" i="3"/>
  <c r="H155" i="3"/>
  <c r="I155" i="3"/>
  <c r="J155" i="3"/>
  <c r="K155" i="3"/>
  <c r="M2" i="3"/>
  <c r="Q2" i="3"/>
  <c r="U2" i="3"/>
  <c r="Y2" i="3"/>
  <c r="L2" i="3"/>
  <c r="P2" i="3"/>
  <c r="T2" i="3"/>
  <c r="X2" i="3"/>
  <c r="K2" i="3"/>
  <c r="O2" i="3"/>
  <c r="S2" i="3"/>
  <c r="W2" i="3"/>
  <c r="J2" i="3"/>
  <c r="N2" i="3"/>
  <c r="R2" i="3"/>
  <c r="V2" i="3"/>
  <c r="AB74" i="2"/>
  <c r="AA74" i="2"/>
  <c r="W74" i="2"/>
  <c r="Z74" i="2"/>
  <c r="Y73" i="2"/>
  <c r="AS73" i="2"/>
  <c r="Y72" i="2"/>
  <c r="V41" i="2"/>
  <c r="S41" i="2"/>
  <c r="R41" i="2"/>
  <c r="C18" i="5"/>
  <c r="D18" i="5"/>
  <c r="D17" i="5"/>
  <c r="C17" i="5"/>
  <c r="F13" i="5"/>
  <c r="G13" i="5"/>
  <c r="F14" i="5"/>
  <c r="G14" i="5"/>
  <c r="F12" i="5"/>
  <c r="G12" i="5"/>
  <c r="D13" i="5"/>
  <c r="D14" i="5"/>
  <c r="D12" i="5"/>
  <c r="C13" i="5"/>
  <c r="C14" i="5"/>
  <c r="C12" i="5"/>
  <c r="O52" i="2"/>
  <c r="P52" i="2"/>
  <c r="R52" i="2"/>
  <c r="S52" i="2"/>
  <c r="T52" i="2"/>
  <c r="V52" i="2"/>
  <c r="W52" i="2"/>
  <c r="X52" i="2"/>
  <c r="Z52" i="2"/>
  <c r="AA52" i="2"/>
  <c r="AB52" i="2"/>
  <c r="N52" i="2"/>
  <c r="G167" i="3"/>
  <c r="H169" i="3"/>
  <c r="G174" i="3"/>
  <c r="H174" i="3"/>
  <c r="J174" i="3"/>
  <c r="K174" i="3"/>
  <c r="L174" i="3"/>
  <c r="F174" i="3"/>
  <c r="V70" i="2"/>
  <c r="I174" i="3"/>
  <c r="AS72" i="2"/>
  <c r="Y74" i="2"/>
  <c r="V74" i="2"/>
  <c r="H156" i="3"/>
  <c r="J156" i="3"/>
  <c r="J164" i="3"/>
  <c r="I156" i="3"/>
  <c r="G164" i="3"/>
  <c r="K156" i="3"/>
  <c r="K164" i="3"/>
  <c r="H164" i="3"/>
  <c r="F46" i="3"/>
  <c r="J44" i="3"/>
  <c r="J43" i="3"/>
  <c r="F43" i="3"/>
  <c r="G154" i="3"/>
  <c r="J154" i="3"/>
  <c r="I154" i="3"/>
  <c r="H154" i="3"/>
  <c r="K154" i="3"/>
  <c r="G171" i="3"/>
  <c r="F155" i="3"/>
  <c r="F153" i="3"/>
  <c r="F167" i="3"/>
  <c r="G169" i="3"/>
  <c r="G170" i="3"/>
  <c r="H167" i="3"/>
  <c r="I167" i="3"/>
  <c r="J167" i="3"/>
  <c r="K167" i="3"/>
  <c r="L167" i="3"/>
  <c r="M169" i="3"/>
  <c r="E167" i="3"/>
  <c r="F169" i="3"/>
  <c r="G147" i="3"/>
  <c r="H146" i="3"/>
  <c r="H147" i="3"/>
  <c r="I146" i="3"/>
  <c r="I147" i="3"/>
  <c r="J146" i="3"/>
  <c r="J147" i="3"/>
  <c r="J148" i="3"/>
  <c r="K147" i="3"/>
  <c r="L146" i="3"/>
  <c r="L147" i="3"/>
  <c r="L148" i="3"/>
  <c r="F147" i="3"/>
  <c r="F148" i="3"/>
  <c r="E147" i="3"/>
  <c r="E148" i="3"/>
  <c r="AH98" i="2"/>
  <c r="AI98" i="2"/>
  <c r="AJ98" i="2"/>
  <c r="AK98" i="2"/>
  <c r="AL98" i="2"/>
  <c r="AM98" i="2"/>
  <c r="AN98" i="2"/>
  <c r="AO98" i="2"/>
  <c r="S91" i="2"/>
  <c r="T91" i="2"/>
  <c r="V91" i="2"/>
  <c r="W91" i="2"/>
  <c r="X91" i="2"/>
  <c r="Z91" i="2"/>
  <c r="AA91" i="2"/>
  <c r="AB91" i="2"/>
  <c r="S92" i="2"/>
  <c r="T92" i="2"/>
  <c r="V92" i="2"/>
  <c r="W92" i="2"/>
  <c r="X92" i="2"/>
  <c r="Z92" i="2"/>
  <c r="AA92" i="2"/>
  <c r="AB92" i="2"/>
  <c r="R92" i="2"/>
  <c r="R91" i="2"/>
  <c r="V147" i="2"/>
  <c r="W147" i="2"/>
  <c r="X147" i="2"/>
  <c r="Z147" i="2"/>
  <c r="AA147" i="2"/>
  <c r="AB147" i="2"/>
  <c r="AD14" i="2"/>
  <c r="AH14" i="2"/>
  <c r="AL14" i="2"/>
  <c r="AE14" i="2"/>
  <c r="AI14" i="2"/>
  <c r="AM14" i="2"/>
  <c r="AJ14" i="2"/>
  <c r="AN14" i="2"/>
  <c r="AA15" i="2"/>
  <c r="AA13" i="2"/>
  <c r="AA17" i="2"/>
  <c r="V48" i="2"/>
  <c r="V50" i="2"/>
  <c r="O48" i="2"/>
  <c r="P48" i="2"/>
  <c r="R48" i="2"/>
  <c r="S48" i="2"/>
  <c r="T48" i="2"/>
  <c r="N48" i="2"/>
  <c r="O7" i="2"/>
  <c r="O37" i="2"/>
  <c r="P7" i="2"/>
  <c r="R7" i="2"/>
  <c r="S7" i="2"/>
  <c r="T7" i="2"/>
  <c r="V7" i="2"/>
  <c r="W7" i="2"/>
  <c r="X7" i="2"/>
  <c r="N7" i="2"/>
  <c r="W14" i="2"/>
  <c r="AA28" i="2"/>
  <c r="X14" i="2"/>
  <c r="AB28" i="2"/>
  <c r="Y14" i="2"/>
  <c r="V14" i="2"/>
  <c r="Z28" i="2"/>
  <c r="X27" i="2"/>
  <c r="Y27" i="2"/>
  <c r="W27" i="2"/>
  <c r="Z50" i="2"/>
  <c r="Z48" i="2"/>
  <c r="W17" i="2"/>
  <c r="X17" i="2"/>
  <c r="AB31" i="2"/>
  <c r="V17" i="2"/>
  <c r="AC4" i="2"/>
  <c r="AG4" i="2"/>
  <c r="AK4" i="2"/>
  <c r="AO4" i="2"/>
  <c r="Q80" i="2"/>
  <c r="Q81" i="2"/>
  <c r="Q76" i="2"/>
  <c r="AQ76" i="2"/>
  <c r="Q74" i="2"/>
  <c r="Q67" i="2"/>
  <c r="AQ67" i="2"/>
  <c r="Q64" i="2"/>
  <c r="AQ64" i="2"/>
  <c r="Q63" i="2"/>
  <c r="AQ63" i="2"/>
  <c r="Q62" i="2"/>
  <c r="AQ62" i="2"/>
  <c r="Q61" i="2"/>
  <c r="AQ61" i="2"/>
  <c r="Q58" i="2"/>
  <c r="AQ58" i="2"/>
  <c r="Y81" i="2"/>
  <c r="AC92" i="2"/>
  <c r="AC98" i="2"/>
  <c r="AD98" i="2"/>
  <c r="AE98" i="2"/>
  <c r="AF98" i="2"/>
  <c r="AG98" i="2"/>
  <c r="AD62" i="2"/>
  <c r="AD63" i="2"/>
  <c r="AD61" i="2"/>
  <c r="AD21" i="2"/>
  <c r="AD52" i="2"/>
  <c r="AE21" i="2"/>
  <c r="AE52" i="2"/>
  <c r="AF21" i="2"/>
  <c r="AF52" i="2"/>
  <c r="AD6" i="2"/>
  <c r="AE6" i="2"/>
  <c r="AI6" i="2"/>
  <c r="AF6" i="2"/>
  <c r="AJ6" i="2"/>
  <c r="AB41" i="2"/>
  <c r="T41" i="2"/>
  <c r="W41" i="2"/>
  <c r="X41" i="2"/>
  <c r="Z41" i="2"/>
  <c r="AA41" i="2"/>
  <c r="S42" i="2"/>
  <c r="T42" i="2"/>
  <c r="W42" i="2"/>
  <c r="X42" i="2"/>
  <c r="AA42" i="2"/>
  <c r="AB42" i="2"/>
  <c r="S43" i="2"/>
  <c r="T43" i="2"/>
  <c r="V43" i="2"/>
  <c r="W43" i="2"/>
  <c r="X43" i="2"/>
  <c r="Z43" i="2"/>
  <c r="AA43" i="2"/>
  <c r="AB43" i="2"/>
  <c r="S44" i="2"/>
  <c r="T44" i="2"/>
  <c r="W44" i="2"/>
  <c r="X44" i="2"/>
  <c r="AA44" i="2"/>
  <c r="AB44" i="2"/>
  <c r="R43" i="2"/>
  <c r="O23" i="2"/>
  <c r="P23" i="2"/>
  <c r="R23" i="2"/>
  <c r="S23" i="2"/>
  <c r="T23" i="2"/>
  <c r="V23" i="2"/>
  <c r="W23" i="2"/>
  <c r="X23" i="2"/>
  <c r="Z23" i="2"/>
  <c r="AA23" i="2"/>
  <c r="AB23" i="2"/>
  <c r="N23" i="2"/>
  <c r="V145" i="2"/>
  <c r="W145" i="2"/>
  <c r="X145" i="2"/>
  <c r="Z145" i="2"/>
  <c r="AA145" i="2"/>
  <c r="AB145" i="2"/>
  <c r="U121" i="2"/>
  <c r="Q21" i="2"/>
  <c r="M21" i="2"/>
  <c r="M6" i="2"/>
  <c r="Q6" i="2"/>
  <c r="K57" i="2"/>
  <c r="K59" i="2"/>
  <c r="K60" i="2"/>
  <c r="L57" i="2"/>
  <c r="L59" i="2"/>
  <c r="L60" i="2"/>
  <c r="J57" i="2"/>
  <c r="J59" i="2"/>
  <c r="J60" i="2"/>
  <c r="O57" i="2"/>
  <c r="O59" i="2"/>
  <c r="O60" i="2"/>
  <c r="P57" i="2"/>
  <c r="P59" i="2"/>
  <c r="N57" i="2"/>
  <c r="M65" i="2"/>
  <c r="L65" i="2"/>
  <c r="K65" i="2"/>
  <c r="J65" i="2"/>
  <c r="O65" i="2"/>
  <c r="P65" i="2"/>
  <c r="R65" i="2"/>
  <c r="N65" i="2"/>
  <c r="G4" i="2"/>
  <c r="K4" i="2"/>
  <c r="O4" i="2"/>
  <c r="H4" i="2"/>
  <c r="L4" i="2"/>
  <c r="P4" i="2"/>
  <c r="I4" i="2"/>
  <c r="M4" i="2"/>
  <c r="Q4" i="2"/>
  <c r="F4" i="2"/>
  <c r="J4" i="2"/>
  <c r="N4" i="2"/>
  <c r="AB65" i="2"/>
  <c r="AB144" i="2"/>
  <c r="Y76" i="2"/>
  <c r="AS76" i="2"/>
  <c r="U61" i="2"/>
  <c r="AR61" i="2"/>
  <c r="S65" i="2"/>
  <c r="T65" i="2"/>
  <c r="V65" i="2"/>
  <c r="V144" i="2"/>
  <c r="W65" i="2"/>
  <c r="W144" i="2"/>
  <c r="X65" i="2"/>
  <c r="X144" i="2"/>
  <c r="Z65" i="2"/>
  <c r="Z144" i="2"/>
  <c r="AA65" i="2"/>
  <c r="AA144" i="2"/>
  <c r="Z213" i="2"/>
  <c r="V213" i="2"/>
  <c r="Z212" i="2"/>
  <c r="V212" i="2"/>
  <c r="E140" i="3"/>
  <c r="I140" i="3"/>
  <c r="E132" i="3"/>
  <c r="E134" i="3"/>
  <c r="I132" i="3"/>
  <c r="I134" i="3"/>
  <c r="V143" i="2"/>
  <c r="W143" i="2"/>
  <c r="X143" i="2"/>
  <c r="Z143" i="2"/>
  <c r="AA143" i="2"/>
  <c r="AB143" i="2"/>
  <c r="AB200" i="2"/>
  <c r="AB198" i="2"/>
  <c r="Z192" i="2"/>
  <c r="AB161" i="2"/>
  <c r="AB57" i="2"/>
  <c r="AB142" i="2"/>
  <c r="AB67" i="2"/>
  <c r="AB121" i="2"/>
  <c r="AB127" i="2"/>
  <c r="AB104" i="2"/>
  <c r="AB113" i="2"/>
  <c r="AB99" i="2"/>
  <c r="AB98" i="2"/>
  <c r="N59" i="2"/>
  <c r="N60" i="2"/>
  <c r="L163" i="3"/>
  <c r="AT67" i="2"/>
  <c r="AQ48" i="2"/>
  <c r="Q52" i="2"/>
  <c r="AQ52" i="2"/>
  <c r="AQ21" i="2"/>
  <c r="T37" i="2"/>
  <c r="AE62" i="2"/>
  <c r="AF62" i="2"/>
  <c r="AG62" i="2"/>
  <c r="AH62" i="2"/>
  <c r="AE61" i="2"/>
  <c r="AF61" i="2"/>
  <c r="AG61" i="2"/>
  <c r="AH61" i="2"/>
  <c r="AU61" i="2"/>
  <c r="S37" i="2"/>
  <c r="F156" i="3"/>
  <c r="F164" i="3"/>
  <c r="M170" i="3"/>
  <c r="M172" i="3"/>
  <c r="X36" i="2"/>
  <c r="X37" i="2"/>
  <c r="V36" i="2"/>
  <c r="W36" i="2"/>
  <c r="W37" i="2"/>
  <c r="P37" i="2"/>
  <c r="S36" i="2"/>
  <c r="T36" i="2"/>
  <c r="R36" i="2"/>
  <c r="K169" i="3"/>
  <c r="K170" i="3"/>
  <c r="J171" i="3"/>
  <c r="H170" i="3"/>
  <c r="I169" i="3"/>
  <c r="I170" i="3"/>
  <c r="H171" i="3"/>
  <c r="H172" i="3"/>
  <c r="H173" i="3"/>
  <c r="J169" i="3"/>
  <c r="J170" i="3"/>
  <c r="I171" i="3"/>
  <c r="AD118" i="2"/>
  <c r="R42" i="2"/>
  <c r="AQ6" i="2"/>
  <c r="AQ13" i="2"/>
  <c r="L171" i="3"/>
  <c r="M174" i="3"/>
  <c r="AC72" i="2"/>
  <c r="AT72" i="2"/>
  <c r="G172" i="3"/>
  <c r="G173" i="3"/>
  <c r="K171" i="3"/>
  <c r="L169" i="3"/>
  <c r="L170" i="3"/>
  <c r="AH6" i="2"/>
  <c r="I148" i="3"/>
  <c r="K146" i="3"/>
  <c r="AJ21" i="2"/>
  <c r="AJ52" i="2"/>
  <c r="F154" i="3"/>
  <c r="AJ118" i="2"/>
  <c r="AJ42" i="2"/>
  <c r="AN6" i="2"/>
  <c r="AI118" i="2"/>
  <c r="AM6" i="2"/>
  <c r="F146" i="3"/>
  <c r="H148" i="3"/>
  <c r="AI21" i="2"/>
  <c r="AI52" i="2"/>
  <c r="G148" i="3"/>
  <c r="AH21" i="2"/>
  <c r="AH52" i="2"/>
  <c r="G146" i="3"/>
  <c r="F171" i="3"/>
  <c r="F172" i="3"/>
  <c r="F173" i="3"/>
  <c r="F170" i="3"/>
  <c r="K148" i="3"/>
  <c r="AB15" i="2"/>
  <c r="Z53" i="2"/>
  <c r="V53" i="2"/>
  <c r="Q48" i="2"/>
  <c r="W18" i="2"/>
  <c r="V18" i="2"/>
  <c r="X18" i="2"/>
  <c r="Q7" i="2"/>
  <c r="R37" i="2"/>
  <c r="AA26" i="2"/>
  <c r="W32" i="2"/>
  <c r="AB32" i="2"/>
  <c r="AA31" i="2"/>
  <c r="X32" i="2"/>
  <c r="Z49" i="2"/>
  <c r="V49" i="2"/>
  <c r="E142" i="3"/>
  <c r="I142" i="3"/>
  <c r="AF57" i="2"/>
  <c r="AE57" i="2"/>
  <c r="AB46" i="2"/>
  <c r="AE118" i="2"/>
  <c r="AE63" i="2"/>
  <c r="AD65" i="2"/>
  <c r="AD119" i="2"/>
  <c r="AC65" i="2"/>
  <c r="Q65" i="2"/>
  <c r="AF118" i="2"/>
  <c r="S46" i="2"/>
  <c r="W45" i="2"/>
  <c r="V45" i="2"/>
  <c r="T46" i="2"/>
  <c r="AE23" i="2"/>
  <c r="AE45" i="2"/>
  <c r="R45" i="2"/>
  <c r="S45" i="2"/>
  <c r="AF23" i="2"/>
  <c r="Q23" i="2"/>
  <c r="R46" i="2"/>
  <c r="X45" i="2"/>
  <c r="Z45" i="2"/>
  <c r="AD57" i="2"/>
  <c r="AD86" i="2"/>
  <c r="W46" i="2"/>
  <c r="AF42" i="2"/>
  <c r="X46" i="2"/>
  <c r="AB45" i="2"/>
  <c r="T45" i="2"/>
  <c r="AE42" i="2"/>
  <c r="AD23" i="2"/>
  <c r="AA46" i="2"/>
  <c r="AA45" i="2"/>
  <c r="R44" i="2"/>
  <c r="AE44" i="2"/>
  <c r="AF44" i="2"/>
  <c r="M57" i="2"/>
  <c r="M59" i="2"/>
  <c r="M60" i="2"/>
  <c r="N66" i="2"/>
  <c r="N75" i="2"/>
  <c r="N78" i="2"/>
  <c r="AB146" i="2"/>
  <c r="Q57" i="2"/>
  <c r="Q59" i="2"/>
  <c r="Q60" i="2"/>
  <c r="P60" i="2"/>
  <c r="P66" i="2"/>
  <c r="P75" i="2"/>
  <c r="P78" i="2"/>
  <c r="O66" i="2"/>
  <c r="O75" i="2"/>
  <c r="O78" i="2"/>
  <c r="AB59" i="2"/>
  <c r="AA196" i="2"/>
  <c r="AB196" i="2"/>
  <c r="AA195" i="2"/>
  <c r="AC195" i="2"/>
  <c r="AA189" i="2"/>
  <c r="AB189" i="2"/>
  <c r="AC189" i="2"/>
  <c r="AA187" i="2"/>
  <c r="AB187" i="2"/>
  <c r="AC187" i="2"/>
  <c r="AA186" i="2"/>
  <c r="AA185" i="2"/>
  <c r="AA184" i="2"/>
  <c r="K48" i="3"/>
  <c r="K44" i="3"/>
  <c r="AA167" i="2"/>
  <c r="AB167" i="2"/>
  <c r="AA179" i="2"/>
  <c r="AB179" i="2"/>
  <c r="AC179" i="2"/>
  <c r="AA178" i="2"/>
  <c r="AB178" i="2"/>
  <c r="AC178" i="2"/>
  <c r="AA177" i="2"/>
  <c r="AA50" i="2"/>
  <c r="AA176" i="2"/>
  <c r="AB176" i="2"/>
  <c r="AC176" i="2"/>
  <c r="AA175" i="2"/>
  <c r="AB175" i="2"/>
  <c r="AC175" i="2"/>
  <c r="AA174" i="2"/>
  <c r="AB174" i="2"/>
  <c r="AC174" i="2"/>
  <c r="AA173" i="2"/>
  <c r="AB173" i="2"/>
  <c r="AC173" i="2"/>
  <c r="AA170" i="2"/>
  <c r="AB170" i="2"/>
  <c r="AC170" i="2"/>
  <c r="AA168" i="2"/>
  <c r="AB168" i="2"/>
  <c r="AC168" i="2"/>
  <c r="AA163" i="2"/>
  <c r="AB163" i="2"/>
  <c r="AC163" i="2"/>
  <c r="AA158" i="2"/>
  <c r="AB158" i="2"/>
  <c r="AC158" i="2"/>
  <c r="AA157" i="2"/>
  <c r="AA156" i="2"/>
  <c r="AA155" i="2"/>
  <c r="AA121" i="2"/>
  <c r="AA127" i="2"/>
  <c r="AA104" i="2"/>
  <c r="AA113" i="2"/>
  <c r="AA99" i="2"/>
  <c r="AA98" i="2"/>
  <c r="AA57" i="2"/>
  <c r="Y188" i="2"/>
  <c r="X201" i="2"/>
  <c r="Y22" i="2"/>
  <c r="U22" i="2"/>
  <c r="Y6" i="2"/>
  <c r="V57" i="2"/>
  <c r="W57" i="2"/>
  <c r="X57" i="2"/>
  <c r="Y21" i="2"/>
  <c r="AS21" i="2"/>
  <c r="Y80" i="2"/>
  <c r="AC91" i="2"/>
  <c r="Y67" i="2"/>
  <c r="Y63" i="2"/>
  <c r="AS63" i="2"/>
  <c r="Y62" i="2"/>
  <c r="AS62" i="2"/>
  <c r="Y61" i="2"/>
  <c r="AS61" i="2"/>
  <c r="Y58" i="2"/>
  <c r="AS58" i="2"/>
  <c r="U130" i="2"/>
  <c r="U135" i="2"/>
  <c r="Y121" i="2"/>
  <c r="Y127" i="2"/>
  <c r="Y104" i="2"/>
  <c r="Y113" i="2"/>
  <c r="Y99" i="2"/>
  <c r="X104" i="2"/>
  <c r="X113" i="2"/>
  <c r="X98" i="2"/>
  <c r="Y98" i="2"/>
  <c r="R57" i="2"/>
  <c r="U21" i="2"/>
  <c r="U6" i="2"/>
  <c r="AR6" i="2"/>
  <c r="U81" i="2"/>
  <c r="U92" i="2"/>
  <c r="U80" i="2"/>
  <c r="U91" i="2"/>
  <c r="U76" i="2"/>
  <c r="AR76" i="2"/>
  <c r="U74" i="2"/>
  <c r="U67" i="2"/>
  <c r="AR67" i="2"/>
  <c r="U63" i="2"/>
  <c r="AR63" i="2"/>
  <c r="U62" i="2"/>
  <c r="AR62" i="2"/>
  <c r="U58" i="2"/>
  <c r="AR58" i="2"/>
  <c r="U127" i="2"/>
  <c r="V121" i="2"/>
  <c r="U99" i="2"/>
  <c r="U98" i="2"/>
  <c r="U104" i="2"/>
  <c r="U113" i="2"/>
  <c r="S57" i="2"/>
  <c r="Z57" i="2"/>
  <c r="AT57" i="2"/>
  <c r="T57" i="2"/>
  <c r="X166" i="2"/>
  <c r="X70" i="2"/>
  <c r="U52" i="2"/>
  <c r="AR52" i="2"/>
  <c r="AR21" i="2"/>
  <c r="AR43" i="2"/>
  <c r="AB202" i="2"/>
  <c r="AC196" i="2"/>
  <c r="AC202" i="2"/>
  <c r="AQ57" i="2"/>
  <c r="AF58" i="2"/>
  <c r="AF86" i="2"/>
  <c r="AQ23" i="2"/>
  <c r="AE101" i="2"/>
  <c r="AE86" i="2"/>
  <c r="I163" i="3"/>
  <c r="I164" i="3"/>
  <c r="AS67" i="2"/>
  <c r="X74" i="2"/>
  <c r="AS70" i="2"/>
  <c r="AR13" i="2"/>
  <c r="AR41" i="2"/>
  <c r="AS43" i="2"/>
  <c r="AT43" i="2"/>
  <c r="AU62" i="2"/>
  <c r="AI62" i="2"/>
  <c r="AJ62" i="2"/>
  <c r="AK62" i="2"/>
  <c r="AL62" i="2"/>
  <c r="AV62" i="2"/>
  <c r="AI61" i="2"/>
  <c r="AJ61" i="2"/>
  <c r="K43" i="3"/>
  <c r="AB156" i="2"/>
  <c r="K45" i="3"/>
  <c r="K46" i="3"/>
  <c r="AQ7" i="2"/>
  <c r="AQ14" i="2"/>
  <c r="Q37" i="2"/>
  <c r="K172" i="3"/>
  <c r="K173" i="3"/>
  <c r="AN21" i="2"/>
  <c r="AN52" i="2"/>
  <c r="AJ57" i="2"/>
  <c r="Y7" i="2"/>
  <c r="Y37" i="2"/>
  <c r="AS6" i="2"/>
  <c r="AL6" i="2"/>
  <c r="AM42" i="2"/>
  <c r="AI42" i="2"/>
  <c r="I172" i="3"/>
  <c r="I173" i="3"/>
  <c r="J172" i="3"/>
  <c r="J173" i="3"/>
  <c r="AC52" i="2"/>
  <c r="AT52" i="2"/>
  <c r="Y52" i="2"/>
  <c r="AS52" i="2"/>
  <c r="AH118" i="2"/>
  <c r="AI177" i="2"/>
  <c r="L172" i="3"/>
  <c r="L173" i="3"/>
  <c r="AJ23" i="2"/>
  <c r="AJ45" i="2"/>
  <c r="AM21" i="2"/>
  <c r="AI57" i="2"/>
  <c r="AI86" i="2"/>
  <c r="AI44" i="2"/>
  <c r="AI23" i="2"/>
  <c r="AN118" i="2"/>
  <c r="AN42" i="2"/>
  <c r="N84" i="2"/>
  <c r="N83" i="2"/>
  <c r="P84" i="2"/>
  <c r="P83" i="2"/>
  <c r="AH23" i="2"/>
  <c r="AL21" i="2"/>
  <c r="AL52" i="2"/>
  <c r="AH57" i="2"/>
  <c r="AH86" i="2"/>
  <c r="AJ177" i="2"/>
  <c r="O84" i="2"/>
  <c r="O83" i="2"/>
  <c r="AJ44" i="2"/>
  <c r="AM118" i="2"/>
  <c r="AK61" i="2"/>
  <c r="AV61" i="2"/>
  <c r="W146" i="2"/>
  <c r="W86" i="2"/>
  <c r="V146" i="2"/>
  <c r="V86" i="2"/>
  <c r="T59" i="2"/>
  <c r="S87" i="2"/>
  <c r="T86" i="2"/>
  <c r="Y91" i="2"/>
  <c r="Z146" i="2"/>
  <c r="Z86" i="2"/>
  <c r="S59" i="2"/>
  <c r="R87" i="2"/>
  <c r="S86" i="2"/>
  <c r="R59" i="2"/>
  <c r="R60" i="2"/>
  <c r="R86" i="2"/>
  <c r="X146" i="2"/>
  <c r="X86" i="2"/>
  <c r="AB86" i="2"/>
  <c r="AA146" i="2"/>
  <c r="AA86" i="2"/>
  <c r="Y92" i="2"/>
  <c r="AF117" i="2"/>
  <c r="AF102" i="2"/>
  <c r="Y145" i="2"/>
  <c r="Y147" i="2"/>
  <c r="U145" i="2"/>
  <c r="U147" i="2"/>
  <c r="U7" i="2"/>
  <c r="U48" i="2"/>
  <c r="AR48" i="2"/>
  <c r="AB13" i="2"/>
  <c r="AF59" i="2"/>
  <c r="AE87" i="2"/>
  <c r="AE142" i="2"/>
  <c r="AB177" i="2"/>
  <c r="AA48" i="2"/>
  <c r="Y17" i="2"/>
  <c r="AS17" i="2"/>
  <c r="AF101" i="2"/>
  <c r="AF142" i="2"/>
  <c r="AF177" i="2"/>
  <c r="AE58" i="2"/>
  <c r="AE177" i="2"/>
  <c r="AF45" i="2"/>
  <c r="AF46" i="2"/>
  <c r="AF63" i="2"/>
  <c r="AE65" i="2"/>
  <c r="AE119" i="2"/>
  <c r="AD58" i="2"/>
  <c r="AD101" i="2"/>
  <c r="AD142" i="2"/>
  <c r="AE46" i="2"/>
  <c r="Q66" i="2"/>
  <c r="Q75" i="2"/>
  <c r="Q78" i="2"/>
  <c r="U23" i="2"/>
  <c r="AR23" i="2"/>
  <c r="AR45" i="2"/>
  <c r="U43" i="2"/>
  <c r="U44" i="2"/>
  <c r="V44" i="2"/>
  <c r="Y23" i="2"/>
  <c r="AS23" i="2"/>
  <c r="AS45" i="2"/>
  <c r="Y44" i="2"/>
  <c r="Z44" i="2"/>
  <c r="Y43" i="2"/>
  <c r="AD45" i="2"/>
  <c r="U143" i="2"/>
  <c r="U41" i="2"/>
  <c r="V42" i="2"/>
  <c r="U42" i="2"/>
  <c r="Y143" i="2"/>
  <c r="AT6" i="2"/>
  <c r="Y41" i="2"/>
  <c r="Z7" i="2"/>
  <c r="AA7" i="2"/>
  <c r="Y42" i="2"/>
  <c r="Z42" i="2"/>
  <c r="Y65" i="2"/>
  <c r="Y144" i="2"/>
  <c r="U65" i="2"/>
  <c r="U144" i="2"/>
  <c r="AB60" i="2"/>
  <c r="AB66" i="2"/>
  <c r="V142" i="2"/>
  <c r="V59" i="2"/>
  <c r="U87" i="2"/>
  <c r="X142" i="2"/>
  <c r="X59" i="2"/>
  <c r="W142" i="2"/>
  <c r="W59" i="2"/>
  <c r="Z142" i="2"/>
  <c r="Z59" i="2"/>
  <c r="AA142" i="2"/>
  <c r="AA59" i="2"/>
  <c r="AB186" i="2"/>
  <c r="AC186" i="2"/>
  <c r="AA212" i="2"/>
  <c r="AB157" i="2"/>
  <c r="AA213" i="2"/>
  <c r="AA192" i="2"/>
  <c r="AB184" i="2"/>
  <c r="AA180" i="2"/>
  <c r="AA202" i="2"/>
  <c r="Y57" i="2"/>
  <c r="AC86" i="2"/>
  <c r="U137" i="2"/>
  <c r="U138" i="2"/>
  <c r="U57" i="2"/>
  <c r="U86" i="2"/>
  <c r="Y130" i="2"/>
  <c r="W130" i="2"/>
  <c r="W135" i="2"/>
  <c r="X130" i="2"/>
  <c r="X135" i="2"/>
  <c r="V130" i="2"/>
  <c r="V135" i="2"/>
  <c r="X121" i="2"/>
  <c r="X127" i="2"/>
  <c r="X99" i="2"/>
  <c r="W98" i="2"/>
  <c r="W199" i="2"/>
  <c r="W198" i="2"/>
  <c r="X198" i="2"/>
  <c r="W196" i="2"/>
  <c r="X196" i="2"/>
  <c r="Y196" i="2"/>
  <c r="W195" i="2"/>
  <c r="X195" i="2"/>
  <c r="W190" i="2"/>
  <c r="X190" i="2"/>
  <c r="W189" i="2"/>
  <c r="X189" i="2"/>
  <c r="Y189" i="2"/>
  <c r="W187" i="2"/>
  <c r="X187" i="2"/>
  <c r="Y187" i="2"/>
  <c r="W186" i="2"/>
  <c r="W185" i="2"/>
  <c r="X185" i="2"/>
  <c r="Y185" i="2"/>
  <c r="W184" i="2"/>
  <c r="W179" i="2"/>
  <c r="X179" i="2"/>
  <c r="Y179" i="2"/>
  <c r="W178" i="2"/>
  <c r="X178" i="2"/>
  <c r="Y178" i="2"/>
  <c r="W177" i="2"/>
  <c r="W50" i="2"/>
  <c r="W176" i="2"/>
  <c r="X176" i="2"/>
  <c r="Y176" i="2"/>
  <c r="W175" i="2"/>
  <c r="X175" i="2"/>
  <c r="Y175" i="2"/>
  <c r="W174" i="2"/>
  <c r="X174" i="2"/>
  <c r="Y174" i="2"/>
  <c r="W173" i="2"/>
  <c r="X173" i="2"/>
  <c r="Y173" i="2"/>
  <c r="W170" i="2"/>
  <c r="X170" i="2"/>
  <c r="Y170" i="2"/>
  <c r="W168" i="2"/>
  <c r="X168" i="2"/>
  <c r="Y168" i="2"/>
  <c r="W167" i="2"/>
  <c r="X167" i="2"/>
  <c r="Y167" i="2"/>
  <c r="W163" i="2"/>
  <c r="X163" i="2"/>
  <c r="Y163" i="2"/>
  <c r="W158" i="2"/>
  <c r="X158" i="2"/>
  <c r="Y158" i="2"/>
  <c r="W157" i="2"/>
  <c r="W156" i="2"/>
  <c r="W155" i="2"/>
  <c r="X155" i="2"/>
  <c r="Y155" i="2"/>
  <c r="W121" i="2"/>
  <c r="W127" i="2"/>
  <c r="W104" i="2"/>
  <c r="W113" i="2"/>
  <c r="W99" i="2"/>
  <c r="AB4" i="2"/>
  <c r="AF4" i="2"/>
  <c r="AJ4" i="2"/>
  <c r="AN4" i="2"/>
  <c r="AA4" i="2"/>
  <c r="AE4" i="2"/>
  <c r="AI4" i="2"/>
  <c r="AM4" i="2"/>
  <c r="Z4" i="2"/>
  <c r="AD4" i="2"/>
  <c r="AH4" i="2"/>
  <c r="AL4" i="2"/>
  <c r="Z104" i="2"/>
  <c r="Z113" i="2"/>
  <c r="V104" i="2"/>
  <c r="V113" i="2"/>
  <c r="Z98" i="2"/>
  <c r="V98" i="2"/>
  <c r="Z121" i="2"/>
  <c r="Z127" i="2"/>
  <c r="V127" i="2"/>
  <c r="V99" i="2"/>
  <c r="V202" i="2"/>
  <c r="V192" i="2"/>
  <c r="V180" i="2"/>
  <c r="I113" i="3"/>
  <c r="I115" i="3"/>
  <c r="I114" i="3"/>
  <c r="I112" i="3"/>
  <c r="I111" i="3"/>
  <c r="I92" i="3"/>
  <c r="I100" i="3"/>
  <c r="J112" i="3"/>
  <c r="J113" i="3"/>
  <c r="J114" i="3"/>
  <c r="J115" i="3"/>
  <c r="J111" i="3"/>
  <c r="J108" i="3"/>
  <c r="J100" i="3"/>
  <c r="J92" i="3"/>
  <c r="J75" i="3"/>
  <c r="J34" i="3"/>
  <c r="J30" i="3"/>
  <c r="J20" i="3"/>
  <c r="F20" i="3"/>
  <c r="J12" i="3"/>
  <c r="Z202" i="2"/>
  <c r="Z180" i="2"/>
  <c r="Z99" i="2"/>
  <c r="AS57" i="2"/>
  <c r="AS41" i="2"/>
  <c r="AS13" i="2"/>
  <c r="AB213" i="2"/>
  <c r="AC157" i="2"/>
  <c r="AE121" i="2"/>
  <c r="AF104" i="2"/>
  <c r="AJ142" i="2"/>
  <c r="AJ86" i="2"/>
  <c r="L48" i="3"/>
  <c r="L44" i="3"/>
  <c r="L43" i="3"/>
  <c r="AC184" i="2"/>
  <c r="AC212" i="2"/>
  <c r="AD104" i="2"/>
  <c r="L45" i="3"/>
  <c r="AC156" i="2"/>
  <c r="AB180" i="2"/>
  <c r="AC177" i="2"/>
  <c r="AC180" i="2"/>
  <c r="AR57" i="2"/>
  <c r="AM62" i="2"/>
  <c r="AN62" i="2"/>
  <c r="AO62" i="2"/>
  <c r="AT41" i="2"/>
  <c r="X184" i="2"/>
  <c r="H48" i="3"/>
  <c r="G48" i="3"/>
  <c r="G44" i="3"/>
  <c r="X156" i="2"/>
  <c r="G45" i="3"/>
  <c r="G46" i="3"/>
  <c r="L46" i="3"/>
  <c r="M45" i="3"/>
  <c r="AJ58" i="2"/>
  <c r="AJ102" i="2"/>
  <c r="Y18" i="2"/>
  <c r="U37" i="2"/>
  <c r="V37" i="2"/>
  <c r="AN57" i="2"/>
  <c r="Z36" i="2"/>
  <c r="Z37" i="2"/>
  <c r="AJ101" i="2"/>
  <c r="AN23" i="2"/>
  <c r="AN45" i="2"/>
  <c r="AS7" i="2"/>
  <c r="Y36" i="2"/>
  <c r="AR7" i="2"/>
  <c r="AR14" i="2"/>
  <c r="U36" i="2"/>
  <c r="AJ46" i="2"/>
  <c r="AL118" i="2"/>
  <c r="AM177" i="2"/>
  <c r="AN44" i="2"/>
  <c r="AM52" i="2"/>
  <c r="Z8" i="2"/>
  <c r="AA8" i="2"/>
  <c r="Z87" i="2"/>
  <c r="AI101" i="2"/>
  <c r="AI58" i="2"/>
  <c r="AI59" i="2"/>
  <c r="AH87" i="2"/>
  <c r="Q84" i="2"/>
  <c r="Q83" i="2"/>
  <c r="AI50" i="2"/>
  <c r="AI48" i="2"/>
  <c r="AI53" i="2"/>
  <c r="AM44" i="2"/>
  <c r="AM57" i="2"/>
  <c r="AM23" i="2"/>
  <c r="AI142" i="2"/>
  <c r="AH101" i="2"/>
  <c r="AH58" i="2"/>
  <c r="AH59" i="2"/>
  <c r="AH142" i="2"/>
  <c r="S60" i="2"/>
  <c r="AL57" i="2"/>
  <c r="AL86" i="2"/>
  <c r="AL23" i="2"/>
  <c r="AI46" i="2"/>
  <c r="AI45" i="2"/>
  <c r="AJ50" i="2"/>
  <c r="AJ48" i="2"/>
  <c r="AH45" i="2"/>
  <c r="AN177" i="2"/>
  <c r="AL61" i="2"/>
  <c r="R66" i="2"/>
  <c r="R75" i="2"/>
  <c r="V87" i="2"/>
  <c r="W87" i="2"/>
  <c r="S66" i="2"/>
  <c r="S75" i="2"/>
  <c r="AB75" i="2"/>
  <c r="AA87" i="2"/>
  <c r="Y146" i="2"/>
  <c r="Y86" i="2"/>
  <c r="T66" i="2"/>
  <c r="T60" i="2"/>
  <c r="AC32" i="2"/>
  <c r="AE59" i="2"/>
  <c r="AE102" i="2"/>
  <c r="AE104" i="2"/>
  <c r="AD117" i="2"/>
  <c r="AD121" i="2"/>
  <c r="AD102" i="2"/>
  <c r="AD15" i="2"/>
  <c r="AA49" i="2"/>
  <c r="AA53" i="2"/>
  <c r="Z18" i="2"/>
  <c r="AB26" i="2"/>
  <c r="AB27" i="2"/>
  <c r="Y32" i="2"/>
  <c r="AC27" i="2"/>
  <c r="AC26" i="2"/>
  <c r="AF48" i="2"/>
  <c r="AF50" i="2"/>
  <c r="AB48" i="2"/>
  <c r="AB53" i="2"/>
  <c r="AB50" i="2"/>
  <c r="AE48" i="2"/>
  <c r="AE53" i="2"/>
  <c r="AE50" i="2"/>
  <c r="J116" i="3"/>
  <c r="X177" i="2"/>
  <c r="X50" i="2"/>
  <c r="W48" i="2"/>
  <c r="AE117" i="2"/>
  <c r="AF176" i="2"/>
  <c r="AD177" i="2"/>
  <c r="AG63" i="2"/>
  <c r="AU63" i="2"/>
  <c r="AF65" i="2"/>
  <c r="AD59" i="2"/>
  <c r="AD44" i="2"/>
  <c r="AG21" i="2"/>
  <c r="AC23" i="2"/>
  <c r="AT23" i="2"/>
  <c r="AT45" i="2"/>
  <c r="AC44" i="2"/>
  <c r="Y45" i="2"/>
  <c r="Y46" i="2"/>
  <c r="Z46" i="2"/>
  <c r="AG6" i="2"/>
  <c r="AU6" i="2"/>
  <c r="AU41" i="2"/>
  <c r="AC42" i="2"/>
  <c r="AD42" i="2"/>
  <c r="U46" i="2"/>
  <c r="V46" i="2"/>
  <c r="U45" i="2"/>
  <c r="U142" i="2"/>
  <c r="U146" i="2"/>
  <c r="X60" i="2"/>
  <c r="X66" i="2"/>
  <c r="AB88" i="2"/>
  <c r="AA60" i="2"/>
  <c r="AA66" i="2"/>
  <c r="V60" i="2"/>
  <c r="V66" i="2"/>
  <c r="W60" i="2"/>
  <c r="W66" i="2"/>
  <c r="AB192" i="2"/>
  <c r="Z60" i="2"/>
  <c r="Z66" i="2"/>
  <c r="Y142" i="2"/>
  <c r="Y59" i="2"/>
  <c r="X87" i="2"/>
  <c r="U59" i="2"/>
  <c r="T87" i="2"/>
  <c r="X186" i="2"/>
  <c r="X192" i="2"/>
  <c r="W212" i="2"/>
  <c r="X157" i="2"/>
  <c r="W213" i="2"/>
  <c r="AB212" i="2"/>
  <c r="X202" i="2"/>
  <c r="Y195" i="2"/>
  <c r="Y202" i="2"/>
  <c r="Y184" i="2"/>
  <c r="I48" i="3"/>
  <c r="M48" i="3"/>
  <c r="M43" i="3"/>
  <c r="W202" i="2"/>
  <c r="W192" i="2"/>
  <c r="W180" i="2"/>
  <c r="X137" i="2"/>
  <c r="X138" i="2"/>
  <c r="W137" i="2"/>
  <c r="W138" i="2"/>
  <c r="V137" i="2"/>
  <c r="V138" i="2"/>
  <c r="I116" i="3"/>
  <c r="AC213" i="2"/>
  <c r="AD157" i="2"/>
  <c r="Z33" i="2"/>
  <c r="AS18" i="2"/>
  <c r="AS14" i="2"/>
  <c r="AN101" i="2"/>
  <c r="AN86" i="2"/>
  <c r="AE66" i="2"/>
  <c r="AE88" i="2"/>
  <c r="AD87" i="2"/>
  <c r="AJ117" i="2"/>
  <c r="AJ59" i="2"/>
  <c r="AI87" i="2"/>
  <c r="AM142" i="2"/>
  <c r="AM86" i="2"/>
  <c r="AJ104" i="2"/>
  <c r="AD66" i="2"/>
  <c r="AD88" i="2"/>
  <c r="AC87" i="2"/>
  <c r="AW62" i="2"/>
  <c r="AG52" i="2"/>
  <c r="AU52" i="2"/>
  <c r="AU21" i="2"/>
  <c r="AU43" i="2"/>
  <c r="AT58" i="2"/>
  <c r="M44" i="3"/>
  <c r="AC192" i="2"/>
  <c r="N48" i="3"/>
  <c r="N43" i="3"/>
  <c r="Y156" i="2"/>
  <c r="I45" i="3"/>
  <c r="H45" i="3"/>
  <c r="H44" i="3"/>
  <c r="H43" i="3"/>
  <c r="G43" i="3"/>
  <c r="H46" i="3"/>
  <c r="N45" i="3"/>
  <c r="AD156" i="2"/>
  <c r="M49" i="3"/>
  <c r="AN142" i="2"/>
  <c r="AN58" i="2"/>
  <c r="AN59" i="2"/>
  <c r="AM87" i="2"/>
  <c r="AA36" i="2"/>
  <c r="AA37" i="2"/>
  <c r="AB7" i="2"/>
  <c r="AC7" i="2"/>
  <c r="AC8" i="2"/>
  <c r="AC19" i="2"/>
  <c r="Z19" i="2"/>
  <c r="S88" i="2"/>
  <c r="R88" i="2"/>
  <c r="AM50" i="2"/>
  <c r="AM48" i="2"/>
  <c r="AG65" i="2"/>
  <c r="AG119" i="2"/>
  <c r="AH63" i="2"/>
  <c r="AH102" i="2"/>
  <c r="AH104" i="2"/>
  <c r="AH117" i="2"/>
  <c r="AI49" i="2"/>
  <c r="AK21" i="2"/>
  <c r="AH44" i="2"/>
  <c r="AN46" i="2"/>
  <c r="AM46" i="2"/>
  <c r="AM45" i="2"/>
  <c r="AJ49" i="2"/>
  <c r="AL45" i="2"/>
  <c r="AL58" i="2"/>
  <c r="AL101" i="2"/>
  <c r="AL142" i="2"/>
  <c r="AM58" i="2"/>
  <c r="AM101" i="2"/>
  <c r="AI102" i="2"/>
  <c r="AI104" i="2"/>
  <c r="AI117" i="2"/>
  <c r="AN50" i="2"/>
  <c r="AN48" i="2"/>
  <c r="AK6" i="2"/>
  <c r="AV6" i="2"/>
  <c r="AV41" i="2"/>
  <c r="AH42" i="2"/>
  <c r="AM61" i="2"/>
  <c r="V75" i="2"/>
  <c r="V88" i="2"/>
  <c r="W75" i="2"/>
  <c r="W88" i="2"/>
  <c r="AC31" i="2"/>
  <c r="AB78" i="2"/>
  <c r="T75" i="2"/>
  <c r="T88" i="2"/>
  <c r="Y87" i="2"/>
  <c r="AA75" i="2"/>
  <c r="AA88" i="2"/>
  <c r="Z75" i="2"/>
  <c r="Z88" i="2"/>
  <c r="X75" i="2"/>
  <c r="X88" i="2"/>
  <c r="S78" i="2"/>
  <c r="S89" i="2"/>
  <c r="R78" i="2"/>
  <c r="R89" i="2"/>
  <c r="X180" i="2"/>
  <c r="AA33" i="2"/>
  <c r="AD18" i="2"/>
  <c r="AE15" i="2"/>
  <c r="AD13" i="2"/>
  <c r="W49" i="2"/>
  <c r="W53" i="2"/>
  <c r="AF53" i="2"/>
  <c r="AA18" i="2"/>
  <c r="AA19" i="2"/>
  <c r="AE49" i="2"/>
  <c r="AB49" i="2"/>
  <c r="AF49" i="2"/>
  <c r="AD48" i="2"/>
  <c r="AD50" i="2"/>
  <c r="Y177" i="2"/>
  <c r="Y50" i="2"/>
  <c r="AS50" i="2"/>
  <c r="X48" i="2"/>
  <c r="AE176" i="2"/>
  <c r="AE173" i="2"/>
  <c r="AF173" i="2"/>
  <c r="AF119" i="2"/>
  <c r="AF121" i="2"/>
  <c r="AF66" i="2"/>
  <c r="AF88" i="2"/>
  <c r="AC121" i="2"/>
  <c r="AC127" i="2"/>
  <c r="AG42" i="2"/>
  <c r="AG118" i="2"/>
  <c r="AH177" i="2"/>
  <c r="AC142" i="2"/>
  <c r="AG44" i="2"/>
  <c r="AG23" i="2"/>
  <c r="AG57" i="2"/>
  <c r="AC45" i="2"/>
  <c r="AC46" i="2"/>
  <c r="AD46" i="2"/>
  <c r="Y60" i="2"/>
  <c r="Y66" i="2"/>
  <c r="U60" i="2"/>
  <c r="U66" i="2"/>
  <c r="Y157" i="2"/>
  <c r="Y213" i="2"/>
  <c r="X213" i="2"/>
  <c r="Y186" i="2"/>
  <c r="Y212" i="2"/>
  <c r="X212" i="2"/>
  <c r="N44" i="3"/>
  <c r="N49" i="3"/>
  <c r="AD107" i="2"/>
  <c r="AD113" i="2"/>
  <c r="AE157" i="2"/>
  <c r="AF157" i="2"/>
  <c r="AG157" i="2"/>
  <c r="AH157" i="2"/>
  <c r="AI157" i="2"/>
  <c r="AJ157" i="2"/>
  <c r="AK157" i="2"/>
  <c r="AL157" i="2"/>
  <c r="AM157" i="2"/>
  <c r="AN157" i="2"/>
  <c r="AO157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N102" i="2"/>
  <c r="AN104" i="2"/>
  <c r="AJ173" i="2"/>
  <c r="AN117" i="2"/>
  <c r="I46" i="3"/>
  <c r="AC104" i="2"/>
  <c r="AK52" i="2"/>
  <c r="AV52" i="2"/>
  <c r="AV21" i="2"/>
  <c r="AV43" i="2"/>
  <c r="AU57" i="2"/>
  <c r="AG86" i="2"/>
  <c r="AH46" i="2"/>
  <c r="AU23" i="2"/>
  <c r="AU45" i="2"/>
  <c r="AD53" i="2"/>
  <c r="AC113" i="2"/>
  <c r="O48" i="3"/>
  <c r="O43" i="3"/>
  <c r="AD184" i="2"/>
  <c r="AD192" i="2"/>
  <c r="O45" i="3"/>
  <c r="AB36" i="2"/>
  <c r="AB37" i="2"/>
  <c r="AB8" i="2"/>
  <c r="AB18" i="2"/>
  <c r="AF18" i="2"/>
  <c r="AA34" i="2"/>
  <c r="AN49" i="2"/>
  <c r="AJ176" i="2"/>
  <c r="AO6" i="2"/>
  <c r="AK118" i="2"/>
  <c r="AK42" i="2"/>
  <c r="AL42" i="2"/>
  <c r="AL59" i="2"/>
  <c r="AL117" i="2"/>
  <c r="AL102" i="2"/>
  <c r="AL104" i="2"/>
  <c r="S90" i="2"/>
  <c r="S84" i="2"/>
  <c r="S83" i="2"/>
  <c r="AB83" i="2"/>
  <c r="AB84" i="2"/>
  <c r="AK23" i="2"/>
  <c r="AV23" i="2"/>
  <c r="AK44" i="2"/>
  <c r="AK57" i="2"/>
  <c r="AO21" i="2"/>
  <c r="AJ53" i="2"/>
  <c r="AL44" i="2"/>
  <c r="R90" i="2"/>
  <c r="R84" i="2"/>
  <c r="R83" i="2"/>
  <c r="AM59" i="2"/>
  <c r="AL87" i="2"/>
  <c r="AM117" i="2"/>
  <c r="AM102" i="2"/>
  <c r="AM104" i="2"/>
  <c r="AM49" i="2"/>
  <c r="AM53" i="2"/>
  <c r="AD7" i="2"/>
  <c r="AH18" i="2"/>
  <c r="AI173" i="2"/>
  <c r="AI176" i="2"/>
  <c r="AI63" i="2"/>
  <c r="AH65" i="2"/>
  <c r="AH50" i="2"/>
  <c r="AH48" i="2"/>
  <c r="AN61" i="2"/>
  <c r="U75" i="2"/>
  <c r="U88" i="2"/>
  <c r="X78" i="2"/>
  <c r="X89" i="2"/>
  <c r="AB153" i="2"/>
  <c r="AB181" i="2"/>
  <c r="AB217" i="2"/>
  <c r="Y75" i="2"/>
  <c r="Y88" i="2"/>
  <c r="AA78" i="2"/>
  <c r="AA89" i="2"/>
  <c r="W78" i="2"/>
  <c r="W89" i="2"/>
  <c r="T78" i="2"/>
  <c r="T89" i="2"/>
  <c r="AB89" i="2"/>
  <c r="Z78" i="2"/>
  <c r="Z89" i="2"/>
  <c r="V78" i="2"/>
  <c r="V89" i="2"/>
  <c r="AB33" i="2"/>
  <c r="AE18" i="2"/>
  <c r="AD27" i="2"/>
  <c r="AD17" i="2"/>
  <c r="AF15" i="2"/>
  <c r="AE13" i="2"/>
  <c r="AE17" i="2"/>
  <c r="X49" i="2"/>
  <c r="X53" i="2"/>
  <c r="AD49" i="2"/>
  <c r="AC48" i="2"/>
  <c r="AC50" i="2"/>
  <c r="AT50" i="2"/>
  <c r="Y48" i="2"/>
  <c r="AS48" i="2"/>
  <c r="Y180" i="2"/>
  <c r="AC59" i="2"/>
  <c r="AG142" i="2"/>
  <c r="AG177" i="2"/>
  <c r="AG58" i="2"/>
  <c r="AU58" i="2"/>
  <c r="AG101" i="2"/>
  <c r="AD173" i="2"/>
  <c r="AD176" i="2"/>
  <c r="AG45" i="2"/>
  <c r="AG46" i="2"/>
  <c r="Y192" i="2"/>
  <c r="AG87" i="2"/>
  <c r="AC60" i="2"/>
  <c r="AO52" i="2"/>
  <c r="AW52" i="2"/>
  <c r="AW21" i="2"/>
  <c r="AW43" i="2"/>
  <c r="AV45" i="2"/>
  <c r="AW6" i="2"/>
  <c r="AW41" i="2"/>
  <c r="AO42" i="2"/>
  <c r="AV57" i="2"/>
  <c r="AK86" i="2"/>
  <c r="AC53" i="2"/>
  <c r="AT53" i="2"/>
  <c r="AT48" i="2"/>
  <c r="AH53" i="2"/>
  <c r="AD32" i="2"/>
  <c r="O44" i="3"/>
  <c r="O49" i="3"/>
  <c r="AE107" i="2"/>
  <c r="AE113" i="2"/>
  <c r="AE156" i="2"/>
  <c r="AE184" i="2"/>
  <c r="AE192" i="2"/>
  <c r="P48" i="3"/>
  <c r="P43" i="3"/>
  <c r="P45" i="3"/>
  <c r="AD36" i="2"/>
  <c r="AB19" i="2"/>
  <c r="AK58" i="2"/>
  <c r="AV58" i="2"/>
  <c r="AK101" i="2"/>
  <c r="W84" i="2"/>
  <c r="W83" i="2"/>
  <c r="AJ63" i="2"/>
  <c r="AI65" i="2"/>
  <c r="X84" i="2"/>
  <c r="X83" i="2"/>
  <c r="AN176" i="2"/>
  <c r="AM176" i="2"/>
  <c r="AM173" i="2"/>
  <c r="AA83" i="2"/>
  <c r="AA84" i="2"/>
  <c r="AK45" i="2"/>
  <c r="AK46" i="2"/>
  <c r="AL46" i="2"/>
  <c r="Z84" i="2"/>
  <c r="Z83" i="2"/>
  <c r="AL18" i="2"/>
  <c r="AL7" i="2"/>
  <c r="AH7" i="2"/>
  <c r="AN173" i="2"/>
  <c r="AH49" i="2"/>
  <c r="AK142" i="2"/>
  <c r="AK177" i="2"/>
  <c r="AL177" i="2"/>
  <c r="V83" i="2"/>
  <c r="V84" i="2"/>
  <c r="T90" i="2"/>
  <c r="T83" i="2"/>
  <c r="T84" i="2"/>
  <c r="AB90" i="2"/>
  <c r="AH119" i="2"/>
  <c r="AH121" i="2"/>
  <c r="AH66" i="2"/>
  <c r="AH88" i="2"/>
  <c r="AO57" i="2"/>
  <c r="AO44" i="2"/>
  <c r="AN53" i="2"/>
  <c r="AO23" i="2"/>
  <c r="AW23" i="2"/>
  <c r="AW45" i="2"/>
  <c r="AO118" i="2"/>
  <c r="AF7" i="2"/>
  <c r="AJ18" i="2"/>
  <c r="AE7" i="2"/>
  <c r="AI18" i="2"/>
  <c r="AO61" i="2"/>
  <c r="AW61" i="2"/>
  <c r="Y78" i="2"/>
  <c r="Y134" i="2"/>
  <c r="Y89" i="2"/>
  <c r="AB211" i="2"/>
  <c r="AB214" i="2"/>
  <c r="AB215" i="2"/>
  <c r="AB218" i="2"/>
  <c r="AB205" i="2"/>
  <c r="AC66" i="2"/>
  <c r="AC88" i="2"/>
  <c r="AB87" i="2"/>
  <c r="W90" i="2"/>
  <c r="W217" i="2"/>
  <c r="W153" i="2"/>
  <c r="W181" i="2"/>
  <c r="V90" i="2"/>
  <c r="V153" i="2"/>
  <c r="V181" i="2"/>
  <c r="V217" i="2"/>
  <c r="X90" i="2"/>
  <c r="X153" i="2"/>
  <c r="X181" i="2"/>
  <c r="X217" i="2"/>
  <c r="AA90" i="2"/>
  <c r="AA217" i="2"/>
  <c r="AA153" i="2"/>
  <c r="AA181" i="2"/>
  <c r="Z90" i="2"/>
  <c r="Z217" i="2"/>
  <c r="Z153" i="2"/>
  <c r="Z181" i="2"/>
  <c r="U78" i="2"/>
  <c r="U89" i="2"/>
  <c r="AE32" i="2"/>
  <c r="AE31" i="2"/>
  <c r="AG117" i="2"/>
  <c r="AG121" i="2"/>
  <c r="AG102" i="2"/>
  <c r="AG104" i="2"/>
  <c r="AE26" i="2"/>
  <c r="AE27" i="2"/>
  <c r="AG15" i="2"/>
  <c r="AF13" i="2"/>
  <c r="AF17" i="2"/>
  <c r="Y49" i="2"/>
  <c r="Y53" i="2"/>
  <c r="AS53" i="2"/>
  <c r="AC49" i="2"/>
  <c r="AG48" i="2"/>
  <c r="AG50" i="2"/>
  <c r="AU50" i="2"/>
  <c r="AG59" i="2"/>
  <c r="AT8" i="2"/>
  <c r="AT19" i="2"/>
  <c r="Z134" i="2"/>
  <c r="Y135" i="2"/>
  <c r="Y137" i="2"/>
  <c r="Y138" i="2"/>
  <c r="AG53" i="2"/>
  <c r="AU53" i="2"/>
  <c r="AU48" i="2"/>
  <c r="AG66" i="2"/>
  <c r="AG88" i="2"/>
  <c r="AF87" i="2"/>
  <c r="AK87" i="2"/>
  <c r="AW57" i="2"/>
  <c r="AO86" i="2"/>
  <c r="P44" i="3"/>
  <c r="P49" i="3"/>
  <c r="AF107" i="2"/>
  <c r="AF113" i="2"/>
  <c r="AF156" i="2"/>
  <c r="Q48" i="3"/>
  <c r="AF184" i="2"/>
  <c r="AF192" i="2"/>
  <c r="Q45" i="3"/>
  <c r="AF36" i="2"/>
  <c r="AF37" i="2"/>
  <c r="AE36" i="2"/>
  <c r="AE37" i="2"/>
  <c r="AH36" i="2"/>
  <c r="AL36" i="2"/>
  <c r="AD19" i="2"/>
  <c r="AB34" i="2"/>
  <c r="AO142" i="2"/>
  <c r="AO177" i="2"/>
  <c r="AI66" i="2"/>
  <c r="AI88" i="2"/>
  <c r="AI119" i="2"/>
  <c r="AI121" i="2"/>
  <c r="AO46" i="2"/>
  <c r="AO45" i="2"/>
  <c r="Y84" i="2"/>
  <c r="Y83" i="2"/>
  <c r="AO101" i="2"/>
  <c r="AO58" i="2"/>
  <c r="AL50" i="2"/>
  <c r="AL48" i="2"/>
  <c r="AK48" i="2"/>
  <c r="AK50" i="2"/>
  <c r="AK63" i="2"/>
  <c r="AV63" i="2"/>
  <c r="AJ65" i="2"/>
  <c r="AH15" i="2"/>
  <c r="U83" i="2"/>
  <c r="U84" i="2"/>
  <c r="AK59" i="2"/>
  <c r="AK117" i="2"/>
  <c r="AK102" i="2"/>
  <c r="AK104" i="2"/>
  <c r="AN18" i="2"/>
  <c r="AN7" i="2"/>
  <c r="AJ7" i="2"/>
  <c r="AM18" i="2"/>
  <c r="AM7" i="2"/>
  <c r="AM37" i="2"/>
  <c r="AI7" i="2"/>
  <c r="AI37" i="2"/>
  <c r="AG176" i="2"/>
  <c r="AH176" i="2"/>
  <c r="AH173" i="2"/>
  <c r="U153" i="2"/>
  <c r="U90" i="2"/>
  <c r="Z205" i="2"/>
  <c r="Z211" i="2"/>
  <c r="Z214" i="2"/>
  <c r="Z215" i="2"/>
  <c r="Z218" i="2"/>
  <c r="V211" i="2"/>
  <c r="V214" i="2"/>
  <c r="V215" i="2"/>
  <c r="V218" i="2"/>
  <c r="V205" i="2"/>
  <c r="V207" i="2"/>
  <c r="W206" i="2"/>
  <c r="AA211" i="2"/>
  <c r="AA214" i="2"/>
  <c r="AA215" i="2"/>
  <c r="AA218" i="2"/>
  <c r="AA205" i="2"/>
  <c r="X211" i="2"/>
  <c r="X214" i="2"/>
  <c r="X215" i="2"/>
  <c r="X218" i="2"/>
  <c r="X205" i="2"/>
  <c r="W211" i="2"/>
  <c r="W214" i="2"/>
  <c r="W215" i="2"/>
  <c r="W218" i="2"/>
  <c r="W205" i="2"/>
  <c r="Y90" i="2"/>
  <c r="Y153" i="2"/>
  <c r="Y181" i="2"/>
  <c r="Y211" i="2"/>
  <c r="Y214" i="2"/>
  <c r="Y215" i="2"/>
  <c r="Y218" i="2"/>
  <c r="Y217" i="2"/>
  <c r="AG173" i="2"/>
  <c r="AF31" i="2"/>
  <c r="AF32" i="2"/>
  <c r="AF27" i="2"/>
  <c r="AF26" i="2"/>
  <c r="AG49" i="2"/>
  <c r="Z13" i="2"/>
  <c r="AA27" i="2"/>
  <c r="AA134" i="2"/>
  <c r="Z135" i="2"/>
  <c r="Z137" i="2"/>
  <c r="Z138" i="2"/>
  <c r="AT15" i="2"/>
  <c r="AD8" i="2"/>
  <c r="AK49" i="2"/>
  <c r="AV50" i="2"/>
  <c r="AK53" i="2"/>
  <c r="AV53" i="2"/>
  <c r="AV48" i="2"/>
  <c r="AO59" i="2"/>
  <c r="AN87" i="2"/>
  <c r="AW58" i="2"/>
  <c r="AJ87" i="2"/>
  <c r="AO87" i="2"/>
  <c r="AL53" i="2"/>
  <c r="Q44" i="3"/>
  <c r="AG156" i="2"/>
  <c r="AN37" i="2"/>
  <c r="AG184" i="2"/>
  <c r="AG192" i="2"/>
  <c r="R48" i="3"/>
  <c r="Q43" i="3"/>
  <c r="AJ36" i="2"/>
  <c r="AJ37" i="2"/>
  <c r="AM36" i="2"/>
  <c r="AN36" i="2"/>
  <c r="W207" i="2"/>
  <c r="X206" i="2"/>
  <c r="X207" i="2"/>
  <c r="Y206" i="2"/>
  <c r="AE19" i="2"/>
  <c r="AF19" i="2"/>
  <c r="AI36" i="2"/>
  <c r="AK173" i="2"/>
  <c r="AK176" i="2"/>
  <c r="AL173" i="2"/>
  <c r="AL176" i="2"/>
  <c r="AI15" i="2"/>
  <c r="AH13" i="2"/>
  <c r="AL49" i="2"/>
  <c r="AJ66" i="2"/>
  <c r="AJ88" i="2"/>
  <c r="AJ119" i="2"/>
  <c r="AJ121" i="2"/>
  <c r="AO102" i="2"/>
  <c r="AO104" i="2"/>
  <c r="AO117" i="2"/>
  <c r="AO50" i="2"/>
  <c r="AW50" i="2"/>
  <c r="AO48" i="2"/>
  <c r="AO53" i="2"/>
  <c r="AL63" i="2"/>
  <c r="AK65" i="2"/>
  <c r="Y205" i="2"/>
  <c r="Z26" i="2"/>
  <c r="Z27" i="2"/>
  <c r="AD26" i="2"/>
  <c r="Z17" i="2"/>
  <c r="Z32" i="2"/>
  <c r="AT17" i="2"/>
  <c r="AT13" i="2"/>
  <c r="AB134" i="2"/>
  <c r="AA135" i="2"/>
  <c r="AA137" i="2"/>
  <c r="AA138" i="2"/>
  <c r="R43" i="3"/>
  <c r="S43" i="3"/>
  <c r="AW48" i="2"/>
  <c r="AW53" i="2"/>
  <c r="S48" i="3"/>
  <c r="AH184" i="2"/>
  <c r="AH192" i="2"/>
  <c r="R45" i="3"/>
  <c r="Q49" i="3"/>
  <c r="AG107" i="2"/>
  <c r="AG113" i="2"/>
  <c r="S45" i="3"/>
  <c r="AI156" i="2"/>
  <c r="AE8" i="2"/>
  <c r="AH17" i="2"/>
  <c r="AH26" i="2"/>
  <c r="AJ15" i="2"/>
  <c r="AI13" i="2"/>
  <c r="AM63" i="2"/>
  <c r="AL65" i="2"/>
  <c r="AO49" i="2"/>
  <c r="AO173" i="2"/>
  <c r="AO176" i="2"/>
  <c r="AK66" i="2"/>
  <c r="AK88" i="2"/>
  <c r="AK119" i="2"/>
  <c r="AK121" i="2"/>
  <c r="Y207" i="2"/>
  <c r="Z206" i="2"/>
  <c r="Z207" i="2"/>
  <c r="AA206" i="2"/>
  <c r="AA207" i="2"/>
  <c r="AB206" i="2"/>
  <c r="AB207" i="2"/>
  <c r="AC206" i="2"/>
  <c r="AG19" i="2"/>
  <c r="AU19" i="2"/>
  <c r="AF8" i="2"/>
  <c r="AA32" i="2"/>
  <c r="AD31" i="2"/>
  <c r="Z31" i="2"/>
  <c r="AB135" i="2"/>
  <c r="AB137" i="2"/>
  <c r="AB138" i="2"/>
  <c r="R44" i="3"/>
  <c r="R49" i="3"/>
  <c r="AH107" i="2"/>
  <c r="AH113" i="2"/>
  <c r="AH156" i="2"/>
  <c r="S44" i="3"/>
  <c r="S49" i="3"/>
  <c r="AI107" i="2"/>
  <c r="AI113" i="2"/>
  <c r="T48" i="3"/>
  <c r="AI184" i="2"/>
  <c r="AI192" i="2"/>
  <c r="T45" i="3"/>
  <c r="AL66" i="2"/>
  <c r="AL88" i="2"/>
  <c r="AL119" i="2"/>
  <c r="AL121" i="2"/>
  <c r="AG8" i="2"/>
  <c r="AU8" i="2"/>
  <c r="AU15" i="2"/>
  <c r="AH19" i="2"/>
  <c r="AN63" i="2"/>
  <c r="AM65" i="2"/>
  <c r="AI26" i="2"/>
  <c r="AI27" i="2"/>
  <c r="AI17" i="2"/>
  <c r="AK15" i="2"/>
  <c r="AJ13" i="2"/>
  <c r="AH31" i="2"/>
  <c r="T44" i="3"/>
  <c r="AJ156" i="2"/>
  <c r="AJ184" i="2"/>
  <c r="AJ192" i="2"/>
  <c r="U48" i="3"/>
  <c r="T43" i="3"/>
  <c r="U45" i="3"/>
  <c r="AI19" i="2"/>
  <c r="AH8" i="2"/>
  <c r="AM66" i="2"/>
  <c r="AM88" i="2"/>
  <c r="AM119" i="2"/>
  <c r="AM121" i="2"/>
  <c r="AO63" i="2"/>
  <c r="AO65" i="2"/>
  <c r="AN65" i="2"/>
  <c r="AJ27" i="2"/>
  <c r="AJ26" i="2"/>
  <c r="AJ17" i="2"/>
  <c r="AL15" i="2"/>
  <c r="AI31" i="2"/>
  <c r="AI32" i="2"/>
  <c r="AW63" i="2"/>
  <c r="U44" i="3"/>
  <c r="AK156" i="2"/>
  <c r="T49" i="3"/>
  <c r="AJ107" i="2"/>
  <c r="AJ113" i="2"/>
  <c r="U43" i="3"/>
  <c r="U49" i="3"/>
  <c r="AK107" i="2"/>
  <c r="AK113" i="2"/>
  <c r="V48" i="3"/>
  <c r="AK184" i="2"/>
  <c r="AK192" i="2"/>
  <c r="V43" i="3"/>
  <c r="AO66" i="2"/>
  <c r="AO119" i="2"/>
  <c r="AO121" i="2"/>
  <c r="AN66" i="2"/>
  <c r="AN119" i="2"/>
  <c r="AN121" i="2"/>
  <c r="AM15" i="2"/>
  <c r="AL13" i="2"/>
  <c r="AJ32" i="2"/>
  <c r="AJ31" i="2"/>
  <c r="AJ19" i="2"/>
  <c r="AI8" i="2"/>
  <c r="AN75" i="2"/>
  <c r="AN88" i="2"/>
  <c r="AO75" i="2"/>
  <c r="AO88" i="2"/>
  <c r="V45" i="3"/>
  <c r="AL184" i="2"/>
  <c r="AL192" i="2"/>
  <c r="W48" i="3"/>
  <c r="W43" i="3"/>
  <c r="AO76" i="2"/>
  <c r="AN76" i="2"/>
  <c r="AN78" i="2"/>
  <c r="AN153" i="2"/>
  <c r="W45" i="3"/>
  <c r="AK19" i="2"/>
  <c r="AV19" i="2"/>
  <c r="AJ8" i="2"/>
  <c r="AM13" i="2"/>
  <c r="AN15" i="2"/>
  <c r="AL26" i="2"/>
  <c r="AL17" i="2"/>
  <c r="AO78" i="2"/>
  <c r="AO153" i="2"/>
  <c r="AM156" i="2"/>
  <c r="V44" i="3"/>
  <c r="V49" i="3"/>
  <c r="AL107" i="2"/>
  <c r="AL113" i="2"/>
  <c r="AL156" i="2"/>
  <c r="X48" i="3"/>
  <c r="X43" i="3"/>
  <c r="AM184" i="2"/>
  <c r="AM192" i="2"/>
  <c r="X45" i="3"/>
  <c r="AN13" i="2"/>
  <c r="AO15" i="2"/>
  <c r="AM17" i="2"/>
  <c r="AM26" i="2"/>
  <c r="AM27" i="2"/>
  <c r="AL31" i="2"/>
  <c r="AL19" i="2"/>
  <c r="AK8" i="2"/>
  <c r="AV8" i="2"/>
  <c r="AV15" i="2"/>
  <c r="W44" i="3"/>
  <c r="W49" i="3"/>
  <c r="AM107" i="2"/>
  <c r="AM113" i="2"/>
  <c r="X44" i="3"/>
  <c r="AN156" i="2"/>
  <c r="AN181" i="2"/>
  <c r="Y48" i="3"/>
  <c r="AO184" i="2"/>
  <c r="AO192" i="2"/>
  <c r="AN184" i="2"/>
  <c r="AN192" i="2"/>
  <c r="X49" i="3"/>
  <c r="AN107" i="2"/>
  <c r="AN113" i="2"/>
  <c r="Y45" i="3"/>
  <c r="AM32" i="2"/>
  <c r="AM31" i="2"/>
  <c r="AM19" i="2"/>
  <c r="AL8" i="2"/>
  <c r="AN17" i="2"/>
  <c r="AN26" i="2"/>
  <c r="AN27" i="2"/>
  <c r="AN205" i="2"/>
  <c r="Y43" i="3"/>
  <c r="Y44" i="3"/>
  <c r="AO156" i="2"/>
  <c r="AO181" i="2"/>
  <c r="AO205" i="2"/>
  <c r="AN32" i="2"/>
  <c r="AN31" i="2"/>
  <c r="AN19" i="2"/>
  <c r="AM8" i="2"/>
  <c r="Y49" i="3"/>
  <c r="AO107" i="2"/>
  <c r="AO113" i="2"/>
  <c r="AO19" i="2"/>
  <c r="AO8" i="2"/>
  <c r="AN8" i="2"/>
  <c r="AG72" i="2"/>
  <c r="AH72" i="2"/>
  <c r="AV72" i="2"/>
  <c r="AD72" i="2"/>
  <c r="AE72" i="2"/>
  <c r="AF72" i="2"/>
  <c r="L156" i="3"/>
  <c r="L164" i="3"/>
  <c r="M164" i="3"/>
  <c r="L154" i="3"/>
  <c r="M153" i="3"/>
  <c r="AU72" i="2"/>
  <c r="AW19" i="2"/>
  <c r="M155" i="3"/>
  <c r="N153" i="3"/>
  <c r="AW8" i="2"/>
  <c r="N164" i="3"/>
  <c r="AW15" i="2"/>
  <c r="O164" i="3"/>
  <c r="N155" i="3"/>
  <c r="O153" i="3"/>
  <c r="M156" i="3"/>
  <c r="M163" i="3"/>
  <c r="AC75" i="2"/>
  <c r="AC89" i="2"/>
  <c r="O155" i="3"/>
  <c r="P153" i="3"/>
  <c r="N156" i="3"/>
  <c r="N163" i="3"/>
  <c r="AD67" i="2"/>
  <c r="P164" i="3"/>
  <c r="AD75" i="2"/>
  <c r="AC78" i="2"/>
  <c r="AT76" i="2"/>
  <c r="AD76" i="2"/>
  <c r="AD78" i="2"/>
  <c r="AD89" i="2"/>
  <c r="O156" i="3"/>
  <c r="O163" i="3"/>
  <c r="AE67" i="2"/>
  <c r="AE75" i="2"/>
  <c r="Q164" i="3"/>
  <c r="P155" i="3"/>
  <c r="Q153" i="3"/>
  <c r="AC153" i="2"/>
  <c r="AC181" i="2"/>
  <c r="AC211" i="2"/>
  <c r="AC214" i="2"/>
  <c r="AC215" i="2"/>
  <c r="AC218" i="2"/>
  <c r="AC83" i="2"/>
  <c r="AC84" i="2"/>
  <c r="AC217" i="2"/>
  <c r="AC134" i="2"/>
  <c r="AC135" i="2"/>
  <c r="AC137" i="2"/>
  <c r="AC138" i="2"/>
  <c r="AC205" i="2"/>
  <c r="AC207" i="2"/>
  <c r="AD206" i="2"/>
  <c r="AC90" i="2"/>
  <c r="AD134" i="2"/>
  <c r="AE76" i="2"/>
  <c r="AE78" i="2"/>
  <c r="AE89" i="2"/>
  <c r="P156" i="3"/>
  <c r="P163" i="3"/>
  <c r="AF67" i="2"/>
  <c r="AF75" i="2"/>
  <c r="AD90" i="2"/>
  <c r="AD153" i="2"/>
  <c r="AD181" i="2"/>
  <c r="AD205" i="2"/>
  <c r="Q155" i="3"/>
  <c r="R153" i="3"/>
  <c r="R164" i="3"/>
  <c r="AD207" i="2"/>
  <c r="AE206" i="2"/>
  <c r="AF76" i="2"/>
  <c r="AF78" i="2"/>
  <c r="AF89" i="2"/>
  <c r="AE153" i="2"/>
  <c r="AE181" i="2"/>
  <c r="AE205" i="2"/>
  <c r="AE207" i="2"/>
  <c r="AF206" i="2"/>
  <c r="AE90" i="2"/>
  <c r="Q156" i="3"/>
  <c r="Q163" i="3"/>
  <c r="AG67" i="2"/>
  <c r="AG75" i="2"/>
  <c r="AE134" i="2"/>
  <c r="AD135" i="2"/>
  <c r="AD137" i="2"/>
  <c r="AD138" i="2"/>
  <c r="S164" i="3"/>
  <c r="R155" i="3"/>
  <c r="S153" i="3"/>
  <c r="R156" i="3"/>
  <c r="R163" i="3"/>
  <c r="AH67" i="2"/>
  <c r="AH75" i="2"/>
  <c r="AU67" i="2"/>
  <c r="AG76" i="2"/>
  <c r="AG89" i="2"/>
  <c r="AF134" i="2"/>
  <c r="AE135" i="2"/>
  <c r="AE137" i="2"/>
  <c r="AE138" i="2"/>
  <c r="AH76" i="2"/>
  <c r="AH78" i="2"/>
  <c r="AH89" i="2"/>
  <c r="AF90" i="2"/>
  <c r="AF153" i="2"/>
  <c r="AF181" i="2"/>
  <c r="AF205" i="2"/>
  <c r="AF207" i="2"/>
  <c r="AG206" i="2"/>
  <c r="S155" i="3"/>
  <c r="T153" i="3"/>
  <c r="S156" i="3"/>
  <c r="S163" i="3"/>
  <c r="AI67" i="2"/>
  <c r="AI75" i="2"/>
  <c r="T164" i="3"/>
  <c r="AG78" i="2"/>
  <c r="AG90" i="2"/>
  <c r="AU76" i="2"/>
  <c r="AH153" i="2"/>
  <c r="AH181" i="2"/>
  <c r="AH205" i="2"/>
  <c r="AH90" i="2"/>
  <c r="AI76" i="2"/>
  <c r="AI78" i="2"/>
  <c r="AI89" i="2"/>
  <c r="AG134" i="2"/>
  <c r="AF135" i="2"/>
  <c r="AF137" i="2"/>
  <c r="AF138" i="2"/>
  <c r="AG153" i="2"/>
  <c r="AG181" i="2"/>
  <c r="AG205" i="2"/>
  <c r="AG207" i="2"/>
  <c r="AH206" i="2"/>
  <c r="U164" i="3"/>
  <c r="T155" i="3"/>
  <c r="U153" i="3"/>
  <c r="AH207" i="2"/>
  <c r="AI206" i="2"/>
  <c r="AI90" i="2"/>
  <c r="AI153" i="2"/>
  <c r="AI181" i="2"/>
  <c r="AI205" i="2"/>
  <c r="AH134" i="2"/>
  <c r="AG135" i="2"/>
  <c r="AG137" i="2"/>
  <c r="AG138" i="2"/>
  <c r="U155" i="3"/>
  <c r="V153" i="3"/>
  <c r="U156" i="3"/>
  <c r="U163" i="3"/>
  <c r="AK67" i="2"/>
  <c r="AK75" i="2"/>
  <c r="V164" i="3"/>
  <c r="T156" i="3"/>
  <c r="T163" i="3"/>
  <c r="AJ67" i="2"/>
  <c r="AJ75" i="2"/>
  <c r="AV67" i="2"/>
  <c r="AI207" i="2"/>
  <c r="AJ206" i="2"/>
  <c r="AK76" i="2"/>
  <c r="AO89" i="2"/>
  <c r="AK89" i="2"/>
  <c r="AI134" i="2"/>
  <c r="AH135" i="2"/>
  <c r="AH137" i="2"/>
  <c r="AH138" i="2"/>
  <c r="AJ76" i="2"/>
  <c r="AJ78" i="2"/>
  <c r="AJ89" i="2"/>
  <c r="AN89" i="2"/>
  <c r="W164" i="3"/>
  <c r="V155" i="3"/>
  <c r="W153" i="3"/>
  <c r="V156" i="3"/>
  <c r="V163" i="3"/>
  <c r="AL67" i="2"/>
  <c r="AL75" i="2"/>
  <c r="AK78" i="2"/>
  <c r="AV76" i="2"/>
  <c r="AJ134" i="2"/>
  <c r="AI135" i="2"/>
  <c r="AI137" i="2"/>
  <c r="AI138" i="2"/>
  <c r="AJ90" i="2"/>
  <c r="AN90" i="2"/>
  <c r="AJ153" i="2"/>
  <c r="AJ181" i="2"/>
  <c r="AJ205" i="2"/>
  <c r="AJ207" i="2"/>
  <c r="AK206" i="2"/>
  <c r="AL76" i="2"/>
  <c r="AL89" i="2"/>
  <c r="AK153" i="2"/>
  <c r="AK181" i="2"/>
  <c r="AK205" i="2"/>
  <c r="AO90" i="2"/>
  <c r="AK90" i="2"/>
  <c r="W155" i="3"/>
  <c r="W156" i="3"/>
  <c r="W163" i="3"/>
  <c r="AM67" i="2"/>
  <c r="AM75" i="2"/>
  <c r="AW67" i="2"/>
  <c r="AL78" i="2"/>
  <c r="AK207" i="2"/>
  <c r="AL206" i="2"/>
  <c r="AL90" i="2"/>
  <c r="AL153" i="2"/>
  <c r="AL181" i="2"/>
  <c r="AL205" i="2"/>
  <c r="AM76" i="2"/>
  <c r="AM78" i="2"/>
  <c r="AM89" i="2"/>
  <c r="AK134" i="2"/>
  <c r="AJ135" i="2"/>
  <c r="AJ137" i="2"/>
  <c r="AJ138" i="2"/>
  <c r="AW76" i="2"/>
  <c r="AL207" i="2"/>
  <c r="AM206" i="2"/>
  <c r="AL134" i="2"/>
  <c r="AK135" i="2"/>
  <c r="AK137" i="2"/>
  <c r="AK138" i="2"/>
  <c r="AM90" i="2"/>
  <c r="AM153" i="2"/>
  <c r="AM181" i="2"/>
  <c r="AM205" i="2"/>
  <c r="AM207" i="2"/>
  <c r="AN206" i="2"/>
  <c r="AN207" i="2"/>
  <c r="AO206" i="2"/>
  <c r="AO207" i="2"/>
  <c r="AM134" i="2"/>
  <c r="AL135" i="2"/>
  <c r="AL137" i="2"/>
  <c r="AL138" i="2"/>
  <c r="AN134" i="2"/>
  <c r="AM135" i="2"/>
  <c r="AM137" i="2"/>
  <c r="AM138" i="2"/>
  <c r="AO134" i="2"/>
  <c r="AO135" i="2"/>
  <c r="AO137" i="2"/>
  <c r="AO138" i="2"/>
  <c r="AN135" i="2"/>
  <c r="AN137" i="2"/>
  <c r="AN138" i="2"/>
  <c r="AD37" i="2"/>
  <c r="AT7" i="2"/>
  <c r="AC37" i="2"/>
  <c r="AC36" i="2"/>
  <c r="AC18" i="2"/>
  <c r="AG18" i="2"/>
  <c r="AT18" i="2"/>
  <c r="AT14" i="2"/>
  <c r="AC14" i="2"/>
  <c r="AG14" i="2"/>
  <c r="AG13" i="2"/>
  <c r="AH27" i="2"/>
  <c r="AG17" i="2"/>
  <c r="AG31" i="2"/>
  <c r="AU17" i="2"/>
  <c r="AU13" i="2"/>
  <c r="AH32" i="2"/>
  <c r="AG27" i="2"/>
  <c r="AK18" i="2"/>
  <c r="AU18" i="2"/>
  <c r="AG7" i="2"/>
  <c r="AG26" i="2"/>
  <c r="AG32" i="2"/>
  <c r="AK14" i="2"/>
  <c r="AK7" i="2"/>
  <c r="AK13" i="2"/>
  <c r="AO14" i="2"/>
  <c r="AO18" i="2"/>
  <c r="AW18" i="2"/>
  <c r="AV18" i="2"/>
  <c r="AU7" i="2"/>
  <c r="AU14" i="2"/>
  <c r="AG37" i="2"/>
  <c r="AH37" i="2"/>
  <c r="AG36" i="2"/>
  <c r="AO7" i="2"/>
  <c r="AO13" i="2"/>
  <c r="AK26" i="2"/>
  <c r="AK17" i="2"/>
  <c r="AL27" i="2"/>
  <c r="AK27" i="2"/>
  <c r="AL37" i="2"/>
  <c r="AV7" i="2"/>
  <c r="AV14" i="2"/>
  <c r="AK36" i="2"/>
  <c r="AK37" i="2"/>
  <c r="AL32" i="2"/>
  <c r="AK31" i="2"/>
  <c r="AK32" i="2"/>
  <c r="AV17" i="2"/>
  <c r="AV13" i="2"/>
  <c r="AO27" i="2"/>
  <c r="AO17" i="2"/>
  <c r="AO26" i="2"/>
  <c r="AO36" i="2"/>
  <c r="AO37" i="2"/>
  <c r="AW7" i="2"/>
  <c r="AW14" i="2"/>
  <c r="AO32" i="2"/>
  <c r="AO31" i="2"/>
  <c r="AW17" i="2"/>
  <c r="AW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tc={48E9A1F5-ED3E-E248-BE5E-A9462DA25B3C}</author>
    <author>tc={6FF33EC1-1CA7-044A-B336-CDE7FABEC921}</author>
    <author>tc={4C9BE920-53B1-BF42-B036-9FB53294FFC2}</author>
    <author>tc={73928AF2-9EDF-594F-8717-D9949EE1FBD4}</author>
    <author>tc={273D4219-46B3-9842-8E88-2EB5026403EF}</author>
    <author>tc={B4930009-0B00-1747-8AF0-56858635AEA9}</author>
    <author>tc={8DDE5B5B-05EB-7047-8D86-97CC3C299FDC}</author>
    <author>tc={7EA1AD52-7DB7-474F-8EFE-78F05231E05B}</author>
    <author>tc={E9BE3CEE-F1F8-584E-B425-742D5DF09843}</author>
    <author>tc={6D8DF308-257D-9548-886C-E957A88FD933}</author>
    <author>tc={BC357B61-9DFE-F144-A6BC-403D96FAA50F}</author>
  </authors>
  <commentList>
    <comment ref="AC6" authorId="0" shapeId="0" xr:uid="{48E9A1F5-ED3E-E248-BE5E-A9462DA2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FY22 Service Guidance of $730-733m -&gt; $196m 4Q22 Target</t>
      </text>
    </comment>
    <comment ref="Z7" authorId="1" shapeId="0" xr:uid="{6FF33EC1-1CA7-044A-B336-CDE7FABEC92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assumes +6% Y/Y from 4Q21 Results</t>
      </text>
    </comment>
    <comment ref="A10" authorId="2" shapeId="0" xr:uid="{4C9BE920-53B1-BF42-B036-9FB53294FF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Chegg Study Pack:
Homework Help
Quiz &amp; Exam Help
Math Help
Writing Help
Unlimited Course-specific Docs</t>
      </text>
    </comment>
    <comment ref="AA10" authorId="3" shapeId="0" xr:uid="{73928AF2-9EDF-594F-8717-D9949EE1FBD4}">
      <text>
        <t>[Threaded comment]
Your version of Excel allows you to read this threaded comment; however, any edits to it will get removed if the file is opened in a newer version of Excel. Learn more: https://go.microsoft.com/fwlink/?linkid=870924
Comment:
    Mid-July price increase to $15.95</t>
      </text>
    </comment>
    <comment ref="A11" authorId="4" shapeId="0" xr:uid="{273D4219-46B3-9842-8E88-2EB5026403E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Chegg Study:
Homework Help</t>
      </text>
    </comment>
    <comment ref="Z13" authorId="5" shapeId="0" xr:uid="{B4930009-0B00-1747-8AF0-56858635AEA9}">
      <text>
        <t>[Threaded comment]
Your version of Excel allows you to read this threaded comment; however, any edits to it will get removed if the file is opened in a newer version of Excel. Learn more: https://go.microsoft.com/fwlink/?linkid=870924
Comment:
    0.6m from Busuu</t>
      </text>
    </comment>
    <comment ref="AA15" authorId="6" shapeId="0" xr:uid="{8DDE5B5B-05EB-7047-8D86-97CC3C299FD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5% Quarterly NDR</t>
      </text>
    </comment>
    <comment ref="AC57" authorId="7" shapeId="0" xr:uid="{7EA1AD52-7DB7-474F-8EFE-78F05231E05B}">
      <text>
        <t>[Threaded comment]
Your version of Excel allows you to read this threaded comment; however, any edits to it will get removed if the file is opened in a newer version of Excel. Learn more: https://go.microsoft.com/fwlink/?linkid=870924
Comment:
    4Q22 Guidance
$200-203m</t>
      </text>
    </comment>
    <comment ref="AC60" authorId="8" shapeId="0" xr:uid="{E9BE3CEE-F1F8-584E-B425-742D5DF09843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73-74% Gross Margin</t>
      </text>
    </comment>
    <comment ref="AB76" authorId="9" shapeId="0" xr:uid="{6D8DF308-257D-9548-886C-E957A88FD933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Valuation Allowance</t>
      </text>
    </comment>
    <comment ref="Y169" authorId="10" shapeId="0" xr:uid="{BC357B61-9DFE-F144-A6BC-403D96FAA50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2021 10K CFS</t>
      </text>
    </comment>
  </commentList>
</comments>
</file>

<file path=xl/sharedStrings.xml><?xml version="1.0" encoding="utf-8"?>
<sst xmlns="http://schemas.openxmlformats.org/spreadsheetml/2006/main" count="422" uniqueCount="347">
  <si>
    <t>FY21</t>
  </si>
  <si>
    <t>FY22</t>
  </si>
  <si>
    <t>Net Revenues</t>
  </si>
  <si>
    <t>Cost of Revenues</t>
  </si>
  <si>
    <t>Research &amp; Development</t>
  </si>
  <si>
    <t>Sales &amp; Marketing</t>
  </si>
  <si>
    <t>Interest Expense</t>
  </si>
  <si>
    <t>Other Income</t>
  </si>
  <si>
    <t>1Q21</t>
  </si>
  <si>
    <t>1Q22</t>
  </si>
  <si>
    <t>General &amp; Administrative</t>
  </si>
  <si>
    <t>Basic Shares</t>
  </si>
  <si>
    <t>Diluted Shares</t>
  </si>
  <si>
    <t>P&amp;L GAAP</t>
  </si>
  <si>
    <t>Revenue Build</t>
  </si>
  <si>
    <t>CHGG</t>
  </si>
  <si>
    <t>Consolidated Balance Sheet</t>
  </si>
  <si>
    <t>Cash &amp; Cash Equivalents</t>
  </si>
  <si>
    <t>Short-term Investments</t>
  </si>
  <si>
    <t>Accounts Recievable</t>
  </si>
  <si>
    <t>Accounts Receivable</t>
  </si>
  <si>
    <t>Allowance</t>
  </si>
  <si>
    <t>Net Accounts Receivable</t>
  </si>
  <si>
    <t>Prepaid Expenses</t>
  </si>
  <si>
    <t>Other Current Assets</t>
  </si>
  <si>
    <t>Total Current Assets</t>
  </si>
  <si>
    <t>Long-term Investments</t>
  </si>
  <si>
    <t>Net Property &amp; Equipment</t>
  </si>
  <si>
    <t xml:space="preserve">Net Textbook Library </t>
  </si>
  <si>
    <t>Goodwill</t>
  </si>
  <si>
    <t>Net Intangible Assets</t>
  </si>
  <si>
    <t>Right of Use Assets</t>
  </si>
  <si>
    <t>Other Assets</t>
  </si>
  <si>
    <t>Accounts Payable</t>
  </si>
  <si>
    <t>Deferred Revenue</t>
  </si>
  <si>
    <t>Accrued Liabilities</t>
  </si>
  <si>
    <t>Long-term Liabilities</t>
  </si>
  <si>
    <t xml:space="preserve">Net Convertible Senior Notes </t>
  </si>
  <si>
    <t>Long-term Lease Liabilities</t>
  </si>
  <si>
    <t>Other Long-term Liabilities</t>
  </si>
  <si>
    <t>Common Stock</t>
  </si>
  <si>
    <t>Additional Paid-in Capital</t>
  </si>
  <si>
    <t>Accumulated Other Comprehensive Loss</t>
  </si>
  <si>
    <t>Accumulated Deficit</t>
  </si>
  <si>
    <t>Liabilities</t>
  </si>
  <si>
    <t>Current Liabilities</t>
  </si>
  <si>
    <t>Total Liabilities</t>
  </si>
  <si>
    <t>Total Stockholders Equity</t>
  </si>
  <si>
    <t>Stockholders Equity</t>
  </si>
  <si>
    <t>Total Current Liabilities</t>
  </si>
  <si>
    <t>Total Assets</t>
  </si>
  <si>
    <t>Total Cash, Cash Equivalents &amp; Short-term Investments</t>
  </si>
  <si>
    <t>Assets</t>
  </si>
  <si>
    <t>Statement of Cash Flows</t>
  </si>
  <si>
    <t>Cash Flows from Operating Activities</t>
  </si>
  <si>
    <t>Net Income</t>
  </si>
  <si>
    <t>Print Textbook Depreciation Expense</t>
  </si>
  <si>
    <t>Other Depreciation &amp; Amortization</t>
  </si>
  <si>
    <t>Share-based Compensation</t>
  </si>
  <si>
    <t>Amortization of Debt Issuance Costs</t>
  </si>
  <si>
    <t>Gain on Foreign Currency Remeasurement</t>
  </si>
  <si>
    <t>Loss on Early Extinguishment of Debt</t>
  </si>
  <si>
    <t>Loss on Change in Fair Value of Derivative Instruments</t>
  </si>
  <si>
    <t>Loss from Write-off of Property &amp; Equipment</t>
  </si>
  <si>
    <t>Gain on sale of Equity Investment</t>
  </si>
  <si>
    <t>(Gain) Loss on Textbook Library</t>
  </si>
  <si>
    <t>Operating Lease Expense Net of Accretion</t>
  </si>
  <si>
    <t>Other non-Cash Items</t>
  </si>
  <si>
    <t>Change in Operating Assets &amp; Liabilities</t>
  </si>
  <si>
    <t>Other Liabilities</t>
  </si>
  <si>
    <t>Net Cash from Operating Activities</t>
  </si>
  <si>
    <t>Total Change in Operating Assets &amp; Liabilities</t>
  </si>
  <si>
    <t>Purchases of Property &amp; Equipment</t>
  </si>
  <si>
    <t>Purchases of Textbooks</t>
  </si>
  <si>
    <t>Proceeds from Disposition of Textbooks</t>
  </si>
  <si>
    <t>Purchases of Investments</t>
  </si>
  <si>
    <t>Maturities of Investments</t>
  </si>
  <si>
    <t>Proceeds from Sale of Equity Investment</t>
  </si>
  <si>
    <t>Acquisition of Businesses Net of Cash Acquired</t>
  </si>
  <si>
    <t>Net Cash from Investing Activities</t>
  </si>
  <si>
    <t>Cash Flows from Investing Activities</t>
  </si>
  <si>
    <t>Cash Flows from Financing Activities</t>
  </si>
  <si>
    <t>Proceeds from Common Stock Issued under Plan</t>
  </si>
  <si>
    <t>Payment of Equity Award Taxes</t>
  </si>
  <si>
    <t>Repayment of Convertible Senior Notes</t>
  </si>
  <si>
    <t>Proceeds from Exercise of Convertible Senior Notes</t>
  </si>
  <si>
    <t>Repurchases of Common Stock</t>
  </si>
  <si>
    <t>Net Cash from Financing Activities</t>
  </si>
  <si>
    <t>Net Increase in Cash</t>
  </si>
  <si>
    <t>Cash &amp; Equivalents End</t>
  </si>
  <si>
    <t>Cash &amp; Equivalents Beginning</t>
  </si>
  <si>
    <t>2Q21</t>
  </si>
  <si>
    <t>3Q21</t>
  </si>
  <si>
    <t>4Q21</t>
  </si>
  <si>
    <t>2Q22</t>
  </si>
  <si>
    <t>Gain on Sale of Equity Investments</t>
  </si>
  <si>
    <t>Gain on Foreign Currency Remeasurment of Purchase Consideration</t>
  </si>
  <si>
    <t>Interest Income</t>
  </si>
  <si>
    <t>Total Other Income</t>
  </si>
  <si>
    <t>Segments</t>
  </si>
  <si>
    <t>Chegg Services</t>
  </si>
  <si>
    <t>Required Materials</t>
  </si>
  <si>
    <t>Total Revenues</t>
  </si>
  <si>
    <t>Deferred Revenue Recognition</t>
  </si>
  <si>
    <t>Textbook Rental Income</t>
  </si>
  <si>
    <t>Net Accounts Recievable</t>
  </si>
  <si>
    <t>Contract Assets</t>
  </si>
  <si>
    <t>Dilution Calculation</t>
  </si>
  <si>
    <t>Average Basic Shares</t>
  </si>
  <si>
    <t>Stock Plan Shares</t>
  </si>
  <si>
    <t>Average Diluted Shares</t>
  </si>
  <si>
    <t>Shares Related to Stock Plan</t>
  </si>
  <si>
    <t>Shares Related to Convertible Senior Notes</t>
  </si>
  <si>
    <t>Total Common Stock Equivalents</t>
  </si>
  <si>
    <t>Cash</t>
  </si>
  <si>
    <t>Money Market Funds</t>
  </si>
  <si>
    <t>Corporate Debt Securities</t>
  </si>
  <si>
    <t>U.S. Treasury Securitites</t>
  </si>
  <si>
    <t>Agency Bonds</t>
  </si>
  <si>
    <t>Total Short-term Investments</t>
  </si>
  <si>
    <t>Total Cash &amp; Cash Equivalents</t>
  </si>
  <si>
    <t>Commercial Paper</t>
  </si>
  <si>
    <t>Total Long-term Investments</t>
  </si>
  <si>
    <t>Beginning Balance</t>
  </si>
  <si>
    <t>Additions Due to Acquisitions</t>
  </si>
  <si>
    <t>Foreign Currency Adjustment</t>
  </si>
  <si>
    <t>Ending Balance</t>
  </si>
  <si>
    <t xml:space="preserve">Goodwill </t>
  </si>
  <si>
    <t>Ingangibles</t>
  </si>
  <si>
    <t>Developed Technologies</t>
  </si>
  <si>
    <t>Content Libraries</t>
  </si>
  <si>
    <t>Customer Lists</t>
  </si>
  <si>
    <t>Trade &amp; Domain Names</t>
  </si>
  <si>
    <t>Indefinite-lived Trade Name</t>
  </si>
  <si>
    <t>Weighted Average Amortization Period (Months)</t>
  </si>
  <si>
    <t>Total Intangible Assets Net</t>
  </si>
  <si>
    <t>Gross Carrying Amount</t>
  </si>
  <si>
    <t>Accumulated Amortization</t>
  </si>
  <si>
    <t>Foreign Currency Translation Adjustment</t>
  </si>
  <si>
    <t>Net Carrying Amount</t>
  </si>
  <si>
    <t>Future Estimated Amortization Expense</t>
  </si>
  <si>
    <t>FY23</t>
  </si>
  <si>
    <t>FY24</t>
  </si>
  <si>
    <t>FY25</t>
  </si>
  <si>
    <t>FY26</t>
  </si>
  <si>
    <t>Convertible Senior Notes</t>
  </si>
  <si>
    <t>Effect of Exchange Rate Changes</t>
  </si>
  <si>
    <t>P&amp;L Non-GAAP</t>
  </si>
  <si>
    <t>FY19</t>
  </si>
  <si>
    <t>Current Portion of Convertible Senior Notes</t>
  </si>
  <si>
    <t>Common  Shares Issued</t>
  </si>
  <si>
    <t>SE + L</t>
  </si>
  <si>
    <t>Check</t>
  </si>
  <si>
    <t>FY20</t>
  </si>
  <si>
    <t>Equity Offering Proceeds Net of Fees</t>
  </si>
  <si>
    <t>1Q20</t>
  </si>
  <si>
    <t>2Q20</t>
  </si>
  <si>
    <t>3Q20</t>
  </si>
  <si>
    <t>4Q20</t>
  </si>
  <si>
    <t>Gross Accounts Receivable</t>
  </si>
  <si>
    <t>Payments of Escrow Related to Acquisition</t>
  </si>
  <si>
    <t>Proceeds from Sale of Investments</t>
  </si>
  <si>
    <t>Adjustments</t>
  </si>
  <si>
    <t>Impairment on Lease Related Assets</t>
  </si>
  <si>
    <t>NASDAQ: (CHGG)</t>
  </si>
  <si>
    <t>Chegg Inc.</t>
  </si>
  <si>
    <t>$ in Thousands</t>
  </si>
  <si>
    <t>Restructuring Charges</t>
  </si>
  <si>
    <t>Deferred Tax Assets</t>
  </si>
  <si>
    <t>Tax Benefit Related to Release of Valuation Allowance</t>
  </si>
  <si>
    <t>Deferred Income Taxes</t>
  </si>
  <si>
    <t>Balance Sheet Drivers</t>
  </si>
  <si>
    <t>Valuation Alllowance</t>
  </si>
  <si>
    <t>Income Tax at U.S. Statutory Rate</t>
  </si>
  <si>
    <t>State, net of Federal Benefit</t>
  </si>
  <si>
    <t>Accrued Expenses &amp; Reserves</t>
  </si>
  <si>
    <t>Accrued Compensation</t>
  </si>
  <si>
    <t>Net Operating Loss Carryforwards</t>
  </si>
  <si>
    <t>Property &amp; Equipment, Textbooks, &amp; Intangible Assets</t>
  </si>
  <si>
    <t>Other Items</t>
  </si>
  <si>
    <t>Gross Deferred Tax Assets</t>
  </si>
  <si>
    <t>Valuation Allowance</t>
  </si>
  <si>
    <t>Total Deferred Tax Assets</t>
  </si>
  <si>
    <t>Deferred Tax Liabilities</t>
  </si>
  <si>
    <t>Other</t>
  </si>
  <si>
    <t>Total Deferred Tax Liabilities</t>
  </si>
  <si>
    <t>Net Deferred Tax Liabilities</t>
  </si>
  <si>
    <t>Free Cash Flow</t>
  </si>
  <si>
    <t>Net Cash from Operations</t>
  </si>
  <si>
    <t>Capital Expenditures</t>
  </si>
  <si>
    <t>Free Cash Flow less SBC</t>
  </si>
  <si>
    <t>Share-Based Compensation</t>
  </si>
  <si>
    <t>Earnings</t>
  </si>
  <si>
    <t>Normalized FCF</t>
  </si>
  <si>
    <t>Gross Income</t>
  </si>
  <si>
    <t>Gross Margin</t>
  </si>
  <si>
    <t>Total Operating Expense</t>
  </si>
  <si>
    <t>EBIT</t>
  </si>
  <si>
    <t>EBT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</si>
  <si>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</si>
  <si>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</si>
  <si>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</si>
  <si>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</si>
  <si>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</si>
  <si>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</si>
  <si>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</si>
  <si>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</si>
  <si>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</si>
  <si>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</si>
  <si>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</si>
  <si>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</si>
  <si>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</si>
  <si>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</si>
  <si>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</si>
  <si>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</si>
  <si>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Accounts Payable Days of Revenue</t>
  </si>
  <si>
    <t>Accrued LIabilities Days of Operating Expenses</t>
  </si>
  <si>
    <t>Accounts Recievable Days of Revenue</t>
  </si>
  <si>
    <t>Deferred Revenue Percentage of Service Revenues</t>
  </si>
  <si>
    <t>1Q23</t>
  </si>
  <si>
    <t>2Q23</t>
  </si>
  <si>
    <t>3Q23</t>
  </si>
  <si>
    <t>4Q23</t>
  </si>
  <si>
    <t>Services Y/Y</t>
  </si>
  <si>
    <t>Services Q/Q</t>
  </si>
  <si>
    <t>Required Materials Y/Y</t>
  </si>
  <si>
    <t>Required Materials Q/Q</t>
  </si>
  <si>
    <t>Net Revenues Y/Y</t>
  </si>
  <si>
    <t>Net Revenues Q/Q</t>
  </si>
  <si>
    <t>Deferred Revenue Days of Sales</t>
  </si>
  <si>
    <t>Prepaid Expenses &amp; Other Current Assets</t>
  </si>
  <si>
    <t>Provision for (Benefit from) Income Taxes</t>
  </si>
  <si>
    <t>Chegg Study Pack Monthly Cost</t>
  </si>
  <si>
    <t>Chegg Study Monthly Cost</t>
  </si>
  <si>
    <t>ARPU</t>
  </si>
  <si>
    <t>Deferred Portion</t>
  </si>
  <si>
    <t>Non-GAAP Chegg Services</t>
  </si>
  <si>
    <t>Percentage Recognized</t>
  </si>
  <si>
    <t>Beginning period cash</t>
  </si>
  <si>
    <t>Ending period cash</t>
  </si>
  <si>
    <t>Less Minimum cash balance</t>
  </si>
  <si>
    <t>Cash available for debt repayment</t>
  </si>
  <si>
    <t>Convertible Debt</t>
  </si>
  <si>
    <t>Beginning balance</t>
  </si>
  <si>
    <t>Change in Debt</t>
  </si>
  <si>
    <t>Ending balance</t>
  </si>
  <si>
    <t>Avg balance</t>
  </si>
  <si>
    <t>Convertible Notes Interest Expense</t>
  </si>
  <si>
    <t>Total Interest Expense</t>
  </si>
  <si>
    <t>Cash and Investments</t>
  </si>
  <si>
    <t>Change in Cash and Investments</t>
  </si>
  <si>
    <t>Int rate % earned (quarterly)</t>
  </si>
  <si>
    <t>Interest income</t>
  </si>
  <si>
    <t>Investment and other income</t>
  </si>
  <si>
    <t>Exhibit A</t>
  </si>
  <si>
    <t>https://storage.courtlistener.com/recap/gov.uscourts.njd.482417/gov.uscourts.njd.482417.1.1.pdf</t>
  </si>
  <si>
    <t>https://storage.courtlistener.com/recap/gov.uscourts.njd.482417/gov.uscourts.njd.482417.1.0_2.pdf</t>
  </si>
  <si>
    <t xml:space="preserve">Index </t>
  </si>
  <si>
    <t>https://www.courtlistener.com/docket/60381481/pearson-education-inc-v-chegg-inc/</t>
  </si>
  <si>
    <t>Pearson CHGG Lawsuit</t>
  </si>
  <si>
    <t>Response</t>
  </si>
  <si>
    <t>https://storage.courtlistener.com/recap/gov.uscourts.njd.482417/gov.uscourts.njd.482417.26.0.pdf</t>
  </si>
  <si>
    <t>Brief</t>
  </si>
  <si>
    <t>1Q24</t>
  </si>
  <si>
    <t>2Q24</t>
  </si>
  <si>
    <t>3Q24</t>
  </si>
  <si>
    <t>4Q24</t>
  </si>
  <si>
    <t>1Q25</t>
  </si>
  <si>
    <t>2Q25</t>
  </si>
  <si>
    <t>3Q25</t>
  </si>
  <si>
    <t>4Q25</t>
  </si>
  <si>
    <t>Subscribers (m) Y/Y</t>
  </si>
  <si>
    <t>Subscribers (m) Q/Q</t>
  </si>
  <si>
    <t>ARPU Y/Y</t>
  </si>
  <si>
    <t>ARPU Q/Q</t>
  </si>
  <si>
    <t>Total Subscribers (m)</t>
  </si>
  <si>
    <t>Chegg Study Subscribers (m)</t>
  </si>
  <si>
    <t>Busuu Subscribers (m)</t>
  </si>
  <si>
    <t>Chegg Study ARPU</t>
  </si>
  <si>
    <t>Busuu ARPU</t>
  </si>
  <si>
    <t>Busuu (Estimate)</t>
  </si>
  <si>
    <t>Chegg Study (Estimate)</t>
  </si>
  <si>
    <t>Average Balance</t>
  </si>
  <si>
    <t>Interest Rate (Quarterly)</t>
  </si>
  <si>
    <t>Interest Expense on Debt</t>
  </si>
  <si>
    <t>Amortization of Debt Discount</t>
  </si>
  <si>
    <t>Payment of Debt Issuance Costs</t>
  </si>
  <si>
    <t>Total Non-GAAP Revenue</t>
  </si>
  <si>
    <t>Chegg Study Subscribers Y/Y</t>
  </si>
  <si>
    <t>Chegg Study ARPU Y/Y</t>
  </si>
  <si>
    <t>Busuu ARPU Q/Q</t>
  </si>
  <si>
    <t>Busuu Subscribers Q/Q</t>
  </si>
  <si>
    <t>Prepaid Expenses Portion of Cost of Revenues</t>
  </si>
  <si>
    <t>Gross Profit Y/Y</t>
  </si>
  <si>
    <t>EBIT Y/Y</t>
  </si>
  <si>
    <t>EBT Y/Y</t>
  </si>
  <si>
    <t>Net Income Y/Y</t>
  </si>
  <si>
    <t>Basic Shares Y/Y</t>
  </si>
  <si>
    <t>Diluted Shares Y/Y</t>
  </si>
  <si>
    <t>Basic EPS</t>
  </si>
  <si>
    <t>Diluted EPS</t>
  </si>
  <si>
    <t>Chegg Inc. (CHGG)</t>
  </si>
  <si>
    <t>Loss on change in fair value of derivatives, net</t>
  </si>
  <si>
    <t>Gain on Sale of Strategic Equity Investment</t>
  </si>
  <si>
    <t xml:space="preserve">Other </t>
  </si>
  <si>
    <t>4Q22E</t>
  </si>
  <si>
    <t>3Q22A</t>
  </si>
  <si>
    <t>Busuu</t>
  </si>
  <si>
    <t>Annual</t>
  </si>
  <si>
    <t>MARPU</t>
  </si>
  <si>
    <t>Semi-Annual</t>
  </si>
  <si>
    <t>Monthly</t>
  </si>
  <si>
    <t>Quarterly</t>
  </si>
  <si>
    <t>ARR at 0.6m MAU</t>
  </si>
  <si>
    <t>Study Pack</t>
  </si>
  <si>
    <t xml:space="preserve">Base Study </t>
  </si>
  <si>
    <t>Chegg Study Pricing</t>
  </si>
  <si>
    <t>Busuu (Estimate) Y/Y</t>
  </si>
  <si>
    <t>Chegg Study (Estimate) Y/Y</t>
  </si>
  <si>
    <t>Chegg Study (Estimate) Q/Q</t>
  </si>
  <si>
    <t>Busuu (Estimate) Q/Q</t>
  </si>
  <si>
    <t>Gain on Early Extinguishment of Debt</t>
  </si>
  <si>
    <t>Property &amp; Equipment</t>
  </si>
  <si>
    <t>Content</t>
  </si>
  <si>
    <t>Leashold Imporvements</t>
  </si>
  <si>
    <t>Internal-use Software</t>
  </si>
  <si>
    <t>Furniture &amp; Fixtures</t>
  </si>
  <si>
    <t>Computers &amp; Equipment</t>
  </si>
  <si>
    <t>Gross Property &amp; Equipment</t>
  </si>
  <si>
    <t>Less Accumulated Depreciation</t>
  </si>
  <si>
    <t>Purchase of Property &amp; Equipment</t>
  </si>
  <si>
    <t>Useful Life</t>
  </si>
  <si>
    <t>Depreciation &amp; Amortization expense</t>
  </si>
  <si>
    <t>US: SaaS</t>
  </si>
  <si>
    <t>4Q22A</t>
  </si>
  <si>
    <t>1Q23E</t>
  </si>
  <si>
    <t>2Q23E</t>
  </si>
  <si>
    <t>3Q23E</t>
  </si>
  <si>
    <t>4Q23E</t>
  </si>
  <si>
    <t>1Q24E</t>
  </si>
  <si>
    <t>2Q24E</t>
  </si>
  <si>
    <t>3Q24E</t>
  </si>
  <si>
    <t>4Q24E</t>
  </si>
  <si>
    <t>1Q25E</t>
  </si>
  <si>
    <t>2Q25E</t>
  </si>
  <si>
    <t>3Q25E</t>
  </si>
  <si>
    <t>4Q25E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</si>
</sst>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Libre Baskerville"/>
    </font>
    <font>
      <i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1"/>
      <name val="Arial"/>
      <family val="2"/>
    </font>
    <font>
      <sz val="2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1" fillId="2" borderId="0" xfId="0" applyNumberFormat="1" applyFont="1" applyFill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 applyBorder="1"/>
    <xf numFmtId="0" fontId="5" fillId="0" borderId="0" xfId="0" applyFont="1"/>
    <xf numFmtId="9" fontId="5" fillId="0" borderId="0" xfId="1" applyFont="1"/>
    <xf numFmtId="1" fontId="5" fillId="0" borderId="0" xfId="0" applyNumberFormat="1" applyFont="1"/>
    <xf numFmtId="9" fontId="5" fillId="0" borderId="0" xfId="0" applyNumberFormat="1" applyFont="1"/>
    <xf numFmtId="1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9" fontId="0" fillId="0" borderId="0" xfId="1" applyFont="1" applyFill="1" applyBorder="1"/>
    <xf numFmtId="9" fontId="0" fillId="0" borderId="0" xfId="1" applyFont="1" applyFill="1"/>
    <xf numFmtId="1" fontId="1" fillId="0" borderId="0" xfId="0" applyNumberFormat="1" applyFont="1"/>
    <xf numFmtId="9" fontId="0" fillId="0" borderId="0" xfId="1" applyFont="1"/>
    <xf numFmtId="9" fontId="8" fillId="0" borderId="0" xfId="1" applyFont="1"/>
    <xf numFmtId="1" fontId="9" fillId="0" borderId="0" xfId="0" applyNumberFormat="1" applyFont="1"/>
    <xf numFmtId="9" fontId="8" fillId="0" borderId="0" xfId="0" applyNumberFormat="1" applyFont="1"/>
    <xf numFmtId="164" fontId="9" fillId="0" borderId="0" xfId="0" applyNumberFormat="1" applyFont="1"/>
    <xf numFmtId="1" fontId="10" fillId="0" borderId="0" xfId="0" applyNumberFormat="1" applyFont="1"/>
    <xf numFmtId="0" fontId="0" fillId="3" borderId="0" xfId="0" applyFill="1"/>
    <xf numFmtId="165" fontId="0" fillId="0" borderId="0" xfId="1" applyNumberFormat="1" applyFont="1"/>
    <xf numFmtId="2" fontId="1" fillId="0" borderId="0" xfId="1" applyNumberFormat="1" applyFont="1"/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0" fontId="11" fillId="3" borderId="0" xfId="0" quotePrefix="1" applyFont="1" applyFill="1"/>
    <xf numFmtId="0" fontId="11" fillId="3" borderId="0" xfId="0" applyFont="1" applyFill="1"/>
    <xf numFmtId="0" fontId="12" fillId="3" borderId="0" xfId="0" applyFont="1" applyFill="1"/>
    <xf numFmtId="9" fontId="5" fillId="0" borderId="0" xfId="1" applyFont="1" applyFill="1"/>
    <xf numFmtId="9" fontId="8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7A4F03C7-6FAC-3C48-AF7C-BF2274BB688D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6" dT="2022-12-29T20:54:43.53" personId="{7A4F03C7-6FAC-3C48-AF7C-BF2274BB688D}" id="{48E9A1F5-ED3E-E248-BE5E-A9462DA25B3C}">
    <text>FY22 Service Guidance of $730-733m -&gt; $196m 4Q22 Target</text>
  </threadedComment>
  <threadedComment ref="Z7" dT="2023-01-05T14:50:17.70" personId="{7A4F03C7-6FAC-3C48-AF7C-BF2274BB688D}" id="{6FF33EC1-1CA7-044A-B336-CDE7FABEC921}">
    <text>Estimate assumes +6% Y/Y from 4Q21 Results</text>
  </threadedComment>
  <threadedComment ref="A10" dT="2022-12-29T03:37:29.87" personId="{7A4F03C7-6FAC-3C48-AF7C-BF2274BB688D}" id="{4C9BE920-53B1-BF42-B036-9FB53294FFC2}">
    <text>Chegg Study Pack:
Homework Help
Quiz &amp; Exam Help
Math Help
Writing Help
Unlimited Course-specific Docs</text>
  </threadedComment>
  <threadedComment ref="AA10" dT="2022-12-29T21:17:12.35" personId="{7A4F03C7-6FAC-3C48-AF7C-BF2274BB688D}" id="{73928AF2-9EDF-594F-8717-D9949EE1FBD4}">
    <text>Mid-July price increase to $15.95</text>
  </threadedComment>
  <threadedComment ref="A11" dT="2022-12-29T21:12:59.27" personId="{7A4F03C7-6FAC-3C48-AF7C-BF2274BB688D}" id="{273D4219-46B3-9842-8E88-2EB5026403EF}">
    <text>Chegg Study:
Homework Help</text>
  </threadedComment>
  <threadedComment ref="Z13" dT="2022-12-29T21:19:28.35" personId="{7A4F03C7-6FAC-3C48-AF7C-BF2274BB688D}" id="{B4930009-0B00-1747-8AF0-56858635AEA9}">
    <text>0.6m from Busuu</text>
  </threadedComment>
  <threadedComment ref="AA15" dT="2023-01-05T15:01:49.76" personId="{7A4F03C7-6FAC-3C48-AF7C-BF2274BB688D}" id="{8DDE5B5B-05EB-7047-8D86-97CC3C299FDC}">
    <text>Assumed 5% Quarterly NDR</text>
  </threadedComment>
  <threadedComment ref="AC57" dT="2022-12-29T20:53:14.07" personId="{7A4F03C7-6FAC-3C48-AF7C-BF2274BB688D}" id="{7EA1AD52-7DB7-474F-8EFE-78F05231E05B}">
    <text>4Q22 Guidance
$200-203m</text>
  </threadedComment>
  <threadedComment ref="AC60" dT="2022-12-29T20:55:24.35" personId="{7A4F03C7-6FAC-3C48-AF7C-BF2274BB688D}" id="{E9BE3CEE-F1F8-584E-B425-742D5DF09843}">
    <text>Guidance: 73-74% Gross Margin</text>
  </threadedComment>
  <threadedComment ref="AB76" dT="2023-01-05T15:35:43.52" personId="{7A4F03C7-6FAC-3C48-AF7C-BF2274BB688D}" id="{6D8DF308-257D-9548-886C-E957A88FD933}">
    <text>Valuation Allowance</text>
  </threadedComment>
  <threadedComment ref="Y169" dT="2022-12-28T14:06:45.21" personId="{7A4F03C7-6FAC-3C48-AF7C-BF2274BB688D}" id="{BC357B61-9DFE-F144-A6BC-403D96FAA50F}">
    <text>Not in 2021 10K CFS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EFF2-837A-B145-94AB-7E14952F219B}">
  <dimension ref="B1:B100"/>
  <sheetViews>
    <sheetView workbookViewId="0">
      <selection activeCell="B9" sqref="B9"/>
    </sheetView>
  </sheetViews>
  <sheetFormatPr baseColWidth="10" defaultRowHeight="16" x14ac:dyDescent="0.2"/>
  <cols>
    <col min="1" max="16384" width="10.83203125" style="35"/>
  </cols>
  <sheetData>
    <row r="1" spans="2:2" x14ac:dyDescent="0.2">
      <c r="B1" s="34"/>
    </row>
    <row r="2" spans="2:2" x14ac:dyDescent="0.2">
      <c r="B2" s="34"/>
    </row>
    <row r="3" spans="2:2" x14ac:dyDescent="0.2">
      <c r="B3" s="34"/>
    </row>
    <row r="4" spans="2:2" ht="30" x14ac:dyDescent="0.3">
      <c r="B4" s="36" t="s">
        <v>301</v>
      </c>
    </row>
    <row r="5" spans="2:2" x14ac:dyDescent="0.2">
      <c r="B5" s="35" t="s">
        <v>333</v>
      </c>
    </row>
    <row r="17" s="35" customFormat="1" x14ac:dyDescent="0.2"/>
    <row r="18" s="35" customFormat="1" x14ac:dyDescent="0.2"/>
    <row r="19" s="35" customFormat="1" x14ac:dyDescent="0.2"/>
    <row r="20" s="35" customFormat="1" x14ac:dyDescent="0.2"/>
    <row r="21" s="35" customFormat="1" x14ac:dyDescent="0.2"/>
    <row r="22" s="35" customFormat="1" x14ac:dyDescent="0.2"/>
    <row r="23" s="35" customFormat="1" x14ac:dyDescent="0.2"/>
    <row r="24" s="35" customFormat="1" x14ac:dyDescent="0.2"/>
    <row r="25" s="35" customFormat="1" x14ac:dyDescent="0.2"/>
    <row r="26" s="35" customFormat="1" x14ac:dyDescent="0.2"/>
    <row r="27" s="35" customFormat="1" x14ac:dyDescent="0.2"/>
    <row r="28" s="35" customFormat="1" x14ac:dyDescent="0.2"/>
    <row r="29" s="35" customFormat="1" x14ac:dyDescent="0.2"/>
    <row r="30" s="35" customFormat="1" x14ac:dyDescent="0.2"/>
    <row r="31" s="35" customFormat="1" x14ac:dyDescent="0.2"/>
    <row r="32" s="35" customFormat="1" x14ac:dyDescent="0.2"/>
    <row r="33" s="35" customFormat="1" x14ac:dyDescent="0.2"/>
    <row r="34" s="35" customFormat="1" x14ac:dyDescent="0.2"/>
    <row r="35" s="35" customFormat="1" x14ac:dyDescent="0.2"/>
    <row r="36" s="35" customFormat="1" x14ac:dyDescent="0.2"/>
    <row r="37" s="35" customFormat="1" x14ac:dyDescent="0.2"/>
    <row r="38" s="35" customFormat="1" x14ac:dyDescent="0.2"/>
    <row r="39" s="35" customFormat="1" x14ac:dyDescent="0.2"/>
    <row r="40" s="35" customFormat="1" x14ac:dyDescent="0.2"/>
    <row r="41" s="35" customFormat="1" x14ac:dyDescent="0.2"/>
    <row r="42" s="35" customFormat="1" x14ac:dyDescent="0.2"/>
    <row r="43" s="35" customFormat="1" x14ac:dyDescent="0.2"/>
    <row r="44" s="35" customFormat="1" x14ac:dyDescent="0.2"/>
    <row r="45" s="35" customFormat="1" x14ac:dyDescent="0.2"/>
    <row r="46" s="35" customFormat="1" x14ac:dyDescent="0.2"/>
    <row r="47" s="35" customFormat="1" x14ac:dyDescent="0.2"/>
    <row r="48" s="35" customFormat="1" x14ac:dyDescent="0.2"/>
    <row r="49" s="35" customFormat="1" x14ac:dyDescent="0.2"/>
    <row r="50" s="35" customFormat="1" x14ac:dyDescent="0.2"/>
    <row r="51" s="35" customFormat="1" x14ac:dyDescent="0.2"/>
    <row r="52" s="35" customFormat="1" x14ac:dyDescent="0.2"/>
    <row r="53" s="35" customFormat="1" x14ac:dyDescent="0.2"/>
    <row r="54" s="35" customFormat="1" x14ac:dyDescent="0.2"/>
    <row r="55" s="35" customFormat="1" x14ac:dyDescent="0.2"/>
    <row r="56" s="35" customFormat="1" x14ac:dyDescent="0.2"/>
    <row r="57" s="35" customFormat="1" x14ac:dyDescent="0.2"/>
    <row r="58" s="35" customFormat="1" x14ac:dyDescent="0.2"/>
    <row r="59" s="35" customFormat="1" x14ac:dyDescent="0.2"/>
    <row r="60" s="35" customFormat="1" x14ac:dyDescent="0.2"/>
    <row r="61" s="35" customFormat="1" x14ac:dyDescent="0.2"/>
    <row r="62" s="35" customFormat="1" x14ac:dyDescent="0.2"/>
    <row r="63" s="35" customFormat="1" x14ac:dyDescent="0.2"/>
    <row r="64" s="35" customFormat="1" x14ac:dyDescent="0.2"/>
    <row r="65" s="35" customFormat="1" x14ac:dyDescent="0.2"/>
    <row r="66" s="35" customFormat="1" x14ac:dyDescent="0.2"/>
    <row r="67" s="35" customFormat="1" x14ac:dyDescent="0.2"/>
    <row r="68" s="35" customFormat="1" x14ac:dyDescent="0.2"/>
    <row r="69" s="35" customFormat="1" x14ac:dyDescent="0.2"/>
    <row r="70" s="35" customFormat="1" x14ac:dyDescent="0.2"/>
    <row r="71" s="35" customFormat="1" x14ac:dyDescent="0.2"/>
    <row r="72" s="35" customFormat="1" x14ac:dyDescent="0.2"/>
    <row r="73" s="35" customFormat="1" x14ac:dyDescent="0.2"/>
    <row r="74" s="35" customFormat="1" x14ac:dyDescent="0.2"/>
    <row r="75" s="35" customFormat="1" x14ac:dyDescent="0.2"/>
    <row r="76" s="35" customFormat="1" x14ac:dyDescent="0.2"/>
    <row r="77" s="35" customFormat="1" x14ac:dyDescent="0.2"/>
    <row r="78" s="35" customFormat="1" x14ac:dyDescent="0.2"/>
    <row r="79" s="35" customFormat="1" x14ac:dyDescent="0.2"/>
    <row r="80" s="35" customFormat="1" x14ac:dyDescent="0.2"/>
    <row r="81" s="35" customFormat="1" x14ac:dyDescent="0.2"/>
    <row r="82" s="35" customFormat="1" x14ac:dyDescent="0.2"/>
    <row r="83" s="35" customFormat="1" x14ac:dyDescent="0.2"/>
    <row r="84" s="35" customFormat="1" x14ac:dyDescent="0.2"/>
    <row r="85" s="35" customFormat="1" x14ac:dyDescent="0.2"/>
    <row r="86" s="35" customFormat="1" x14ac:dyDescent="0.2"/>
    <row r="87" s="35" customFormat="1" x14ac:dyDescent="0.2"/>
    <row r="88" s="35" customFormat="1" x14ac:dyDescent="0.2"/>
    <row r="89" s="35" customFormat="1" x14ac:dyDescent="0.2"/>
    <row r="90" s="35" customFormat="1" x14ac:dyDescent="0.2"/>
    <row r="91" s="35" customFormat="1" x14ac:dyDescent="0.2"/>
    <row r="92" s="35" customFormat="1" x14ac:dyDescent="0.2"/>
    <row r="93" s="35" customFormat="1" x14ac:dyDescent="0.2"/>
    <row r="94" s="35" customFormat="1" x14ac:dyDescent="0.2"/>
    <row r="95" s="35" customFormat="1" x14ac:dyDescent="0.2"/>
    <row r="96" s="35" customFormat="1" x14ac:dyDescent="0.2"/>
    <row r="97" s="35" customFormat="1" x14ac:dyDescent="0.2"/>
    <row r="98" s="35" customFormat="1" x14ac:dyDescent="0.2"/>
    <row r="99" s="35" customFormat="1" x14ac:dyDescent="0.2"/>
    <row r="100" s="35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8505-DBD7-CE42-AB09-237B6D10F05E}">
  <dimension ref="A2:G18"/>
  <sheetViews>
    <sheetView workbookViewId="0">
      <selection activeCell="C22" sqref="C22"/>
    </sheetView>
  </sheetViews>
  <sheetFormatPr baseColWidth="10" defaultRowHeight="16" x14ac:dyDescent="0.2"/>
  <sheetData>
    <row r="2" spans="1:7" x14ac:dyDescent="0.2">
      <c r="A2" t="s">
        <v>259</v>
      </c>
    </row>
    <row r="3" spans="1:7" x14ac:dyDescent="0.2">
      <c r="A3" t="s">
        <v>257</v>
      </c>
      <c r="B3" t="s">
        <v>258</v>
      </c>
    </row>
    <row r="4" spans="1:7" x14ac:dyDescent="0.2">
      <c r="A4" t="s">
        <v>254</v>
      </c>
      <c r="B4" t="s">
        <v>255</v>
      </c>
    </row>
    <row r="5" spans="1:7" x14ac:dyDescent="0.2">
      <c r="A5" t="s">
        <v>262</v>
      </c>
      <c r="B5" t="s">
        <v>256</v>
      </c>
    </row>
    <row r="6" spans="1:7" x14ac:dyDescent="0.2">
      <c r="A6" t="s">
        <v>260</v>
      </c>
      <c r="B6" t="s">
        <v>261</v>
      </c>
    </row>
    <row r="10" spans="1:7" x14ac:dyDescent="0.2">
      <c r="B10" t="s">
        <v>309</v>
      </c>
      <c r="C10" t="s">
        <v>312</v>
      </c>
      <c r="D10" t="s">
        <v>308</v>
      </c>
      <c r="F10" t="s">
        <v>313</v>
      </c>
      <c r="G10" t="s">
        <v>312</v>
      </c>
    </row>
    <row r="11" spans="1:7" x14ac:dyDescent="0.2">
      <c r="A11" s="2" t="s">
        <v>307</v>
      </c>
    </row>
    <row r="12" spans="1:7" x14ac:dyDescent="0.2">
      <c r="A12" t="s">
        <v>308</v>
      </c>
      <c r="B12">
        <v>6.95</v>
      </c>
      <c r="C12">
        <f>B12*3</f>
        <v>20.85</v>
      </c>
      <c r="D12">
        <f>B12*12</f>
        <v>83.4</v>
      </c>
      <c r="F12">
        <f>B12*12*1000</f>
        <v>83400</v>
      </c>
      <c r="G12">
        <f>F12/4</f>
        <v>20850</v>
      </c>
    </row>
    <row r="13" spans="1:7" x14ac:dyDescent="0.2">
      <c r="A13" t="s">
        <v>310</v>
      </c>
      <c r="B13">
        <v>8.4499999999999993</v>
      </c>
      <c r="C13">
        <f t="shared" ref="C13:C14" si="0">B13*3</f>
        <v>25.349999999999998</v>
      </c>
      <c r="D13">
        <f t="shared" ref="D13:D14" si="1">B13*12</f>
        <v>101.39999999999999</v>
      </c>
      <c r="F13">
        <f t="shared" ref="F13:F14" si="2">B13*12*1000</f>
        <v>101399.99999999999</v>
      </c>
      <c r="G13">
        <f>F13/4</f>
        <v>25349.999999999996</v>
      </c>
    </row>
    <row r="14" spans="1:7" x14ac:dyDescent="0.2">
      <c r="A14" t="s">
        <v>311</v>
      </c>
      <c r="B14">
        <v>13.95</v>
      </c>
      <c r="C14">
        <f t="shared" si="0"/>
        <v>41.849999999999994</v>
      </c>
      <c r="D14">
        <f t="shared" si="1"/>
        <v>167.39999999999998</v>
      </c>
      <c r="F14">
        <f t="shared" si="2"/>
        <v>167399.99999999997</v>
      </c>
      <c r="G14">
        <f>F14/4</f>
        <v>41849.999999999993</v>
      </c>
    </row>
    <row r="16" spans="1:7" x14ac:dyDescent="0.2">
      <c r="A16" s="2" t="s">
        <v>316</v>
      </c>
    </row>
    <row r="17" spans="1:4" x14ac:dyDescent="0.2">
      <c r="A17" t="s">
        <v>315</v>
      </c>
      <c r="B17">
        <v>19.95</v>
      </c>
      <c r="C17">
        <f t="shared" ref="C17:C18" si="3">B17*3</f>
        <v>59.849999999999994</v>
      </c>
      <c r="D17">
        <f t="shared" ref="D17" si="4">B17*12</f>
        <v>239.39999999999998</v>
      </c>
    </row>
    <row r="18" spans="1:4" x14ac:dyDescent="0.2">
      <c r="A18" t="s">
        <v>314</v>
      </c>
      <c r="B18">
        <v>15.95</v>
      </c>
      <c r="C18">
        <f t="shared" si="3"/>
        <v>47.849999999999994</v>
      </c>
      <c r="D18">
        <f t="shared" ref="D18" si="5">B18*12</f>
        <v>191.39999999999998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0EFE-FCDC-2B46-8511-3E168D1AB5E7}">
  <dimension ref="A1:AW218"/>
  <sheetViews>
    <sheetView zoomScale="150" zoomScaleNormal="81" workbookViewId="0">
      <pane xSplit="1" ySplit="4" topLeftCell="W132" activePane="bottomRight" state="frozen"/>
      <selection pane="topRight" activeCell="B1" sqref="B1"/>
      <selection pane="bottomLeft" activeCell="A3" sqref="A3"/>
      <selection pane="bottomRight" activeCell="AC147" sqref="AC147"/>
    </sheetView>
  </sheetViews>
  <sheetFormatPr baseColWidth="10" defaultRowHeight="16" outlineLevelRow="1" outlineLevelCol="1" x14ac:dyDescent="0.2"/>
  <cols>
    <col min="1" max="1" width="45.33203125" customWidth="1"/>
    <col min="2" max="13" width="0" hidden="1" customWidth="1" outlineLevel="1"/>
    <col min="14" max="14" width="10.83203125" collapsed="1"/>
    <col min="28" max="29" width="10.83203125" customWidth="1"/>
  </cols>
  <sheetData>
    <row r="1" spans="1:49" s="27" customFormat="1" ht="45" customHeight="1" x14ac:dyDescent="0.2">
      <c r="A1" s="30"/>
      <c r="AC1"/>
    </row>
    <row r="2" spans="1:49" s="27" customFormat="1" ht="25" customHeight="1" x14ac:dyDescent="0.25">
      <c r="A2" s="31" t="s">
        <v>165</v>
      </c>
    </row>
    <row r="3" spans="1:49" s="2" customFormat="1" x14ac:dyDescent="0.2">
      <c r="A3" t="s">
        <v>164</v>
      </c>
      <c r="B3" s="2" t="s">
        <v>199</v>
      </c>
      <c r="C3" s="2" t="s">
        <v>200</v>
      </c>
      <c r="D3" s="2" t="s">
        <v>201</v>
      </c>
      <c r="E3" s="2" t="s">
        <v>202</v>
      </c>
      <c r="F3" s="2" t="s">
        <v>203</v>
      </c>
      <c r="G3" s="2" t="s">
        <v>204</v>
      </c>
      <c r="H3" s="2" t="s">
        <v>205</v>
      </c>
      <c r="I3" s="2" t="s">
        <v>206</v>
      </c>
      <c r="J3" s="2" t="s">
        <v>207</v>
      </c>
      <c r="K3" s="2" t="s">
        <v>208</v>
      </c>
      <c r="L3" s="2" t="s">
        <v>209</v>
      </c>
      <c r="M3" s="2" t="s">
        <v>210</v>
      </c>
      <c r="N3" s="2" t="s">
        <v>211</v>
      </c>
      <c r="O3" s="2" t="s">
        <v>212</v>
      </c>
      <c r="P3" s="2" t="s">
        <v>213</v>
      </c>
      <c r="Q3" s="2" t="s">
        <v>214</v>
      </c>
      <c r="R3" s="2" t="s">
        <v>155</v>
      </c>
      <c r="S3" s="2" t="s">
        <v>156</v>
      </c>
      <c r="T3" s="2" t="s">
        <v>157</v>
      </c>
      <c r="U3" s="2" t="s">
        <v>158</v>
      </c>
      <c r="V3" s="2" t="s">
        <v>8</v>
      </c>
      <c r="W3" s="2" t="s">
        <v>91</v>
      </c>
      <c r="X3" s="2" t="s">
        <v>92</v>
      </c>
      <c r="Y3" s="2" t="s">
        <v>93</v>
      </c>
      <c r="Z3" s="2" t="s">
        <v>9</v>
      </c>
      <c r="AA3" s="2" t="s">
        <v>94</v>
      </c>
      <c r="AB3" s="2" t="s">
        <v>306</v>
      </c>
      <c r="AC3" s="2" t="s">
        <v>334</v>
      </c>
      <c r="AD3" s="2" t="s">
        <v>335</v>
      </c>
      <c r="AE3" s="2" t="s">
        <v>336</v>
      </c>
      <c r="AF3" s="2" t="s">
        <v>337</v>
      </c>
      <c r="AG3" s="2" t="s">
        <v>338</v>
      </c>
      <c r="AH3" s="2" t="s">
        <v>339</v>
      </c>
      <c r="AI3" s="2" t="s">
        <v>340</v>
      </c>
      <c r="AJ3" s="2" t="s">
        <v>341</v>
      </c>
      <c r="AK3" s="2" t="s">
        <v>342</v>
      </c>
      <c r="AL3" s="2" t="s">
        <v>343</v>
      </c>
      <c r="AM3" s="2" t="s">
        <v>344</v>
      </c>
      <c r="AN3" s="2" t="s">
        <v>345</v>
      </c>
      <c r="AO3" s="2" t="s">
        <v>346</v>
      </c>
      <c r="AQ3" s="2" t="s">
        <v>148</v>
      </c>
      <c r="AR3" s="2" t="s">
        <v>153</v>
      </c>
      <c r="AS3" s="2" t="s">
        <v>0</v>
      </c>
      <c r="AT3" s="2" t="s">
        <v>1</v>
      </c>
      <c r="AU3" s="2" t="s">
        <v>141</v>
      </c>
      <c r="AV3" s="2" t="s">
        <v>142</v>
      </c>
      <c r="AW3" s="2" t="s">
        <v>143</v>
      </c>
    </row>
    <row r="4" spans="1:49" x14ac:dyDescent="0.2">
      <c r="A4" t="s">
        <v>166</v>
      </c>
      <c r="B4" s="1">
        <v>42460</v>
      </c>
      <c r="C4" s="1">
        <v>42551</v>
      </c>
      <c r="D4" s="1">
        <v>42643</v>
      </c>
      <c r="E4" s="1">
        <v>42735</v>
      </c>
      <c r="F4" s="1">
        <f>B4+365</f>
        <v>42825</v>
      </c>
      <c r="G4" s="1">
        <f t="shared" ref="G4:Q4" si="0">C4+365</f>
        <v>42916</v>
      </c>
      <c r="H4" s="1">
        <f t="shared" si="0"/>
        <v>43008</v>
      </c>
      <c r="I4" s="1">
        <f t="shared" si="0"/>
        <v>43100</v>
      </c>
      <c r="J4" s="1">
        <f t="shared" si="0"/>
        <v>43190</v>
      </c>
      <c r="K4" s="1">
        <f t="shared" si="0"/>
        <v>43281</v>
      </c>
      <c r="L4" s="1">
        <f t="shared" si="0"/>
        <v>43373</v>
      </c>
      <c r="M4" s="1">
        <f t="shared" si="0"/>
        <v>43465</v>
      </c>
      <c r="N4" s="1">
        <f t="shared" si="0"/>
        <v>43555</v>
      </c>
      <c r="O4" s="1">
        <f t="shared" si="0"/>
        <v>43646</v>
      </c>
      <c r="P4" s="1">
        <f t="shared" si="0"/>
        <v>43738</v>
      </c>
      <c r="Q4" s="1">
        <f t="shared" si="0"/>
        <v>43830</v>
      </c>
      <c r="R4" s="1">
        <v>43921</v>
      </c>
      <c r="S4" s="1">
        <v>44012</v>
      </c>
      <c r="T4" s="1">
        <v>44104</v>
      </c>
      <c r="U4" s="1">
        <v>44196</v>
      </c>
      <c r="V4" s="1">
        <v>44286</v>
      </c>
      <c r="W4" s="1">
        <v>44377</v>
      </c>
      <c r="X4" s="1">
        <v>44469</v>
      </c>
      <c r="Y4" s="1">
        <v>44561</v>
      </c>
      <c r="Z4" s="1">
        <f t="shared" ref="Z4:AG4" si="1">V4+365</f>
        <v>44651</v>
      </c>
      <c r="AA4" s="1">
        <f t="shared" si="1"/>
        <v>44742</v>
      </c>
      <c r="AB4" s="1">
        <f t="shared" si="1"/>
        <v>44834</v>
      </c>
      <c r="AC4" s="1">
        <f t="shared" si="1"/>
        <v>44926</v>
      </c>
      <c r="AD4" s="1">
        <f t="shared" si="1"/>
        <v>45016</v>
      </c>
      <c r="AE4" s="1">
        <f t="shared" si="1"/>
        <v>45107</v>
      </c>
      <c r="AF4" s="1">
        <f t="shared" si="1"/>
        <v>45199</v>
      </c>
      <c r="AG4" s="1">
        <f t="shared" si="1"/>
        <v>45291</v>
      </c>
      <c r="AH4" s="1">
        <f>AD4+366</f>
        <v>45382</v>
      </c>
      <c r="AI4" s="1">
        <f>AE4+366</f>
        <v>45473</v>
      </c>
      <c r="AJ4" s="1">
        <f>AF4+366</f>
        <v>45565</v>
      </c>
      <c r="AK4" s="1">
        <f>AG4+366</f>
        <v>45657</v>
      </c>
      <c r="AL4" s="1">
        <f>AH4+365</f>
        <v>45747</v>
      </c>
      <c r="AM4" s="1">
        <f>AI4+365</f>
        <v>45838</v>
      </c>
      <c r="AN4" s="1">
        <f>AJ4+365</f>
        <v>45930</v>
      </c>
      <c r="AO4" s="1">
        <f>AK4+365</f>
        <v>46022</v>
      </c>
      <c r="AQ4">
        <v>2019</v>
      </c>
      <c r="AR4">
        <v>2020</v>
      </c>
      <c r="AS4">
        <v>2021</v>
      </c>
      <c r="AT4">
        <v>2022</v>
      </c>
      <c r="AU4">
        <v>2023</v>
      </c>
      <c r="AV4">
        <v>2024</v>
      </c>
      <c r="AW4">
        <v>2025</v>
      </c>
    </row>
    <row r="5" spans="1:49" s="3" customFormat="1" x14ac:dyDescent="0.2">
      <c r="A5" s="3" t="s">
        <v>14</v>
      </c>
      <c r="V5" s="4"/>
      <c r="W5" s="4"/>
      <c r="X5" s="4"/>
      <c r="Y5" s="4"/>
      <c r="Z5" s="4"/>
    </row>
    <row r="6" spans="1:49" x14ac:dyDescent="0.2">
      <c r="A6" t="s">
        <v>100</v>
      </c>
      <c r="J6">
        <v>56277</v>
      </c>
      <c r="K6">
        <v>61849</v>
      </c>
      <c r="L6">
        <v>54201</v>
      </c>
      <c r="M6">
        <f>253985-L6-K6-J6</f>
        <v>81658</v>
      </c>
      <c r="N6">
        <v>75292</v>
      </c>
      <c r="O6">
        <v>80307</v>
      </c>
      <c r="P6">
        <v>69304</v>
      </c>
      <c r="Q6">
        <f>332221-P6-O6-N6</f>
        <v>107318</v>
      </c>
      <c r="R6">
        <v>100359</v>
      </c>
      <c r="S6">
        <v>126004</v>
      </c>
      <c r="T6">
        <v>118895</v>
      </c>
      <c r="U6">
        <f>521228-T6-S6-R6</f>
        <v>175970</v>
      </c>
      <c r="V6">
        <v>162351</v>
      </c>
      <c r="W6">
        <v>173513</v>
      </c>
      <c r="X6">
        <v>146790</v>
      </c>
      <c r="Y6">
        <f>669894-X6-W6-V6</f>
        <v>187240</v>
      </c>
      <c r="Z6">
        <v>184812</v>
      </c>
      <c r="AA6">
        <v>189076</v>
      </c>
      <c r="AB6">
        <v>159264</v>
      </c>
      <c r="AC6" s="6">
        <v>205193</v>
      </c>
      <c r="AD6" s="6">
        <f>Z6*(1+AD41)</f>
        <v>166330.80000000002</v>
      </c>
      <c r="AE6" s="6">
        <f>AA6*(1+AE41)</f>
        <v>160714.6</v>
      </c>
      <c r="AF6" s="6">
        <f>AB6*(1+AF41)</f>
        <v>143337.60000000001</v>
      </c>
      <c r="AG6" s="6">
        <f>AC6*(1+AG41)</f>
        <v>164154.40000000002</v>
      </c>
      <c r="AH6" s="6">
        <f t="shared" ref="AH6:AO6" si="2">AD6*(1+AH41)</f>
        <v>133064.64000000001</v>
      </c>
      <c r="AI6" s="6">
        <f t="shared" si="2"/>
        <v>128571.68000000001</v>
      </c>
      <c r="AJ6" s="6">
        <f t="shared" si="2"/>
        <v>114670.08000000002</v>
      </c>
      <c r="AK6" s="6">
        <f t="shared" si="2"/>
        <v>131323.52000000002</v>
      </c>
      <c r="AL6" s="6">
        <f t="shared" si="2"/>
        <v>106451.71200000001</v>
      </c>
      <c r="AM6" s="6">
        <f t="shared" si="2"/>
        <v>102857.34400000001</v>
      </c>
      <c r="AN6" s="6">
        <f t="shared" si="2"/>
        <v>91736.064000000013</v>
      </c>
      <c r="AO6" s="6">
        <f t="shared" si="2"/>
        <v>105058.81600000002</v>
      </c>
      <c r="AQ6" s="6">
        <f>SUM(N6:Q6)</f>
        <v>332221</v>
      </c>
      <c r="AR6">
        <f>SUM(R6:U6)</f>
        <v>521228</v>
      </c>
      <c r="AS6">
        <f>SUM(V6:Y6)</f>
        <v>669894</v>
      </c>
      <c r="AT6">
        <f>SUM(Z6:AC6)</f>
        <v>738345</v>
      </c>
      <c r="AU6" s="6">
        <f>SUM(AD6:AG6)</f>
        <v>634537.4</v>
      </c>
      <c r="AV6" s="6">
        <f>SUM(AH6:AK6)</f>
        <v>507629.92000000004</v>
      </c>
      <c r="AW6" s="6">
        <f>SUM(AL6:AO6)</f>
        <v>406103.9360000001</v>
      </c>
    </row>
    <row r="7" spans="1:49" x14ac:dyDescent="0.2">
      <c r="A7" t="s">
        <v>281</v>
      </c>
      <c r="N7">
        <f>N6</f>
        <v>75292</v>
      </c>
      <c r="O7">
        <f t="shared" ref="O7:Y7" si="3">O6</f>
        <v>80307</v>
      </c>
      <c r="P7">
        <f t="shared" si="3"/>
        <v>69304</v>
      </c>
      <c r="Q7">
        <f t="shared" si="3"/>
        <v>107318</v>
      </c>
      <c r="R7">
        <f t="shared" si="3"/>
        <v>100359</v>
      </c>
      <c r="S7">
        <f t="shared" si="3"/>
        <v>126004</v>
      </c>
      <c r="T7">
        <f t="shared" si="3"/>
        <v>118895</v>
      </c>
      <c r="U7">
        <f t="shared" si="3"/>
        <v>175970</v>
      </c>
      <c r="V7">
        <f t="shared" si="3"/>
        <v>162351</v>
      </c>
      <c r="W7">
        <f t="shared" si="3"/>
        <v>173513</v>
      </c>
      <c r="X7">
        <f t="shared" si="3"/>
        <v>146790</v>
      </c>
      <c r="Y7">
        <f t="shared" si="3"/>
        <v>187240</v>
      </c>
      <c r="Z7" s="6">
        <f>V7*(1+Y41)</f>
        <v>172748.77104051827</v>
      </c>
      <c r="AA7" s="6">
        <f>Z7*(1+W42)</f>
        <v>184625.64141615047</v>
      </c>
      <c r="AB7" s="6">
        <f>AA7*(1+X42)</f>
        <v>156191.16667613797</v>
      </c>
      <c r="AC7" s="6">
        <f>AB7*(1+Y42)</f>
        <v>199231.78723646075</v>
      </c>
      <c r="AD7" s="6">
        <f t="shared" ref="AD7:AG8" si="4">AD14*AD18*1000</f>
        <v>158928.86935727682</v>
      </c>
      <c r="AE7" s="6">
        <f t="shared" si="4"/>
        <v>164759.92239977268</v>
      </c>
      <c r="AF7" s="6">
        <f t="shared" si="4"/>
        <v>139384.99714178551</v>
      </c>
      <c r="AG7" s="6">
        <f t="shared" si="4"/>
        <v>177794.44692981758</v>
      </c>
      <c r="AH7" s="6">
        <f t="shared" ref="AH7:AO7" si="5">AH14*AH18*1000</f>
        <v>141828.12301443386</v>
      </c>
      <c r="AI7" s="6">
        <f t="shared" si="5"/>
        <v>147031.75474955715</v>
      </c>
      <c r="AJ7" s="6">
        <f t="shared" si="5"/>
        <v>124387.17144932938</v>
      </c>
      <c r="AK7" s="6">
        <f t="shared" si="5"/>
        <v>158663.76444016918</v>
      </c>
      <c r="AL7" s="6">
        <f t="shared" si="5"/>
        <v>127872.23570981355</v>
      </c>
      <c r="AM7" s="6">
        <f t="shared" si="5"/>
        <v>132563.83008220073</v>
      </c>
      <c r="AN7" s="6">
        <f t="shared" si="5"/>
        <v>112147.47377871537</v>
      </c>
      <c r="AO7" s="6">
        <f t="shared" si="5"/>
        <v>143051.25001925658</v>
      </c>
      <c r="AQ7" s="6">
        <f t="shared" ref="AQ7" si="6">SUM(N7:Q7)</f>
        <v>332221</v>
      </c>
      <c r="AR7">
        <f t="shared" ref="AR7" si="7">SUM(R7:U7)</f>
        <v>521228</v>
      </c>
      <c r="AS7">
        <f t="shared" ref="AS7" si="8">SUM(V7:Y7)</f>
        <v>669894</v>
      </c>
      <c r="AT7">
        <f t="shared" ref="AT7:AT8" si="9">SUM(Z7:AC7)</f>
        <v>712797.36636926746</v>
      </c>
      <c r="AU7" s="6">
        <f t="shared" ref="AU7:AU8" si="10">SUM(AD7:AG7)</f>
        <v>640868.23582865263</v>
      </c>
      <c r="AV7" s="6">
        <f t="shared" ref="AV7:AV8" si="11">SUM(AH7:AK7)</f>
        <v>571910.81365348957</v>
      </c>
      <c r="AW7" s="6">
        <f t="shared" ref="AW7:AW8" si="12">SUM(AL7:AO7)</f>
        <v>515634.78958998621</v>
      </c>
    </row>
    <row r="8" spans="1:49" x14ac:dyDescent="0.2">
      <c r="A8" t="s">
        <v>280</v>
      </c>
      <c r="Z8" s="6">
        <f>Z6-Z7</f>
        <v>12063.228959481727</v>
      </c>
      <c r="AA8" s="6">
        <f>Z8</f>
        <v>12063.228959481727</v>
      </c>
      <c r="AB8" s="6">
        <f>AB6-AB7</f>
        <v>3072.8333238620253</v>
      </c>
      <c r="AC8" s="6">
        <f>AC6-AC7</f>
        <v>5961.2127635392535</v>
      </c>
      <c r="AD8" s="6">
        <f>AD15*AD19*1000</f>
        <v>5549.8890828550439</v>
      </c>
      <c r="AE8" s="6">
        <f t="shared" si="4"/>
        <v>5166.9467361380457</v>
      </c>
      <c r="AF8" s="6">
        <f t="shared" si="4"/>
        <v>4810.4274113445199</v>
      </c>
      <c r="AG8" s="6">
        <f t="shared" si="4"/>
        <v>4478.5079199617485</v>
      </c>
      <c r="AH8" s="6">
        <f t="shared" ref="AH8:AO8" si="13">AH15*AH19*1000</f>
        <v>4169.4908734843866</v>
      </c>
      <c r="AI8" s="6">
        <f t="shared" si="13"/>
        <v>3881.7960032139645</v>
      </c>
      <c r="AJ8" s="6">
        <f t="shared" si="13"/>
        <v>3613.9520789922008</v>
      </c>
      <c r="AK8" s="6">
        <f t="shared" si="13"/>
        <v>3364.5893855417389</v>
      </c>
      <c r="AL8" s="6">
        <f t="shared" si="13"/>
        <v>3132.4327179393586</v>
      </c>
      <c r="AM8" s="6">
        <f t="shared" si="13"/>
        <v>2916.2948604015432</v>
      </c>
      <c r="AN8" s="6">
        <f t="shared" si="13"/>
        <v>2715.0705150338363</v>
      </c>
      <c r="AO8" s="6">
        <f t="shared" si="13"/>
        <v>2527.7306494965014</v>
      </c>
      <c r="AQ8" s="6"/>
      <c r="AT8">
        <f t="shared" si="9"/>
        <v>33160.504006364732</v>
      </c>
      <c r="AU8" s="6">
        <f t="shared" si="10"/>
        <v>20005.771150299355</v>
      </c>
      <c r="AV8" s="6">
        <f t="shared" si="11"/>
        <v>15029.828341232289</v>
      </c>
      <c r="AW8" s="6">
        <f t="shared" si="12"/>
        <v>11291.52874287124</v>
      </c>
    </row>
    <row r="9" spans="1:49" x14ac:dyDescent="0.2">
      <c r="Z9" s="6"/>
      <c r="AA9" s="6"/>
      <c r="AB9" s="6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spans="1:49" x14ac:dyDescent="0.2">
      <c r="A10" t="s">
        <v>232</v>
      </c>
      <c r="N10" s="7">
        <v>14.95</v>
      </c>
      <c r="O10" s="7">
        <v>14.95</v>
      </c>
      <c r="P10" s="7">
        <v>14.95</v>
      </c>
      <c r="Q10" s="7">
        <v>14.95</v>
      </c>
      <c r="R10" s="7">
        <v>14.95</v>
      </c>
      <c r="S10" s="7">
        <v>14.95</v>
      </c>
      <c r="T10" s="7">
        <v>14.95</v>
      </c>
      <c r="U10" s="7">
        <v>14.95</v>
      </c>
      <c r="V10" s="7">
        <v>14.95</v>
      </c>
      <c r="W10" s="7">
        <v>14.95</v>
      </c>
      <c r="X10" s="7">
        <v>14.95</v>
      </c>
      <c r="Y10" s="7">
        <v>14.95</v>
      </c>
      <c r="Z10" s="7">
        <v>14.95</v>
      </c>
      <c r="AA10" s="7">
        <v>15.95</v>
      </c>
      <c r="AB10" s="7">
        <v>15.95</v>
      </c>
      <c r="AC10" s="7">
        <v>15.95</v>
      </c>
      <c r="AD10" s="7">
        <v>15.95</v>
      </c>
      <c r="AE10" s="7">
        <v>15.95</v>
      </c>
      <c r="AF10" s="7">
        <v>15.95</v>
      </c>
      <c r="AG10" s="7">
        <v>15.95</v>
      </c>
      <c r="AH10" s="7">
        <v>15.95</v>
      </c>
      <c r="AI10" s="7">
        <v>15.95</v>
      </c>
      <c r="AJ10" s="7">
        <v>15.95</v>
      </c>
      <c r="AK10" s="7">
        <v>15.95</v>
      </c>
      <c r="AL10" s="7">
        <v>15.95</v>
      </c>
      <c r="AM10" s="7">
        <v>15.95</v>
      </c>
      <c r="AN10" s="7">
        <v>15.95</v>
      </c>
      <c r="AO10" s="7">
        <v>15.95</v>
      </c>
    </row>
    <row r="11" spans="1:49" x14ac:dyDescent="0.2">
      <c r="A11" t="s">
        <v>233</v>
      </c>
      <c r="N11" s="7">
        <v>19.95</v>
      </c>
      <c r="O11" s="7">
        <v>19.95</v>
      </c>
      <c r="P11" s="7">
        <v>19.95</v>
      </c>
      <c r="Q11" s="7">
        <v>19.95</v>
      </c>
      <c r="R11" s="7">
        <v>19.95</v>
      </c>
      <c r="S11" s="7">
        <v>19.95</v>
      </c>
      <c r="T11" s="7">
        <v>19.95</v>
      </c>
      <c r="U11" s="7">
        <v>19.95</v>
      </c>
      <c r="V11" s="7">
        <v>19.95</v>
      </c>
      <c r="W11" s="7">
        <v>19.95</v>
      </c>
      <c r="X11" s="7">
        <v>19.95</v>
      </c>
      <c r="Y11" s="7">
        <v>19.95</v>
      </c>
      <c r="Z11" s="7">
        <v>19.95</v>
      </c>
      <c r="AA11" s="7">
        <v>19.95</v>
      </c>
      <c r="AB11" s="7">
        <v>19.95</v>
      </c>
      <c r="AC11" s="7">
        <v>19.95</v>
      </c>
      <c r="AD11" s="7">
        <v>19.95</v>
      </c>
      <c r="AE11" s="7">
        <v>19.95</v>
      </c>
      <c r="AF11" s="7">
        <v>19.95</v>
      </c>
      <c r="AG11" s="7">
        <v>19.95</v>
      </c>
      <c r="AH11" s="7">
        <v>19.95</v>
      </c>
      <c r="AI11" s="7">
        <v>19.95</v>
      </c>
      <c r="AJ11" s="7">
        <v>19.95</v>
      </c>
      <c r="AK11" s="7">
        <v>19.95</v>
      </c>
      <c r="AL11" s="7">
        <v>19.95</v>
      </c>
      <c r="AM11" s="7">
        <v>19.95</v>
      </c>
      <c r="AN11" s="7">
        <v>19.95</v>
      </c>
      <c r="AO11" s="7">
        <v>19.95</v>
      </c>
    </row>
    <row r="12" spans="1:49" x14ac:dyDescent="0.2"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9" x14ac:dyDescent="0.2">
      <c r="A13" t="s">
        <v>275</v>
      </c>
      <c r="V13">
        <v>4.8</v>
      </c>
      <c r="W13">
        <v>4.9000000000000004</v>
      </c>
      <c r="X13">
        <v>4.4000000000000004</v>
      </c>
      <c r="Y13">
        <v>4.5999999999999996</v>
      </c>
      <c r="Z13">
        <f t="shared" ref="Z13:AN13" si="14">Z14+Z15</f>
        <v>5.3999999999999995</v>
      </c>
      <c r="AA13" s="8">
        <f t="shared" si="14"/>
        <v>5.2700000000000005</v>
      </c>
      <c r="AB13" s="8">
        <f t="shared" si="14"/>
        <v>4.7415000000000003</v>
      </c>
      <c r="AC13" s="8">
        <v>5</v>
      </c>
      <c r="AD13" s="8">
        <f t="shared" si="14"/>
        <v>4.9860000000000007</v>
      </c>
      <c r="AE13" s="8">
        <f t="shared" si="14"/>
        <v>4.8655000000000008</v>
      </c>
      <c r="AF13" s="8">
        <f t="shared" si="14"/>
        <v>4.378425</v>
      </c>
      <c r="AG13" s="8">
        <f t="shared" si="14"/>
        <v>4.38214375</v>
      </c>
      <c r="AH13" s="8">
        <f t="shared" si="14"/>
        <v>4.5269885625000006</v>
      </c>
      <c r="AI13" s="8">
        <f t="shared" si="14"/>
        <v>4.4191351343750007</v>
      </c>
      <c r="AJ13" s="8">
        <f t="shared" si="14"/>
        <v>3.97388237765625</v>
      </c>
      <c r="AK13" s="8">
        <f t="shared" si="14"/>
        <v>3.9800170587734378</v>
      </c>
      <c r="AL13" s="8">
        <f t="shared" si="14"/>
        <v>4.1158520458347665</v>
      </c>
      <c r="AM13" s="8">
        <f t="shared" si="14"/>
        <v>4.0190757635430279</v>
      </c>
      <c r="AN13" s="8">
        <f t="shared" si="14"/>
        <v>3.611769655365876</v>
      </c>
      <c r="AO13" s="8">
        <f>AO14+AO15</f>
        <v>3.6196236685975829</v>
      </c>
      <c r="AQ13" s="25" t="e">
        <f>AQ6/AQ17/1000</f>
        <v>#DIV/0!</v>
      </c>
      <c r="AR13" s="25" t="e">
        <f>AR6/AR17/1000</f>
        <v>#DIV/0!</v>
      </c>
      <c r="AS13" s="25">
        <f>AS6/AS17/1000</f>
        <v>4.674777551530191</v>
      </c>
      <c r="AT13" s="25">
        <f t="shared" ref="AR13:AW15" si="15">AT6/AT17/1000</f>
        <v>5.0870932205053654</v>
      </c>
      <c r="AU13" s="25">
        <f t="shared" si="15"/>
        <v>4.6456264452954201</v>
      </c>
      <c r="AV13" s="25">
        <f t="shared" si="15"/>
        <v>4.2183118214882294</v>
      </c>
      <c r="AW13" s="25">
        <f t="shared" si="15"/>
        <v>3.8355072276316222</v>
      </c>
    </row>
    <row r="14" spans="1:49" x14ac:dyDescent="0.2">
      <c r="A14" t="s">
        <v>276</v>
      </c>
      <c r="V14">
        <f>V13</f>
        <v>4.8</v>
      </c>
      <c r="W14">
        <f>W13</f>
        <v>4.9000000000000004</v>
      </c>
      <c r="X14">
        <f>X13</f>
        <v>4.4000000000000004</v>
      </c>
      <c r="Y14">
        <f>Y13</f>
        <v>4.5999999999999996</v>
      </c>
      <c r="Z14">
        <v>4.8</v>
      </c>
      <c r="AA14">
        <v>4.7</v>
      </c>
      <c r="AB14">
        <v>4.2</v>
      </c>
      <c r="AC14" s="25">
        <f>Y14*(1+AC28)</f>
        <v>4.2320000000000002</v>
      </c>
      <c r="AD14" s="25">
        <f t="shared" ref="AD14:AN14" si="16">Z14*(1+AD28)</f>
        <v>4.4160000000000004</v>
      </c>
      <c r="AE14" s="25">
        <f t="shared" si="16"/>
        <v>4.3240000000000007</v>
      </c>
      <c r="AF14" s="25">
        <f>AB14*(1+AF28)</f>
        <v>3.8640000000000003</v>
      </c>
      <c r="AG14" s="25">
        <f t="shared" si="16"/>
        <v>3.8934400000000005</v>
      </c>
      <c r="AH14" s="25">
        <f t="shared" si="16"/>
        <v>4.0627200000000006</v>
      </c>
      <c r="AI14" s="25">
        <f t="shared" si="16"/>
        <v>3.9780800000000007</v>
      </c>
      <c r="AJ14" s="25">
        <f t="shared" si="16"/>
        <v>3.5548800000000003</v>
      </c>
      <c r="AK14" s="25">
        <f t="shared" si="16"/>
        <v>3.5819648000000006</v>
      </c>
      <c r="AL14" s="25">
        <f t="shared" si="16"/>
        <v>3.7377024000000008</v>
      </c>
      <c r="AM14" s="25">
        <f t="shared" si="16"/>
        <v>3.6598336000000007</v>
      </c>
      <c r="AN14" s="25">
        <f t="shared" si="16"/>
        <v>3.2704896000000003</v>
      </c>
      <c r="AO14" s="25">
        <f>AK14*(1+AO28)</f>
        <v>3.2954076160000008</v>
      </c>
      <c r="AQ14" s="25" t="e">
        <f>AQ7/AQ18/1000</f>
        <v>#DIV/0!</v>
      </c>
      <c r="AR14" s="25" t="e">
        <f t="shared" si="15"/>
        <v>#DIV/0!</v>
      </c>
      <c r="AS14" s="25">
        <f t="shared" si="15"/>
        <v>4.674777551530191</v>
      </c>
      <c r="AT14" s="25">
        <f t="shared" si="15"/>
        <v>4.4679067888971042</v>
      </c>
      <c r="AU14" s="25">
        <f t="shared" si="15"/>
        <v>4.1125910933854586</v>
      </c>
      <c r="AV14" s="25">
        <f t="shared" si="15"/>
        <v>3.783583805914621</v>
      </c>
      <c r="AW14" s="25">
        <f t="shared" si="15"/>
        <v>3.4808971014414514</v>
      </c>
    </row>
    <row r="15" spans="1:49" x14ac:dyDescent="0.2">
      <c r="A15" t="s">
        <v>277</v>
      </c>
      <c r="Z15">
        <v>0.6</v>
      </c>
      <c r="AA15" s="25">
        <f>Z15*(1+AA29)</f>
        <v>0.56999999999999995</v>
      </c>
      <c r="AB15" s="25">
        <f t="shared" ref="AB15:AG15" si="17">AA15*(1+AB29)</f>
        <v>0.54149999999999998</v>
      </c>
      <c r="AC15" s="25">
        <v>0.6</v>
      </c>
      <c r="AD15" s="25">
        <f t="shared" si="17"/>
        <v>0.56999999999999995</v>
      </c>
      <c r="AE15" s="25">
        <f t="shared" si="17"/>
        <v>0.54149999999999998</v>
      </c>
      <c r="AF15" s="25">
        <f t="shared" si="17"/>
        <v>0.51442499999999991</v>
      </c>
      <c r="AG15" s="25">
        <f t="shared" si="17"/>
        <v>0.48870374999999988</v>
      </c>
      <c r="AH15" s="25">
        <f t="shared" ref="AH15:AO15" si="18">AG15*(1+AH29)</f>
        <v>0.46426856249999987</v>
      </c>
      <c r="AI15" s="25">
        <f t="shared" si="18"/>
        <v>0.44105513437499988</v>
      </c>
      <c r="AJ15" s="25">
        <f t="shared" si="18"/>
        <v>0.41900237765624987</v>
      </c>
      <c r="AK15" s="25">
        <f t="shared" si="18"/>
        <v>0.39805225877343736</v>
      </c>
      <c r="AL15" s="25">
        <f t="shared" si="18"/>
        <v>0.37814964583476546</v>
      </c>
      <c r="AM15" s="25">
        <f t="shared" si="18"/>
        <v>0.35924216354302718</v>
      </c>
      <c r="AN15" s="25">
        <f t="shared" si="18"/>
        <v>0.3412800553658758</v>
      </c>
      <c r="AO15" s="25">
        <f t="shared" si="18"/>
        <v>0.32421605259758202</v>
      </c>
      <c r="AQ15" s="25" t="e">
        <f>AQ8/AQ19/1000</f>
        <v>#DIV/0!</v>
      </c>
      <c r="AR15" s="25" t="e">
        <f t="shared" si="15"/>
        <v>#DIV/0!</v>
      </c>
      <c r="AS15" s="25" t="e">
        <f t="shared" si="15"/>
        <v>#DIV/0!</v>
      </c>
      <c r="AT15" s="25">
        <f t="shared" si="15"/>
        <v>0.58300118625303998</v>
      </c>
      <c r="AU15" s="25">
        <f t="shared" si="15"/>
        <v>0.52934152529941325</v>
      </c>
      <c r="AV15" s="25">
        <f t="shared" si="15"/>
        <v>0.43115198074090499</v>
      </c>
      <c r="AW15" s="25">
        <f t="shared" si="15"/>
        <v>0.35117598301334674</v>
      </c>
    </row>
    <row r="16" spans="1:49" x14ac:dyDescent="0.2"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9" x14ac:dyDescent="0.2">
      <c r="A17" t="s">
        <v>234</v>
      </c>
      <c r="V17" s="8">
        <f t="shared" ref="V17:AA18" si="19">V6/V13/1000</f>
        <v>33.823124999999997</v>
      </c>
      <c r="W17" s="8">
        <f t="shared" si="19"/>
        <v>35.410816326530608</v>
      </c>
      <c r="X17" s="8">
        <f t="shared" si="19"/>
        <v>33.361363636363635</v>
      </c>
      <c r="Y17" s="8">
        <f t="shared" si="19"/>
        <v>40.704347826086959</v>
      </c>
      <c r="Z17" s="8">
        <f t="shared" si="19"/>
        <v>34.224444444444444</v>
      </c>
      <c r="AA17" s="8">
        <f t="shared" si="19"/>
        <v>35.877798861480073</v>
      </c>
      <c r="AB17" s="6">
        <v>34</v>
      </c>
      <c r="AC17" s="6">
        <f>AC6/AC13/1000</f>
        <v>41.038599999999995</v>
      </c>
      <c r="AD17" s="6">
        <f>AD6/AD13/1000</f>
        <v>33.359566787003615</v>
      </c>
      <c r="AE17" s="6">
        <f>AE6/AE13/1000</f>
        <v>33.031466447436024</v>
      </c>
      <c r="AF17" s="6">
        <f>AF6/AF13/1000</f>
        <v>32.737251408897038</v>
      </c>
      <c r="AG17" s="6">
        <f>AG6/AG13/1000</f>
        <v>37.459839148362036</v>
      </c>
      <c r="AH17" s="6">
        <f t="shared" ref="AH17:AO17" si="20">AH6/AH13/1000</f>
        <v>29.393632911348892</v>
      </c>
      <c r="AI17" s="6">
        <f t="shared" si="20"/>
        <v>29.09430829573034</v>
      </c>
      <c r="AJ17" s="6">
        <f t="shared" si="20"/>
        <v>28.855932084137606</v>
      </c>
      <c r="AK17" s="6">
        <f t="shared" si="20"/>
        <v>32.995717872744827</v>
      </c>
      <c r="AL17" s="6">
        <f t="shared" si="20"/>
        <v>25.863833494143432</v>
      </c>
      <c r="AM17" s="6">
        <f t="shared" si="20"/>
        <v>25.5922878919122</v>
      </c>
      <c r="AN17" s="6">
        <f t="shared" si="20"/>
        <v>25.399201154401155</v>
      </c>
      <c r="AO17" s="6">
        <f t="shared" si="20"/>
        <v>29.02478976238568</v>
      </c>
      <c r="AQ17">
        <f>SUM(N17:Q17)</f>
        <v>0</v>
      </c>
      <c r="AR17">
        <f>SUM(R17:U17)</f>
        <v>0</v>
      </c>
      <c r="AS17" s="6">
        <f>SUM(V17:Y17)</f>
        <v>143.29965278898121</v>
      </c>
      <c r="AT17" s="6">
        <f>SUM(Z17:AC17)</f>
        <v>145.14084330592451</v>
      </c>
      <c r="AU17" s="6">
        <f>SUM(AD17:AG17)</f>
        <v>136.58812379169871</v>
      </c>
      <c r="AV17" s="6">
        <f>SUM(AH17:AK17)</f>
        <v>120.33959116396167</v>
      </c>
      <c r="AW17" s="6">
        <f>SUM(AL17:AO17)</f>
        <v>105.88011230284246</v>
      </c>
    </row>
    <row r="18" spans="1:49" x14ac:dyDescent="0.2">
      <c r="A18" t="s">
        <v>278</v>
      </c>
      <c r="V18" s="8">
        <f t="shared" si="19"/>
        <v>33.823124999999997</v>
      </c>
      <c r="W18" s="8">
        <f t="shared" si="19"/>
        <v>35.410816326530608</v>
      </c>
      <c r="X18" s="8">
        <f t="shared" si="19"/>
        <v>33.361363636363635</v>
      </c>
      <c r="Y18" s="8">
        <f t="shared" si="19"/>
        <v>40.704347826086959</v>
      </c>
      <c r="Z18" s="8">
        <f t="shared" si="19"/>
        <v>35.989327300107973</v>
      </c>
      <c r="AA18" s="8">
        <f t="shared" si="19"/>
        <v>39.282051365138393</v>
      </c>
      <c r="AB18" s="8">
        <f>AB7/AB14/1000</f>
        <v>37.188373018128082</v>
      </c>
      <c r="AC18" s="8">
        <f>AC7/AC14/1000</f>
        <v>47.077454450959529</v>
      </c>
      <c r="AD18" s="23">
        <f t="shared" ref="AD18:AO18" si="21">Z18*(1+AD33)</f>
        <v>35.989327300107973</v>
      </c>
      <c r="AE18" s="23">
        <f t="shared" si="21"/>
        <v>38.10358982418424</v>
      </c>
      <c r="AF18" s="23">
        <f t="shared" si="21"/>
        <v>36.072721827584239</v>
      </c>
      <c r="AG18" s="23">
        <f t="shared" si="21"/>
        <v>45.665130817430743</v>
      </c>
      <c r="AH18" s="23">
        <f t="shared" si="21"/>
        <v>34.909647481104734</v>
      </c>
      <c r="AI18" s="23">
        <f t="shared" si="21"/>
        <v>36.960482129458711</v>
      </c>
      <c r="AJ18" s="23">
        <f t="shared" si="21"/>
        <v>34.99054017275671</v>
      </c>
      <c r="AK18" s="23">
        <f t="shared" si="21"/>
        <v>44.295176892907818</v>
      </c>
      <c r="AL18" s="23">
        <f t="shared" si="21"/>
        <v>34.211454531482637</v>
      </c>
      <c r="AM18" s="23">
        <f t="shared" si="21"/>
        <v>36.221272486869537</v>
      </c>
      <c r="AN18" s="23">
        <f t="shared" si="21"/>
        <v>34.290729369301573</v>
      </c>
      <c r="AO18" s="23">
        <f t="shared" si="21"/>
        <v>43.409273355049663</v>
      </c>
      <c r="AQ18">
        <f>SUM(N18:Q18)</f>
        <v>0</v>
      </c>
      <c r="AR18">
        <f>SUM(R18:U18)</f>
        <v>0</v>
      </c>
      <c r="AS18" s="6">
        <f>SUM(V18:Y18)</f>
        <v>143.29965278898121</v>
      </c>
      <c r="AT18" s="6">
        <f>SUM(Z18:AC18)</f>
        <v>159.53720613433399</v>
      </c>
      <c r="AU18" s="6">
        <f>SUM(AD18:AG18)</f>
        <v>155.83076976930718</v>
      </c>
      <c r="AV18" s="6">
        <f>SUM(AH18:AK18)</f>
        <v>151.15584667622798</v>
      </c>
      <c r="AW18" s="6">
        <f>SUM(AL18:AO18)</f>
        <v>148.13272974270342</v>
      </c>
    </row>
    <row r="19" spans="1:49" x14ac:dyDescent="0.2">
      <c r="A19" t="s">
        <v>279</v>
      </c>
      <c r="V19" s="8"/>
      <c r="W19" s="8"/>
      <c r="X19" s="8"/>
      <c r="Y19" s="8"/>
      <c r="Z19" s="8">
        <f>Z8/Z15/1000</f>
        <v>20.105381599136212</v>
      </c>
      <c r="AA19" s="8">
        <f>AA8/AA15/1000</f>
        <v>21.163559578038118</v>
      </c>
      <c r="AB19" s="8">
        <f>AB8/AB15/1000</f>
        <v>5.6746691114718839</v>
      </c>
      <c r="AC19" s="8">
        <f>AC8/AC15/1000</f>
        <v>9.9353546058987554</v>
      </c>
      <c r="AD19" s="25">
        <f>AC19*(1+AD34)</f>
        <v>9.7366475137807793</v>
      </c>
      <c r="AE19" s="25">
        <f>AD19*(1+AE34)</f>
        <v>9.5419145635051628</v>
      </c>
      <c r="AF19" s="25">
        <f>AE19*(1+AF34)</f>
        <v>9.3510762722350602</v>
      </c>
      <c r="AG19" s="25">
        <f>AF19*(1+AG34)</f>
        <v>9.1640547467903595</v>
      </c>
      <c r="AH19" s="25">
        <f t="shared" ref="AH19:AO19" si="22">AG19*(1+AH34)</f>
        <v>8.9807736518545518</v>
      </c>
      <c r="AI19" s="25">
        <f t="shared" si="22"/>
        <v>8.8011581788174613</v>
      </c>
      <c r="AJ19" s="25">
        <f t="shared" si="22"/>
        <v>8.6251350152411117</v>
      </c>
      <c r="AK19" s="25">
        <f t="shared" si="22"/>
        <v>8.4526323149362899</v>
      </c>
      <c r="AL19" s="25">
        <f t="shared" si="22"/>
        <v>8.2835796686375645</v>
      </c>
      <c r="AM19" s="25">
        <f t="shared" si="22"/>
        <v>8.117908075264813</v>
      </c>
      <c r="AN19" s="25">
        <f t="shared" si="22"/>
        <v>7.9555499137595165</v>
      </c>
      <c r="AO19" s="25">
        <f t="shared" si="22"/>
        <v>7.7964389154843259</v>
      </c>
      <c r="AQ19">
        <f>SUM(N19:Q19)</f>
        <v>0</v>
      </c>
      <c r="AR19">
        <f>SUM(R19:U19)</f>
        <v>0</v>
      </c>
      <c r="AS19">
        <f>SUM(V19:Y19)</f>
        <v>0</v>
      </c>
      <c r="AT19" s="6">
        <f>SUM(Z19:AC19)</f>
        <v>56.878964894544964</v>
      </c>
      <c r="AU19" s="6">
        <f>SUM(AD19:AG19)</f>
        <v>37.793693096311358</v>
      </c>
      <c r="AV19" s="6">
        <f>SUM(AH19:AK19)</f>
        <v>34.859699160849416</v>
      </c>
      <c r="AW19" s="6">
        <f>SUM(AL19:AO19)</f>
        <v>32.153476573146222</v>
      </c>
    </row>
    <row r="20" spans="1:49" x14ac:dyDescent="0.2">
      <c r="AA20" s="8"/>
      <c r="AB20" s="8"/>
    </row>
    <row r="21" spans="1:49" x14ac:dyDescent="0.2">
      <c r="A21" t="s">
        <v>101</v>
      </c>
      <c r="J21">
        <v>20672</v>
      </c>
      <c r="K21">
        <v>12373</v>
      </c>
      <c r="L21">
        <v>20036</v>
      </c>
      <c r="M21">
        <f>67009-L21-K21-J21</f>
        <v>13928</v>
      </c>
      <c r="N21">
        <v>22177</v>
      </c>
      <c r="O21">
        <v>13555</v>
      </c>
      <c r="P21">
        <v>24847</v>
      </c>
      <c r="Q21">
        <f>78705-P21-O21-N21</f>
        <v>18126</v>
      </c>
      <c r="R21">
        <v>31231</v>
      </c>
      <c r="S21">
        <v>27005</v>
      </c>
      <c r="T21">
        <v>35123</v>
      </c>
      <c r="U21">
        <f>123110-T21-S21-R21</f>
        <v>29751</v>
      </c>
      <c r="V21">
        <v>36027</v>
      </c>
      <c r="W21">
        <v>24965</v>
      </c>
      <c r="X21">
        <v>25152</v>
      </c>
      <c r="Y21">
        <f>106371-X21-W21-V21</f>
        <v>20227</v>
      </c>
      <c r="Z21">
        <v>17432</v>
      </c>
      <c r="AA21">
        <v>5645</v>
      </c>
      <c r="AB21">
        <v>5475</v>
      </c>
      <c r="AC21" s="23">
        <v>0</v>
      </c>
      <c r="AD21" s="23">
        <f>Z21*(1+AD43)</f>
        <v>5229.6000000000004</v>
      </c>
      <c r="AE21" s="23">
        <f>AA21*(1+AE43)</f>
        <v>4798.25</v>
      </c>
      <c r="AF21" s="23">
        <f>AB21*(1+AF43)</f>
        <v>4653.75</v>
      </c>
      <c r="AG21" s="23">
        <f>AC21*(1+AG43)</f>
        <v>0</v>
      </c>
      <c r="AH21" s="23">
        <f t="shared" ref="AH21:AO21" si="23">AD21*(1+AH43)</f>
        <v>4445.16</v>
      </c>
      <c r="AI21" s="23">
        <f t="shared" si="23"/>
        <v>4078.5124999999998</v>
      </c>
      <c r="AJ21" s="23">
        <f t="shared" si="23"/>
        <v>3955.6875</v>
      </c>
      <c r="AK21" s="23">
        <f t="shared" si="23"/>
        <v>0</v>
      </c>
      <c r="AL21" s="23">
        <f t="shared" si="23"/>
        <v>3778.386</v>
      </c>
      <c r="AM21" s="23">
        <f t="shared" si="23"/>
        <v>3466.7356249999998</v>
      </c>
      <c r="AN21" s="23">
        <f t="shared" si="23"/>
        <v>3362.3343749999999</v>
      </c>
      <c r="AO21" s="23">
        <f t="shared" si="23"/>
        <v>0</v>
      </c>
      <c r="AQ21" s="2">
        <f>SUM(N21:Q21)</f>
        <v>78705</v>
      </c>
      <c r="AR21" s="2">
        <f>SUM(R21:U21)</f>
        <v>123110</v>
      </c>
      <c r="AS21" s="2">
        <f>SUM(V21:Y21)</f>
        <v>106371</v>
      </c>
      <c r="AT21" s="20">
        <f>SUM(Z21:AC21)</f>
        <v>28552</v>
      </c>
      <c r="AU21" s="20">
        <f>SUM(AD21:AG21)</f>
        <v>14681.6</v>
      </c>
      <c r="AV21" s="20">
        <f>SUM(AH21:AK21)</f>
        <v>12479.36</v>
      </c>
      <c r="AW21" s="20">
        <f>SUM(AL21:AO21)</f>
        <v>10607.456</v>
      </c>
    </row>
    <row r="22" spans="1:49" hidden="1" outlineLevel="1" x14ac:dyDescent="0.2">
      <c r="A22" t="s">
        <v>104</v>
      </c>
      <c r="R22">
        <v>12300</v>
      </c>
      <c r="S22">
        <v>11100</v>
      </c>
      <c r="T22">
        <v>12000</v>
      </c>
      <c r="U22">
        <f>50800-T22-S22-R22</f>
        <v>15400</v>
      </c>
      <c r="V22">
        <v>10700</v>
      </c>
      <c r="W22">
        <v>10000</v>
      </c>
      <c r="X22">
        <v>6200</v>
      </c>
      <c r="Y22">
        <f>34600-X22-W22-V22</f>
        <v>7700</v>
      </c>
      <c r="Z22">
        <v>4800</v>
      </c>
      <c r="AA22">
        <v>300</v>
      </c>
    </row>
    <row r="23" spans="1:49" s="2" customFormat="1" collapsed="1" x14ac:dyDescent="0.2">
      <c r="A23" s="2" t="s">
        <v>2</v>
      </c>
      <c r="N23" s="2">
        <f t="shared" ref="N23:AG23" si="24">N21+N6</f>
        <v>97469</v>
      </c>
      <c r="O23" s="2">
        <f t="shared" si="24"/>
        <v>93862</v>
      </c>
      <c r="P23" s="2">
        <f t="shared" si="24"/>
        <v>94151</v>
      </c>
      <c r="Q23" s="2">
        <f t="shared" si="24"/>
        <v>125444</v>
      </c>
      <c r="R23" s="2">
        <f t="shared" si="24"/>
        <v>131590</v>
      </c>
      <c r="S23" s="2">
        <f t="shared" si="24"/>
        <v>153009</v>
      </c>
      <c r="T23" s="2">
        <f t="shared" si="24"/>
        <v>154018</v>
      </c>
      <c r="U23" s="2">
        <f t="shared" si="24"/>
        <v>205721</v>
      </c>
      <c r="V23" s="2">
        <f t="shared" si="24"/>
        <v>198378</v>
      </c>
      <c r="W23" s="2">
        <f t="shared" si="24"/>
        <v>198478</v>
      </c>
      <c r="X23" s="2">
        <f t="shared" si="24"/>
        <v>171942</v>
      </c>
      <c r="Y23" s="2">
        <f t="shared" si="24"/>
        <v>207467</v>
      </c>
      <c r="Z23" s="2">
        <f t="shared" si="24"/>
        <v>202244</v>
      </c>
      <c r="AA23" s="2">
        <f t="shared" si="24"/>
        <v>194721</v>
      </c>
      <c r="AB23" s="20">
        <f t="shared" si="24"/>
        <v>164739</v>
      </c>
      <c r="AC23" s="20">
        <f t="shared" si="24"/>
        <v>205193</v>
      </c>
      <c r="AD23" s="20">
        <f t="shared" si="24"/>
        <v>171560.40000000002</v>
      </c>
      <c r="AE23" s="20">
        <f t="shared" si="24"/>
        <v>165512.85</v>
      </c>
      <c r="AF23" s="20">
        <f t="shared" si="24"/>
        <v>147991.35</v>
      </c>
      <c r="AG23" s="20">
        <f t="shared" si="24"/>
        <v>164154.40000000002</v>
      </c>
      <c r="AH23" s="20">
        <f t="shared" ref="AH23:AO23" si="25">AH21+AH6</f>
        <v>137509.80000000002</v>
      </c>
      <c r="AI23" s="20">
        <f t="shared" si="25"/>
        <v>132650.1925</v>
      </c>
      <c r="AJ23" s="20">
        <f t="shared" si="25"/>
        <v>118625.76750000002</v>
      </c>
      <c r="AK23" s="20">
        <f t="shared" si="25"/>
        <v>131323.52000000002</v>
      </c>
      <c r="AL23" s="20">
        <f t="shared" si="25"/>
        <v>110230.09800000001</v>
      </c>
      <c r="AM23" s="20">
        <f t="shared" si="25"/>
        <v>106324.07962500001</v>
      </c>
      <c r="AN23" s="20">
        <f t="shared" si="25"/>
        <v>95098.398375000019</v>
      </c>
      <c r="AO23" s="20">
        <f t="shared" si="25"/>
        <v>105058.81600000002</v>
      </c>
      <c r="AQ23" s="2">
        <f>SUM(N23:Q23)</f>
        <v>410926</v>
      </c>
      <c r="AR23" s="2">
        <f>SUM(R23:U23)</f>
        <v>644338</v>
      </c>
      <c r="AS23" s="2">
        <f>SUM(V23:Y23)</f>
        <v>776265</v>
      </c>
      <c r="AT23" s="20">
        <f>SUM(Z23:AC23)</f>
        <v>766897</v>
      </c>
      <c r="AU23" s="20">
        <f>SUM(AD23:AG23)</f>
        <v>649219</v>
      </c>
      <c r="AV23" s="20">
        <f>SUM(AH23:AK23)</f>
        <v>520109.28000000009</v>
      </c>
      <c r="AW23" s="20">
        <f>SUM(AL23:AO23)</f>
        <v>416711.39199999999</v>
      </c>
    </row>
    <row r="24" spans="1:49" s="2" customFormat="1" x14ac:dyDescent="0.2">
      <c r="AB24" s="29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9" s="2" customFormat="1" x14ac:dyDescent="0.2"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9" s="11" customFormat="1" x14ac:dyDescent="0.2">
      <c r="A26" s="11" t="s">
        <v>271</v>
      </c>
      <c r="Z26" s="12">
        <f t="shared" ref="Z26:AG26" si="26">Z13/V13-1</f>
        <v>0.125</v>
      </c>
      <c r="AA26" s="12">
        <f t="shared" si="26"/>
        <v>7.551020408163267E-2</v>
      </c>
      <c r="AB26" s="12">
        <f t="shared" si="26"/>
        <v>7.7613636363636385E-2</v>
      </c>
      <c r="AC26" s="37">
        <f t="shared" si="26"/>
        <v>8.6956521739130599E-2</v>
      </c>
      <c r="AD26" s="12">
        <f t="shared" si="26"/>
        <v>-7.6666666666666439E-2</v>
      </c>
      <c r="AE26" s="12">
        <f t="shared" si="26"/>
        <v>-7.6755218216318699E-2</v>
      </c>
      <c r="AF26" s="12">
        <f t="shared" si="26"/>
        <v>-7.6573869028788377E-2</v>
      </c>
      <c r="AG26" s="12">
        <f t="shared" si="26"/>
        <v>-0.12357125000000002</v>
      </c>
      <c r="AH26" s="12">
        <f t="shared" ref="AH26:AO26" si="27">AH13/AD13-1</f>
        <v>-9.2060055655836304E-2</v>
      </c>
      <c r="AI26" s="12">
        <f t="shared" si="27"/>
        <v>-9.1740800662830191E-2</v>
      </c>
      <c r="AJ26" s="12">
        <f t="shared" si="27"/>
        <v>-9.2394553371075272E-2</v>
      </c>
      <c r="AK26" s="12">
        <f t="shared" si="27"/>
        <v>-9.1764833416649649E-2</v>
      </c>
      <c r="AL26" s="12">
        <f t="shared" si="27"/>
        <v>-9.081898727797677E-2</v>
      </c>
      <c r="AM26" s="12">
        <f t="shared" si="27"/>
        <v>-9.0528883744704358E-2</v>
      </c>
      <c r="AN26" s="12">
        <f t="shared" si="27"/>
        <v>-9.112316064672854E-2</v>
      </c>
      <c r="AO26" s="12">
        <f t="shared" si="27"/>
        <v>-9.0550714947669309E-2</v>
      </c>
    </row>
    <row r="27" spans="1:49" s="11" customFormat="1" x14ac:dyDescent="0.2">
      <c r="A27" s="11" t="s">
        <v>272</v>
      </c>
      <c r="W27" s="12">
        <f t="shared" ref="W27:AG27" si="28">W13/V13-1</f>
        <v>2.0833333333333481E-2</v>
      </c>
      <c r="X27" s="12">
        <f t="shared" si="28"/>
        <v>-0.10204081632653061</v>
      </c>
      <c r="Y27" s="12">
        <f t="shared" si="28"/>
        <v>4.5454545454545192E-2</v>
      </c>
      <c r="Z27" s="12">
        <f t="shared" si="28"/>
        <v>0.17391304347826075</v>
      </c>
      <c r="AA27" s="12">
        <f t="shared" si="28"/>
        <v>-2.4074074074073915E-2</v>
      </c>
      <c r="AB27" s="12">
        <f t="shared" si="28"/>
        <v>-0.10028462998102472</v>
      </c>
      <c r="AC27" s="37">
        <f t="shared" si="28"/>
        <v>5.4518612253506182E-2</v>
      </c>
      <c r="AD27" s="12">
        <f t="shared" si="28"/>
        <v>-2.7999999999999137E-3</v>
      </c>
      <c r="AE27" s="12">
        <f t="shared" si="28"/>
        <v>-2.4167669474528641E-2</v>
      </c>
      <c r="AF27" s="12">
        <f t="shared" si="28"/>
        <v>-0.10010790257938562</v>
      </c>
      <c r="AG27" s="12">
        <f t="shared" si="28"/>
        <v>8.4933509195650458E-4</v>
      </c>
      <c r="AH27" s="12">
        <f t="shared" ref="AH27:AO27" si="29">AH13/AG13-1</f>
        <v>3.3053414210795884E-2</v>
      </c>
      <c r="AI27" s="12">
        <f t="shared" si="29"/>
        <v>-2.3824541775612218E-2</v>
      </c>
      <c r="AJ27" s="12">
        <f t="shared" si="29"/>
        <v>-0.10075563276064492</v>
      </c>
      <c r="AK27" s="12">
        <f t="shared" si="29"/>
        <v>1.5437500494934753E-3</v>
      </c>
      <c r="AL27" s="12">
        <f t="shared" si="29"/>
        <v>3.4129247451816225E-2</v>
      </c>
      <c r="AM27" s="12">
        <f t="shared" si="29"/>
        <v>-2.3513061503188881E-2</v>
      </c>
      <c r="AN27" s="12">
        <f t="shared" si="29"/>
        <v>-0.10134322718467237</v>
      </c>
      <c r="AO27" s="12">
        <f t="shared" si="29"/>
        <v>2.1745609441172764E-3</v>
      </c>
    </row>
    <row r="28" spans="1:49" s="11" customFormat="1" x14ac:dyDescent="0.2">
      <c r="A28" s="11" t="s">
        <v>288</v>
      </c>
      <c r="W28" s="12"/>
      <c r="X28" s="12"/>
      <c r="Y28" s="12"/>
      <c r="Z28" s="12">
        <f>Z14/V14-1</f>
        <v>0</v>
      </c>
      <c r="AA28" s="12">
        <f>AA14/W14-1</f>
        <v>-4.081632653061229E-2</v>
      </c>
      <c r="AB28" s="12">
        <f>AB14/X14-1</f>
        <v>-4.5454545454545525E-2</v>
      </c>
      <c r="AC28" s="38">
        <v>-0.08</v>
      </c>
      <c r="AD28" s="22">
        <v>-0.08</v>
      </c>
      <c r="AE28" s="22">
        <v>-0.08</v>
      </c>
      <c r="AF28" s="22">
        <v>-0.08</v>
      </c>
      <c r="AG28" s="22">
        <v>-0.08</v>
      </c>
      <c r="AH28" s="22">
        <v>-0.08</v>
      </c>
      <c r="AI28" s="22">
        <v>-0.08</v>
      </c>
      <c r="AJ28" s="22">
        <v>-0.08</v>
      </c>
      <c r="AK28" s="22">
        <v>-0.08</v>
      </c>
      <c r="AL28" s="22">
        <v>-0.08</v>
      </c>
      <c r="AM28" s="22">
        <v>-0.08</v>
      </c>
      <c r="AN28" s="22">
        <v>-0.08</v>
      </c>
      <c r="AO28" s="22">
        <v>-0.08</v>
      </c>
    </row>
    <row r="29" spans="1:49" s="11" customFormat="1" x14ac:dyDescent="0.2">
      <c r="A29" s="11" t="s">
        <v>291</v>
      </c>
      <c r="W29" s="12"/>
      <c r="X29" s="12"/>
      <c r="Y29" s="12"/>
      <c r="Z29" s="12"/>
      <c r="AA29" s="22">
        <v>-0.05</v>
      </c>
      <c r="AB29" s="22">
        <v>-0.05</v>
      </c>
      <c r="AC29" s="38">
        <v>-0.05</v>
      </c>
      <c r="AD29" s="22">
        <v>-0.05</v>
      </c>
      <c r="AE29" s="22">
        <v>-0.05</v>
      </c>
      <c r="AF29" s="22">
        <v>-0.05</v>
      </c>
      <c r="AG29" s="22">
        <v>-0.05</v>
      </c>
      <c r="AH29" s="22">
        <v>-0.05</v>
      </c>
      <c r="AI29" s="22">
        <v>-0.05</v>
      </c>
      <c r="AJ29" s="22">
        <v>-0.05</v>
      </c>
      <c r="AK29" s="22">
        <v>-0.05</v>
      </c>
      <c r="AL29" s="22">
        <v>-0.05</v>
      </c>
      <c r="AM29" s="22">
        <v>-0.05</v>
      </c>
      <c r="AN29" s="22">
        <v>-0.05</v>
      </c>
      <c r="AO29" s="22">
        <v>-0.05</v>
      </c>
    </row>
    <row r="30" spans="1:49" s="11" customFormat="1" x14ac:dyDescent="0.2">
      <c r="W30" s="12"/>
      <c r="X30" s="12"/>
      <c r="Y30" s="12"/>
      <c r="Z30" s="12"/>
      <c r="AA30" s="12"/>
      <c r="AB30" s="12"/>
      <c r="AC30" s="37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9" s="11" customFormat="1" x14ac:dyDescent="0.2">
      <c r="A31" s="11" t="s">
        <v>273</v>
      </c>
      <c r="Z31" s="12">
        <f t="shared" ref="Z31:AG31" si="30">Z17/V17-1</f>
        <v>1.1865238485339491E-2</v>
      </c>
      <c r="AA31" s="12">
        <f t="shared" si="30"/>
        <v>1.3187567624629803E-2</v>
      </c>
      <c r="AB31" s="12">
        <f t="shared" si="30"/>
        <v>1.9142993391920493E-2</v>
      </c>
      <c r="AC31" s="37">
        <f t="shared" si="30"/>
        <v>8.2117069002347609E-3</v>
      </c>
      <c r="AD31" s="12">
        <f t="shared" si="30"/>
        <v>-2.5270758122743486E-2</v>
      </c>
      <c r="AE31" s="12">
        <f t="shared" si="30"/>
        <v>-7.9334086938649739E-2</v>
      </c>
      <c r="AF31" s="12">
        <f t="shared" si="30"/>
        <v>-3.7139664444204801E-2</v>
      </c>
      <c r="AG31" s="12">
        <f t="shared" si="30"/>
        <v>-8.7204749958282202E-2</v>
      </c>
      <c r="AH31" s="12">
        <f t="shared" ref="AH31:AN31" si="31">AH17/AD17-1</f>
        <v>-0.11888445377533474</v>
      </c>
      <c r="AI31" s="12">
        <f t="shared" si="31"/>
        <v>-0.11919416771795477</v>
      </c>
      <c r="AJ31" s="12">
        <f t="shared" si="31"/>
        <v>-0.11855971890494754</v>
      </c>
      <c r="AK31" s="12">
        <f t="shared" si="31"/>
        <v>-0.11917086077003103</v>
      </c>
      <c r="AL31" s="12">
        <f t="shared" si="31"/>
        <v>-0.12008721167102154</v>
      </c>
      <c r="AM31" s="12">
        <f t="shared" si="31"/>
        <v>-0.12036788667466169</v>
      </c>
      <c r="AN31" s="12">
        <f t="shared" si="31"/>
        <v>-0.11979273168710602</v>
      </c>
      <c r="AO31" s="12">
        <f>AO17/AK17-1</f>
        <v>-0.12034677122873627</v>
      </c>
    </row>
    <row r="32" spans="1:49" s="11" customFormat="1" x14ac:dyDescent="0.2">
      <c r="A32" s="11" t="s">
        <v>274</v>
      </c>
      <c r="W32" s="12">
        <f t="shared" ref="W32:AG32" si="32">W17/V17-1</f>
        <v>4.6941000470258398E-2</v>
      </c>
      <c r="X32" s="12">
        <f t="shared" si="32"/>
        <v>-5.7876459872275632E-2</v>
      </c>
      <c r="Y32" s="12">
        <f t="shared" si="32"/>
        <v>0.22010443786894629</v>
      </c>
      <c r="Z32" s="12">
        <f t="shared" si="32"/>
        <v>-0.15919437916874368</v>
      </c>
      <c r="AA32" s="12">
        <f t="shared" si="32"/>
        <v>4.8309167434973821E-2</v>
      </c>
      <c r="AB32" s="12">
        <f t="shared" si="32"/>
        <v>-5.23387420931265E-2</v>
      </c>
      <c r="AC32" s="37">
        <f t="shared" si="32"/>
        <v>0.20701764705882342</v>
      </c>
      <c r="AD32" s="12">
        <f t="shared" si="32"/>
        <v>-0.18711732888052668</v>
      </c>
      <c r="AE32" s="12">
        <f t="shared" si="32"/>
        <v>-9.8352697941933576E-3</v>
      </c>
      <c r="AF32" s="12">
        <f t="shared" si="32"/>
        <v>-8.9071140394926251E-3</v>
      </c>
      <c r="AG32" s="12">
        <f t="shared" si="32"/>
        <v>0.14425730738596876</v>
      </c>
      <c r="AH32" s="12">
        <f t="shared" ref="AH32:AO32" si="33">AH17/AG17-1</f>
        <v>-0.21532944135361687</v>
      </c>
      <c r="AI32" s="12">
        <f t="shared" si="33"/>
        <v>-1.0183314751235906E-2</v>
      </c>
      <c r="AJ32" s="12">
        <f t="shared" si="33"/>
        <v>-8.1932249142941949E-3</v>
      </c>
      <c r="AK32" s="12">
        <f t="shared" si="33"/>
        <v>0.14346394275314034</v>
      </c>
      <c r="AL32" s="12">
        <f t="shared" si="33"/>
        <v>-0.21614575582525775</v>
      </c>
      <c r="AM32" s="12">
        <f t="shared" si="33"/>
        <v>-1.0499046952677005E-2</v>
      </c>
      <c r="AN32" s="12">
        <f t="shared" si="33"/>
        <v>-7.5447235638539389E-3</v>
      </c>
      <c r="AO32" s="12">
        <f t="shared" si="33"/>
        <v>0.14274419836847052</v>
      </c>
    </row>
    <row r="33" spans="1:49" s="11" customFormat="1" x14ac:dyDescent="0.2">
      <c r="A33" s="11" t="s">
        <v>289</v>
      </c>
      <c r="W33" s="12"/>
      <c r="X33" s="12"/>
      <c r="Y33" s="12"/>
      <c r="Z33" s="12">
        <f>Y18/V18-1</f>
        <v>0.2034472812931083</v>
      </c>
      <c r="AA33" s="12">
        <f>Z18/W18-1</f>
        <v>1.6337126154980286E-2</v>
      </c>
      <c r="AB33" s="12">
        <f>AA18/X18-1</f>
        <v>0.17747139455418592</v>
      </c>
      <c r="AC33" s="38">
        <v>-0.02</v>
      </c>
      <c r="AD33" s="22">
        <v>0</v>
      </c>
      <c r="AE33" s="22">
        <v>-0.03</v>
      </c>
      <c r="AF33" s="22">
        <v>-0.03</v>
      </c>
      <c r="AG33" s="22">
        <v>-0.03</v>
      </c>
      <c r="AH33" s="22">
        <v>-0.03</v>
      </c>
      <c r="AI33" s="22">
        <v>-0.03</v>
      </c>
      <c r="AJ33" s="22">
        <v>-0.03</v>
      </c>
      <c r="AK33" s="22">
        <v>-0.03</v>
      </c>
      <c r="AL33" s="22">
        <v>-0.02</v>
      </c>
      <c r="AM33" s="22">
        <v>-0.02</v>
      </c>
      <c r="AN33" s="22">
        <v>-0.02</v>
      </c>
      <c r="AO33" s="22">
        <v>-0.02</v>
      </c>
    </row>
    <row r="34" spans="1:49" s="11" customFormat="1" x14ac:dyDescent="0.2">
      <c r="A34" s="11" t="s">
        <v>290</v>
      </c>
      <c r="W34" s="12"/>
      <c r="X34" s="12"/>
      <c r="Y34" s="12"/>
      <c r="Z34" s="12"/>
      <c r="AA34" s="12">
        <f>AA19/Z19-1</f>
        <v>5.2631578947368363E-2</v>
      </c>
      <c r="AB34" s="12">
        <f>AB19/AA19-1</f>
        <v>-0.7318660364979146</v>
      </c>
      <c r="AC34" s="38">
        <v>-0.02</v>
      </c>
      <c r="AD34" s="22">
        <v>-0.02</v>
      </c>
      <c r="AE34" s="22">
        <v>-0.02</v>
      </c>
      <c r="AF34" s="22">
        <v>-0.02</v>
      </c>
      <c r="AG34" s="22">
        <v>-0.02</v>
      </c>
      <c r="AH34" s="22">
        <v>-0.02</v>
      </c>
      <c r="AI34" s="22">
        <v>-0.02</v>
      </c>
      <c r="AJ34" s="22">
        <v>-0.02</v>
      </c>
      <c r="AK34" s="22">
        <v>-0.02</v>
      </c>
      <c r="AL34" s="22">
        <v>-0.02</v>
      </c>
      <c r="AM34" s="22">
        <v>-0.02</v>
      </c>
      <c r="AN34" s="22">
        <v>-0.02</v>
      </c>
      <c r="AO34" s="22">
        <v>-0.02</v>
      </c>
    </row>
    <row r="35" spans="1:49" s="11" customFormat="1" x14ac:dyDescent="0.2">
      <c r="W35" s="12"/>
      <c r="X35" s="12"/>
      <c r="Y35" s="12"/>
      <c r="Z35" s="12"/>
      <c r="AA35" s="12"/>
      <c r="AB35" s="12"/>
      <c r="AC35" s="38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</row>
    <row r="36" spans="1:49" s="11" customFormat="1" x14ac:dyDescent="0.2">
      <c r="A36" t="s">
        <v>318</v>
      </c>
      <c r="R36" s="12">
        <f>R7/N7-1</f>
        <v>0.33293045741911498</v>
      </c>
      <c r="S36" s="12">
        <f t="shared" ref="S36:AO36" si="34">S7/O7-1</f>
        <v>0.56902885178128937</v>
      </c>
      <c r="T36" s="12">
        <f t="shared" si="34"/>
        <v>0.71555754357612833</v>
      </c>
      <c r="U36" s="12">
        <f t="shared" si="34"/>
        <v>0.63970629344564744</v>
      </c>
      <c r="V36" s="12">
        <f t="shared" si="34"/>
        <v>0.61770244821092279</v>
      </c>
      <c r="W36" s="12">
        <f t="shared" si="34"/>
        <v>0.37704358591790732</v>
      </c>
      <c r="X36" s="12">
        <f t="shared" si="34"/>
        <v>0.23461878127759794</v>
      </c>
      <c r="Y36" s="12">
        <f t="shared" si="34"/>
        <v>6.4045007671762244E-2</v>
      </c>
      <c r="Z36" s="12">
        <f t="shared" si="34"/>
        <v>6.4045007671762244E-2</v>
      </c>
      <c r="AA36" s="12">
        <f t="shared" si="34"/>
        <v>6.4045007671762244E-2</v>
      </c>
      <c r="AB36" s="12">
        <f t="shared" si="34"/>
        <v>6.4045007671762244E-2</v>
      </c>
      <c r="AC36" s="37">
        <f t="shared" si="34"/>
        <v>6.4045007671762244E-2</v>
      </c>
      <c r="AD36" s="12">
        <f t="shared" si="34"/>
        <v>-7.999999999999996E-2</v>
      </c>
      <c r="AE36" s="12">
        <f t="shared" si="34"/>
        <v>-0.10759999999999992</v>
      </c>
      <c r="AF36" s="12">
        <f t="shared" si="34"/>
        <v>-0.10760000000000014</v>
      </c>
      <c r="AG36" s="12">
        <f t="shared" si="34"/>
        <v>-0.10759999999999992</v>
      </c>
      <c r="AH36" s="12">
        <f t="shared" si="34"/>
        <v>-0.10759999999999981</v>
      </c>
      <c r="AI36" s="12">
        <f t="shared" si="34"/>
        <v>-0.10759999999999992</v>
      </c>
      <c r="AJ36" s="12">
        <f t="shared" si="34"/>
        <v>-0.10760000000000003</v>
      </c>
      <c r="AK36" s="12">
        <f t="shared" si="34"/>
        <v>-0.10760000000000014</v>
      </c>
      <c r="AL36" s="12">
        <f t="shared" si="34"/>
        <v>-9.8400000000000154E-2</v>
      </c>
      <c r="AM36" s="12">
        <f t="shared" si="34"/>
        <v>-9.8399999999999932E-2</v>
      </c>
      <c r="AN36" s="12">
        <f t="shared" si="34"/>
        <v>-9.8400000000000043E-2</v>
      </c>
      <c r="AO36" s="12">
        <f t="shared" si="34"/>
        <v>-9.839999999999971E-2</v>
      </c>
    </row>
    <row r="37" spans="1:49" s="11" customFormat="1" x14ac:dyDescent="0.2">
      <c r="A37" s="11" t="s">
        <v>319</v>
      </c>
      <c r="O37" s="12">
        <f>O7/N7-1</f>
        <v>6.6607342081496101E-2</v>
      </c>
      <c r="P37" s="12">
        <f t="shared" ref="P37:AO37" si="35">P7/O7-1</f>
        <v>-0.13701171753396346</v>
      </c>
      <c r="Q37" s="12">
        <f t="shared" si="35"/>
        <v>0.54851090846127204</v>
      </c>
      <c r="R37" s="12">
        <f t="shared" si="35"/>
        <v>-6.4844667250601007E-2</v>
      </c>
      <c r="S37" s="12">
        <f t="shared" si="35"/>
        <v>0.25553263783018965</v>
      </c>
      <c r="T37" s="12">
        <f t="shared" si="35"/>
        <v>-5.6418843846227085E-2</v>
      </c>
      <c r="U37" s="12">
        <f t="shared" si="35"/>
        <v>0.48004541822616598</v>
      </c>
      <c r="V37" s="12">
        <f t="shared" si="35"/>
        <v>-7.7393873955787895E-2</v>
      </c>
      <c r="W37" s="12">
        <f t="shared" si="35"/>
        <v>6.8752271313388791E-2</v>
      </c>
      <c r="X37" s="12">
        <f t="shared" si="35"/>
        <v>-0.15401151498734966</v>
      </c>
      <c r="Y37" s="12">
        <f t="shared" si="35"/>
        <v>0.27556373049935279</v>
      </c>
      <c r="Z37" s="12">
        <f t="shared" si="35"/>
        <v>-7.7393873955787895E-2</v>
      </c>
      <c r="AA37" s="12">
        <f t="shared" si="35"/>
        <v>6.8752271313388791E-2</v>
      </c>
      <c r="AB37" s="12">
        <f t="shared" si="35"/>
        <v>-0.15401151498734955</v>
      </c>
      <c r="AC37" s="37">
        <f t="shared" si="35"/>
        <v>0.27556373049935279</v>
      </c>
      <c r="AD37" s="12">
        <f t="shared" si="35"/>
        <v>-0.20229160435804305</v>
      </c>
      <c r="AE37" s="12">
        <f t="shared" si="35"/>
        <v>3.6689703173987009E-2</v>
      </c>
      <c r="AF37" s="12">
        <f t="shared" si="35"/>
        <v>-0.15401151498734977</v>
      </c>
      <c r="AG37" s="12">
        <f t="shared" si="35"/>
        <v>0.27556373049935301</v>
      </c>
      <c r="AH37" s="12">
        <f t="shared" si="35"/>
        <v>-0.20229160435804294</v>
      </c>
      <c r="AI37" s="12">
        <f t="shared" si="35"/>
        <v>3.6689703173987009E-2</v>
      </c>
      <c r="AJ37" s="12">
        <f t="shared" si="35"/>
        <v>-0.15401151498734977</v>
      </c>
      <c r="AK37" s="12">
        <f t="shared" si="35"/>
        <v>0.27556373049935279</v>
      </c>
      <c r="AL37" s="12">
        <f t="shared" si="35"/>
        <v>-0.1940678064648268</v>
      </c>
      <c r="AM37" s="12">
        <f t="shared" si="35"/>
        <v>3.6689703173987009E-2</v>
      </c>
      <c r="AN37" s="12">
        <f t="shared" si="35"/>
        <v>-0.15401151498734988</v>
      </c>
      <c r="AO37" s="12">
        <f t="shared" si="35"/>
        <v>0.27556373049935323</v>
      </c>
    </row>
    <row r="38" spans="1:49" x14ac:dyDescent="0.2">
      <c r="A38" t="s">
        <v>317</v>
      </c>
      <c r="R38" s="12"/>
    </row>
    <row r="39" spans="1:49" x14ac:dyDescent="0.2">
      <c r="A39" s="11" t="s">
        <v>320</v>
      </c>
      <c r="R39" s="12"/>
    </row>
    <row r="41" spans="1:49" s="11" customFormat="1" x14ac:dyDescent="0.2">
      <c r="A41" s="11" t="s">
        <v>223</v>
      </c>
      <c r="R41" s="12">
        <f t="shared" ref="R41:AB41" si="36">R6/N6-1</f>
        <v>0.33293045741911498</v>
      </c>
      <c r="S41" s="12">
        <f t="shared" si="36"/>
        <v>0.56902885178128937</v>
      </c>
      <c r="T41" s="12">
        <f t="shared" si="36"/>
        <v>0.71555754357612833</v>
      </c>
      <c r="U41" s="12">
        <f t="shared" si="36"/>
        <v>0.63970629344564744</v>
      </c>
      <c r="V41" s="12">
        <f t="shared" si="36"/>
        <v>0.61770244821092279</v>
      </c>
      <c r="W41" s="12">
        <f t="shared" si="36"/>
        <v>0.37704358591790732</v>
      </c>
      <c r="X41" s="12">
        <f t="shared" si="36"/>
        <v>0.23461878127759794</v>
      </c>
      <c r="Y41" s="12">
        <f t="shared" si="36"/>
        <v>6.4045007671762244E-2</v>
      </c>
      <c r="Z41" s="12">
        <f t="shared" si="36"/>
        <v>0.13834839329600679</v>
      </c>
      <c r="AA41" s="12">
        <f t="shared" si="36"/>
        <v>8.9693567628938542E-2</v>
      </c>
      <c r="AB41" s="12">
        <f t="shared" si="36"/>
        <v>8.4978540772532085E-2</v>
      </c>
      <c r="AC41" s="24">
        <v>0.05</v>
      </c>
      <c r="AD41" s="24">
        <v>-0.1</v>
      </c>
      <c r="AE41" s="24">
        <v>-0.15</v>
      </c>
      <c r="AF41" s="24">
        <v>-0.1</v>
      </c>
      <c r="AG41" s="24">
        <v>-0.2</v>
      </c>
      <c r="AH41" s="24">
        <v>-0.2</v>
      </c>
      <c r="AI41" s="24">
        <v>-0.2</v>
      </c>
      <c r="AJ41" s="24">
        <v>-0.2</v>
      </c>
      <c r="AK41" s="24">
        <v>-0.2</v>
      </c>
      <c r="AL41" s="24">
        <v>-0.2</v>
      </c>
      <c r="AM41" s="24">
        <v>-0.2</v>
      </c>
      <c r="AN41" s="24">
        <v>-0.2</v>
      </c>
      <c r="AO41" s="24">
        <v>-0.2</v>
      </c>
      <c r="AR41" s="12">
        <f>AR6/AQ6-1</f>
        <v>0.56891948431917316</v>
      </c>
      <c r="AS41" s="12">
        <f t="shared" ref="AS41:AW41" si="37">AS6/AR6-1</f>
        <v>0.28522258973040593</v>
      </c>
      <c r="AT41" s="12">
        <f t="shared" si="37"/>
        <v>0.10218183772358014</v>
      </c>
      <c r="AU41" s="12">
        <f t="shared" si="37"/>
        <v>-0.14059497931183929</v>
      </c>
      <c r="AV41" s="12">
        <f t="shared" si="37"/>
        <v>-0.19999999999999996</v>
      </c>
      <c r="AW41" s="12">
        <f t="shared" si="37"/>
        <v>-0.19999999999999984</v>
      </c>
    </row>
    <row r="42" spans="1:49" s="11" customFormat="1" x14ac:dyDescent="0.2">
      <c r="A42" s="11" t="s">
        <v>224</v>
      </c>
      <c r="R42" s="12">
        <f t="shared" ref="R42:AG42" si="38">R6/Q6-1</f>
        <v>-6.4844667250601007E-2</v>
      </c>
      <c r="S42" s="12">
        <f t="shared" si="38"/>
        <v>0.25553263783018965</v>
      </c>
      <c r="T42" s="12">
        <f t="shared" si="38"/>
        <v>-5.6418843846227085E-2</v>
      </c>
      <c r="U42" s="12">
        <f t="shared" si="38"/>
        <v>0.48004541822616598</v>
      </c>
      <c r="V42" s="12">
        <f t="shared" si="38"/>
        <v>-7.7393873955787895E-2</v>
      </c>
      <c r="W42" s="12">
        <f t="shared" si="38"/>
        <v>6.8752271313388791E-2</v>
      </c>
      <c r="X42" s="12">
        <f t="shared" si="38"/>
        <v>-0.15401151498734966</v>
      </c>
      <c r="Y42" s="12">
        <f t="shared" si="38"/>
        <v>0.27556373049935279</v>
      </c>
      <c r="Z42" s="12">
        <f t="shared" si="38"/>
        <v>-1.296731467635126E-2</v>
      </c>
      <c r="AA42" s="12">
        <f t="shared" si="38"/>
        <v>2.307209488561357E-2</v>
      </c>
      <c r="AB42" s="12">
        <f t="shared" si="38"/>
        <v>-0.15767204721910766</v>
      </c>
      <c r="AC42" s="37">
        <f t="shared" si="38"/>
        <v>0.28838281093027929</v>
      </c>
      <c r="AD42" s="12">
        <f t="shared" si="38"/>
        <v>-0.18939340035966135</v>
      </c>
      <c r="AE42" s="12">
        <f t="shared" si="38"/>
        <v>-3.3765243719142912E-2</v>
      </c>
      <c r="AF42" s="12">
        <f t="shared" si="38"/>
        <v>-0.10812334411434932</v>
      </c>
      <c r="AG42" s="12">
        <f t="shared" si="38"/>
        <v>0.14522916527135954</v>
      </c>
      <c r="AH42" s="12">
        <f t="shared" ref="AH42:AN42" si="39">AH6/AG6-1</f>
        <v>-0.18939340035966146</v>
      </c>
      <c r="AI42" s="12">
        <f t="shared" si="39"/>
        <v>-3.3765243719142912E-2</v>
      </c>
      <c r="AJ42" s="12">
        <f t="shared" si="39"/>
        <v>-0.10812334411434921</v>
      </c>
      <c r="AK42" s="12">
        <f t="shared" si="39"/>
        <v>0.14522916527135932</v>
      </c>
      <c r="AL42" s="12">
        <f t="shared" si="39"/>
        <v>-0.18939340035966135</v>
      </c>
      <c r="AM42" s="12">
        <f t="shared" si="39"/>
        <v>-3.3765243719142801E-2</v>
      </c>
      <c r="AN42" s="12">
        <f t="shared" si="39"/>
        <v>-0.10812334411434932</v>
      </c>
      <c r="AO42" s="12">
        <f>AO6/AN6-1</f>
        <v>0.14522916527135932</v>
      </c>
    </row>
    <row r="43" spans="1:49" s="11" customFormat="1" x14ac:dyDescent="0.2">
      <c r="A43" s="11" t="s">
        <v>225</v>
      </c>
      <c r="R43" s="12">
        <f t="shared" ref="R43:AB43" si="40">R21/N21-1</f>
        <v>0.40826081074987597</v>
      </c>
      <c r="S43" s="12">
        <f t="shared" si="40"/>
        <v>0.99225378089265948</v>
      </c>
      <c r="T43" s="12">
        <f t="shared" si="40"/>
        <v>0.41357105485571699</v>
      </c>
      <c r="U43" s="12">
        <f t="shared" si="40"/>
        <v>0.64134392585236677</v>
      </c>
      <c r="V43" s="12">
        <f t="shared" si="40"/>
        <v>0.1535653677435882</v>
      </c>
      <c r="W43" s="12">
        <f t="shared" si="40"/>
        <v>-7.5541566376596925E-2</v>
      </c>
      <c r="X43" s="12">
        <f t="shared" si="40"/>
        <v>-0.28388805056515676</v>
      </c>
      <c r="Y43" s="12">
        <f t="shared" si="40"/>
        <v>-0.32012369332123292</v>
      </c>
      <c r="Z43" s="12">
        <f t="shared" si="40"/>
        <v>-0.51614067227357263</v>
      </c>
      <c r="AA43" s="12">
        <f t="shared" si="40"/>
        <v>-0.77388343681153615</v>
      </c>
      <c r="AB43" s="12">
        <f t="shared" si="40"/>
        <v>-0.78232347328244278</v>
      </c>
      <c r="AC43" s="24">
        <v>-0.72</v>
      </c>
      <c r="AD43" s="24">
        <v>-0.7</v>
      </c>
      <c r="AE43" s="24">
        <v>-0.15</v>
      </c>
      <c r="AF43" s="24">
        <v>-0.15</v>
      </c>
      <c r="AG43" s="24">
        <v>-0.15</v>
      </c>
      <c r="AH43" s="24">
        <v>-0.15</v>
      </c>
      <c r="AI43" s="24">
        <v>-0.15</v>
      </c>
      <c r="AJ43" s="24">
        <v>-0.15</v>
      </c>
      <c r="AK43" s="24">
        <v>-0.15</v>
      </c>
      <c r="AL43" s="24">
        <v>-0.15</v>
      </c>
      <c r="AM43" s="24">
        <v>-0.15</v>
      </c>
      <c r="AN43" s="24">
        <v>-0.15</v>
      </c>
      <c r="AO43" s="24">
        <v>-0.15</v>
      </c>
      <c r="AR43" s="12">
        <f>AR21/AQ21-1</f>
        <v>0.56419541325201705</v>
      </c>
      <c r="AS43" s="12">
        <f t="shared" ref="AS43:AW43" si="41">AS21/AR21-1</f>
        <v>-0.13596783364470799</v>
      </c>
      <c r="AT43" s="12">
        <f t="shared" si="41"/>
        <v>-0.73158097601789962</v>
      </c>
      <c r="AU43" s="12">
        <f t="shared" si="41"/>
        <v>-0.48579434015130285</v>
      </c>
      <c r="AV43" s="12">
        <f t="shared" si="41"/>
        <v>-0.15000000000000002</v>
      </c>
      <c r="AW43" s="12">
        <f t="shared" si="41"/>
        <v>-0.15000000000000002</v>
      </c>
    </row>
    <row r="44" spans="1:49" s="11" customFormat="1" x14ac:dyDescent="0.2">
      <c r="A44" s="11" t="s">
        <v>226</v>
      </c>
      <c r="R44" s="12">
        <f t="shared" ref="R44:AG44" si="42">R21/Q21-1</f>
        <v>0.72299459340174344</v>
      </c>
      <c r="S44" s="12">
        <f t="shared" si="42"/>
        <v>-0.13531427107681471</v>
      </c>
      <c r="T44" s="12">
        <f t="shared" si="42"/>
        <v>0.30061099796334023</v>
      </c>
      <c r="U44" s="12">
        <f t="shared" si="42"/>
        <v>-0.15294821057426755</v>
      </c>
      <c r="V44" s="12">
        <f t="shared" si="42"/>
        <v>0.21095089240697784</v>
      </c>
      <c r="W44" s="12">
        <f t="shared" si="42"/>
        <v>-0.30704749215865879</v>
      </c>
      <c r="X44" s="12">
        <f t="shared" si="42"/>
        <v>7.4904866813538806E-3</v>
      </c>
      <c r="Y44" s="12">
        <f t="shared" si="42"/>
        <v>-0.19580947837150131</v>
      </c>
      <c r="Z44" s="12">
        <f t="shared" si="42"/>
        <v>-0.13818163840411335</v>
      </c>
      <c r="AA44" s="12">
        <f t="shared" si="42"/>
        <v>-0.6761702615878844</v>
      </c>
      <c r="AB44" s="12">
        <f t="shared" si="42"/>
        <v>-3.0115146147032812E-2</v>
      </c>
      <c r="AC44" s="37">
        <f t="shared" si="42"/>
        <v>-1</v>
      </c>
      <c r="AD44" s="12" t="e">
        <f t="shared" si="42"/>
        <v>#DIV/0!</v>
      </c>
      <c r="AE44" s="12">
        <f t="shared" si="42"/>
        <v>-8.2482407832339066E-2</v>
      </c>
      <c r="AF44" s="12">
        <f t="shared" si="42"/>
        <v>-3.0115146147032812E-2</v>
      </c>
      <c r="AG44" s="12">
        <f t="shared" si="42"/>
        <v>-1</v>
      </c>
      <c r="AH44" s="12" t="e">
        <f t="shared" ref="AH44:AO44" si="43">AH21/AG21-1</f>
        <v>#DIV/0!</v>
      </c>
      <c r="AI44" s="12">
        <f t="shared" si="43"/>
        <v>-8.2482407832338955E-2</v>
      </c>
      <c r="AJ44" s="12">
        <f t="shared" si="43"/>
        <v>-3.0115146147032701E-2</v>
      </c>
      <c r="AK44" s="12">
        <f t="shared" si="43"/>
        <v>-1</v>
      </c>
      <c r="AL44" s="12" t="e">
        <f t="shared" si="43"/>
        <v>#DIV/0!</v>
      </c>
      <c r="AM44" s="12">
        <f t="shared" si="43"/>
        <v>-8.2482407832339066E-2</v>
      </c>
      <c r="AN44" s="12">
        <f t="shared" si="43"/>
        <v>-3.0115146147032701E-2</v>
      </c>
      <c r="AO44" s="12">
        <f t="shared" si="43"/>
        <v>-1</v>
      </c>
    </row>
    <row r="45" spans="1:49" s="11" customFormat="1" x14ac:dyDescent="0.2">
      <c r="A45" s="11" t="s">
        <v>227</v>
      </c>
      <c r="R45" s="12">
        <f t="shared" ref="R45:AG45" si="44">R23/N23-1</f>
        <v>0.3500702787552965</v>
      </c>
      <c r="S45" s="12">
        <f t="shared" si="44"/>
        <v>0.63014851590633048</v>
      </c>
      <c r="T45" s="12">
        <f t="shared" si="44"/>
        <v>0.63586154156620744</v>
      </c>
      <c r="U45" s="12">
        <f t="shared" si="44"/>
        <v>0.63994292273843301</v>
      </c>
      <c r="V45" s="12">
        <f t="shared" si="44"/>
        <v>0.50754616612204573</v>
      </c>
      <c r="W45" s="12">
        <f t="shared" si="44"/>
        <v>0.29716552621087655</v>
      </c>
      <c r="X45" s="12">
        <f t="shared" si="44"/>
        <v>0.116376007999065</v>
      </c>
      <c r="Y45" s="12">
        <f t="shared" si="44"/>
        <v>8.4872229864718651E-3</v>
      </c>
      <c r="Z45" s="12">
        <f t="shared" si="44"/>
        <v>1.9488048069846498E-2</v>
      </c>
      <c r="AA45" s="12">
        <f t="shared" si="44"/>
        <v>-1.8929050071040621E-2</v>
      </c>
      <c r="AB45" s="12">
        <f t="shared" si="44"/>
        <v>-4.1892033360086511E-2</v>
      </c>
      <c r="AC45" s="37">
        <f t="shared" si="44"/>
        <v>-1.0960779304660551E-2</v>
      </c>
      <c r="AD45" s="12">
        <f t="shared" si="44"/>
        <v>-0.15171574929293319</v>
      </c>
      <c r="AE45" s="12">
        <f t="shared" si="44"/>
        <v>-0.15000000000000002</v>
      </c>
      <c r="AF45" s="12">
        <f t="shared" si="44"/>
        <v>-0.10166171944712543</v>
      </c>
      <c r="AG45" s="12">
        <f t="shared" si="44"/>
        <v>-0.19999999999999984</v>
      </c>
      <c r="AH45" s="12">
        <f t="shared" ref="AH45:AO45" si="45">AH23/AD23-1</f>
        <v>-0.19847587205439021</v>
      </c>
      <c r="AI45" s="12">
        <f t="shared" si="45"/>
        <v>-0.19855049018852611</v>
      </c>
      <c r="AJ45" s="12">
        <f t="shared" si="45"/>
        <v>-0.19842769526732462</v>
      </c>
      <c r="AK45" s="12">
        <f t="shared" si="45"/>
        <v>-0.19999999999999996</v>
      </c>
      <c r="AL45" s="12">
        <f t="shared" si="45"/>
        <v>-0.19838369338039907</v>
      </c>
      <c r="AM45" s="12">
        <f t="shared" si="45"/>
        <v>-0.19846268127353073</v>
      </c>
      <c r="AN45" s="12">
        <f t="shared" si="45"/>
        <v>-0.19833270309505058</v>
      </c>
      <c r="AO45" s="12">
        <f t="shared" si="45"/>
        <v>-0.19999999999999996</v>
      </c>
      <c r="AR45" s="12">
        <f>AR23/AQ23-1</f>
        <v>0.56801467904196867</v>
      </c>
      <c r="AS45" s="12">
        <f t="shared" ref="AS45:AW45" si="46">AS23/AR23-1</f>
        <v>0.2047481290875286</v>
      </c>
      <c r="AT45" s="12">
        <f t="shared" si="46"/>
        <v>-1.206804377371129E-2</v>
      </c>
      <c r="AU45" s="12">
        <f t="shared" si="46"/>
        <v>-0.15344694267939507</v>
      </c>
      <c r="AV45" s="12">
        <f t="shared" si="46"/>
        <v>-0.19886928755935962</v>
      </c>
      <c r="AW45" s="12">
        <f t="shared" si="46"/>
        <v>-0.19880031365716078</v>
      </c>
    </row>
    <row r="46" spans="1:49" s="11" customFormat="1" x14ac:dyDescent="0.2">
      <c r="A46" s="11" t="s">
        <v>228</v>
      </c>
      <c r="R46" s="12">
        <f t="shared" ref="R46:AG46" si="47">R23/Q23-1</f>
        <v>4.8993973406460167E-2</v>
      </c>
      <c r="S46" s="12">
        <f t="shared" si="47"/>
        <v>0.16277072725891029</v>
      </c>
      <c r="T46" s="12">
        <f t="shared" si="47"/>
        <v>6.594383336927967E-3</v>
      </c>
      <c r="U46" s="12">
        <f t="shared" si="47"/>
        <v>0.33569452921087151</v>
      </c>
      <c r="V46" s="12">
        <f t="shared" si="47"/>
        <v>-3.5693973877241492E-2</v>
      </c>
      <c r="W46" s="12">
        <f t="shared" si="47"/>
        <v>5.040881549365217E-4</v>
      </c>
      <c r="X46" s="12">
        <f t="shared" si="47"/>
        <v>-0.13369743749937024</v>
      </c>
      <c r="Y46" s="12">
        <f t="shared" si="47"/>
        <v>0.20661036861267168</v>
      </c>
      <c r="Z46" s="12">
        <f t="shared" si="47"/>
        <v>-2.5175088086298092E-2</v>
      </c>
      <c r="AA46" s="12">
        <f t="shared" si="47"/>
        <v>-3.7197642451691992E-2</v>
      </c>
      <c r="AB46" s="12">
        <f t="shared" si="47"/>
        <v>-0.15397414762660422</v>
      </c>
      <c r="AC46" s="37">
        <f t="shared" si="47"/>
        <v>0.24556419548497921</v>
      </c>
      <c r="AD46" s="12">
        <f t="shared" si="47"/>
        <v>-0.16390715082873186</v>
      </c>
      <c r="AE46" s="12">
        <f t="shared" si="47"/>
        <v>-3.5250267544258529E-2</v>
      </c>
      <c r="AF46" s="12">
        <f t="shared" si="47"/>
        <v>-0.1058618711477689</v>
      </c>
      <c r="AG46" s="12">
        <f t="shared" si="47"/>
        <v>0.10921618054028159</v>
      </c>
      <c r="AH46" s="12">
        <f t="shared" ref="AH46:AO46" si="48">AH23/AG23-1</f>
        <v>-0.16231426023304885</v>
      </c>
      <c r="AI46" s="12">
        <f t="shared" si="48"/>
        <v>-3.5340081216029828E-2</v>
      </c>
      <c r="AJ46" s="12">
        <f t="shared" si="48"/>
        <v>-0.10572487484328363</v>
      </c>
      <c r="AK46" s="12">
        <f t="shared" si="48"/>
        <v>0.10704042441706441</v>
      </c>
      <c r="AL46" s="12">
        <f t="shared" si="48"/>
        <v>-0.16062181397513564</v>
      </c>
      <c r="AM46" s="12">
        <f t="shared" si="48"/>
        <v>-3.543513473969695E-2</v>
      </c>
      <c r="AN46" s="12">
        <f t="shared" si="48"/>
        <v>-0.10557985819950133</v>
      </c>
      <c r="AO46" s="12">
        <f t="shared" si="48"/>
        <v>0.10473801657230064</v>
      </c>
    </row>
    <row r="47" spans="1:49" s="3" customFormat="1" x14ac:dyDescent="0.2">
      <c r="A47" s="3" t="s">
        <v>147</v>
      </c>
    </row>
    <row r="48" spans="1:49" x14ac:dyDescent="0.2">
      <c r="A48" t="s">
        <v>236</v>
      </c>
      <c r="N48" s="6">
        <f t="shared" ref="N48:AO48" si="49">N6+N177</f>
        <v>75292</v>
      </c>
      <c r="O48" s="6">
        <f t="shared" si="49"/>
        <v>80307</v>
      </c>
      <c r="P48" s="6">
        <f t="shared" si="49"/>
        <v>69304</v>
      </c>
      <c r="Q48" s="6">
        <f t="shared" si="49"/>
        <v>107318</v>
      </c>
      <c r="R48" s="6">
        <f t="shared" si="49"/>
        <v>100359</v>
      </c>
      <c r="S48" s="6">
        <f t="shared" si="49"/>
        <v>126004</v>
      </c>
      <c r="T48" s="6">
        <f t="shared" si="49"/>
        <v>118895</v>
      </c>
      <c r="U48" s="6">
        <f t="shared" si="49"/>
        <v>175970</v>
      </c>
      <c r="V48" s="6">
        <f t="shared" si="49"/>
        <v>178339</v>
      </c>
      <c r="W48" s="6">
        <f t="shared" si="49"/>
        <v>159587</v>
      </c>
      <c r="X48" s="6">
        <f t="shared" si="49"/>
        <v>162091</v>
      </c>
      <c r="Y48" s="6">
        <f t="shared" si="49"/>
        <v>172400</v>
      </c>
      <c r="Z48" s="6">
        <f t="shared" si="49"/>
        <v>193366</v>
      </c>
      <c r="AA48" s="6">
        <f t="shared" si="49"/>
        <v>184778</v>
      </c>
      <c r="AB48" s="6">
        <f t="shared" si="49"/>
        <v>166442</v>
      </c>
      <c r="AC48" s="6">
        <f t="shared" si="49"/>
        <v>201297</v>
      </c>
      <c r="AD48" s="6">
        <f t="shared" si="49"/>
        <v>159398.09600000002</v>
      </c>
      <c r="AE48" s="6">
        <f t="shared" si="49"/>
        <v>175705.924</v>
      </c>
      <c r="AF48" s="6">
        <f t="shared" si="49"/>
        <v>137083.69200000001</v>
      </c>
      <c r="AG48" s="6">
        <f t="shared" si="49"/>
        <v>169376.36800000002</v>
      </c>
      <c r="AH48" s="6">
        <f t="shared" si="49"/>
        <v>142391.56800000003</v>
      </c>
      <c r="AI48" s="6">
        <f t="shared" si="49"/>
        <v>129919.568</v>
      </c>
      <c r="AJ48" s="6">
        <f t="shared" si="49"/>
        <v>118840.56000000001</v>
      </c>
      <c r="AK48" s="6">
        <f t="shared" si="49"/>
        <v>126327.48800000001</v>
      </c>
      <c r="AL48" s="6">
        <f t="shared" si="49"/>
        <v>113913.25440000002</v>
      </c>
      <c r="AM48" s="6">
        <f t="shared" si="49"/>
        <v>103935.65440000001</v>
      </c>
      <c r="AN48" s="6">
        <f t="shared" si="49"/>
        <v>95072.448000000019</v>
      </c>
      <c r="AO48" s="6">
        <f t="shared" si="49"/>
        <v>101061.99040000001</v>
      </c>
      <c r="AQ48">
        <f>SUM(N48:Q48)</f>
        <v>332221</v>
      </c>
      <c r="AR48">
        <f>SUM(R48:U48)</f>
        <v>521228</v>
      </c>
      <c r="AS48">
        <f>SUM(V48:Y48)</f>
        <v>672417</v>
      </c>
      <c r="AT48" s="6">
        <f>SUM(Z48:AC48)</f>
        <v>745883</v>
      </c>
      <c r="AU48" s="6">
        <f>SUM(AD48:AG48)</f>
        <v>641564.08000000007</v>
      </c>
      <c r="AV48" s="6">
        <f>SUM(AH48:AK48)</f>
        <v>517479.18400000007</v>
      </c>
      <c r="AW48" s="6">
        <f>SUM(AL48:AO48)</f>
        <v>413983.34720000008</v>
      </c>
    </row>
    <row r="49" spans="1:49" x14ac:dyDescent="0.2">
      <c r="A49" s="11" t="s">
        <v>237</v>
      </c>
      <c r="V49" s="19">
        <f>1-V50/V48</f>
        <v>0.91035051222671426</v>
      </c>
      <c r="W49" s="19">
        <f t="shared" ref="W49:AG49" si="50">1-W50/W48</f>
        <v>1.0872627469656049</v>
      </c>
      <c r="X49" s="19">
        <f t="shared" si="50"/>
        <v>0.90560240852360707</v>
      </c>
      <c r="Y49" s="19">
        <f t="shared" si="50"/>
        <v>1.0860788863109048</v>
      </c>
      <c r="Z49" s="19">
        <f t="shared" si="50"/>
        <v>0.95576264700102398</v>
      </c>
      <c r="AA49" s="19">
        <f t="shared" si="50"/>
        <v>1.0232603448462478</v>
      </c>
      <c r="AB49" s="19">
        <f t="shared" si="50"/>
        <v>0.9568738659713294</v>
      </c>
      <c r="AC49" s="19">
        <f t="shared" si="50"/>
        <v>1.0193544861572701</v>
      </c>
      <c r="AD49" s="19">
        <f t="shared" si="50"/>
        <v>1.0434930163783136</v>
      </c>
      <c r="AE49" s="19">
        <f t="shared" si="50"/>
        <v>0.91467946180346194</v>
      </c>
      <c r="AF49" s="19">
        <f t="shared" si="50"/>
        <v>1.0456210940102197</v>
      </c>
      <c r="AG49" s="19">
        <f t="shared" si="50"/>
        <v>0.96916944163072383</v>
      </c>
      <c r="AH49" s="19">
        <f t="shared" ref="AH49:AO49" si="51">1-AH50/AH48</f>
        <v>0.93449803151265243</v>
      </c>
      <c r="AI49" s="19">
        <f t="shared" si="51"/>
        <v>0.98962521180797025</v>
      </c>
      <c r="AJ49" s="19">
        <f t="shared" si="51"/>
        <v>0.96490693076505196</v>
      </c>
      <c r="AK49" s="19">
        <f t="shared" si="51"/>
        <v>1.0395482573040635</v>
      </c>
      <c r="AL49" s="19">
        <f t="shared" si="51"/>
        <v>0.93449803151265254</v>
      </c>
      <c r="AM49" s="19">
        <f t="shared" si="51"/>
        <v>0.98962521180797036</v>
      </c>
      <c r="AN49" s="19">
        <f t="shared" si="51"/>
        <v>0.96490693076505196</v>
      </c>
      <c r="AO49" s="19">
        <f t="shared" si="51"/>
        <v>1.0395482573040635</v>
      </c>
    </row>
    <row r="50" spans="1:49" x14ac:dyDescent="0.2">
      <c r="A50" s="11" t="s">
        <v>235</v>
      </c>
      <c r="V50" s="6">
        <f>V177</f>
        <v>15988</v>
      </c>
      <c r="W50" s="6">
        <f t="shared" ref="W50:AG50" si="52">W177</f>
        <v>-13926</v>
      </c>
      <c r="X50" s="6">
        <f t="shared" si="52"/>
        <v>15301</v>
      </c>
      <c r="Y50" s="6">
        <f t="shared" si="52"/>
        <v>-14840</v>
      </c>
      <c r="Z50" s="6">
        <f t="shared" si="52"/>
        <v>8554</v>
      </c>
      <c r="AA50" s="6">
        <f t="shared" si="52"/>
        <v>-4298</v>
      </c>
      <c r="AB50" s="6">
        <f t="shared" si="52"/>
        <v>7178</v>
      </c>
      <c r="AC50" s="6">
        <f t="shared" si="52"/>
        <v>-3896</v>
      </c>
      <c r="AD50" s="6">
        <f t="shared" si="52"/>
        <v>-6932.7040000000052</v>
      </c>
      <c r="AE50" s="6">
        <f t="shared" si="52"/>
        <v>14991.324000000008</v>
      </c>
      <c r="AF50" s="6">
        <f t="shared" si="52"/>
        <v>-6253.9080000000031</v>
      </c>
      <c r="AG50" s="6">
        <f t="shared" si="52"/>
        <v>5221.9679999999935</v>
      </c>
      <c r="AH50" s="6">
        <f t="shared" ref="AH50:AO50" si="53">AH177</f>
        <v>9326.9280000000072</v>
      </c>
      <c r="AI50" s="6">
        <f t="shared" si="53"/>
        <v>1347.887999999999</v>
      </c>
      <c r="AJ50" s="6">
        <f t="shared" si="53"/>
        <v>4170.4799999999959</v>
      </c>
      <c r="AK50" s="6">
        <f t="shared" si="53"/>
        <v>-4996.0319999999992</v>
      </c>
      <c r="AL50" s="6">
        <f t="shared" si="53"/>
        <v>7461.5424000000021</v>
      </c>
      <c r="AM50" s="6">
        <f t="shared" si="53"/>
        <v>1078.3103999999985</v>
      </c>
      <c r="AN50" s="6">
        <f t="shared" si="53"/>
        <v>3336.3840000000018</v>
      </c>
      <c r="AO50" s="6">
        <f t="shared" si="53"/>
        <v>-3996.8256000000038</v>
      </c>
      <c r="AQ50">
        <f>SUM(N50:Q50)</f>
        <v>0</v>
      </c>
      <c r="AR50">
        <f>SUM(R50:U50)</f>
        <v>0</v>
      </c>
      <c r="AS50">
        <f>SUM(V50:Y50)</f>
        <v>2523</v>
      </c>
      <c r="AT50" s="6">
        <f>SUM(Z50:AC50)</f>
        <v>7538</v>
      </c>
      <c r="AU50" s="6">
        <f>SUM(AD50:AG50)</f>
        <v>7026.679999999993</v>
      </c>
      <c r="AV50" s="6">
        <f>SUM(AH50:AK50)</f>
        <v>9849.2640000000029</v>
      </c>
      <c r="AW50" s="6">
        <f>SUM(AL50:AO50)</f>
        <v>7879.4111999999986</v>
      </c>
    </row>
    <row r="51" spans="1:49" x14ac:dyDescent="0.2">
      <c r="A51" s="11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9" x14ac:dyDescent="0.2">
      <c r="A52" t="s">
        <v>101</v>
      </c>
      <c r="N52" s="6">
        <f>N21</f>
        <v>22177</v>
      </c>
      <c r="O52" s="6">
        <f t="shared" ref="O52:AO52" si="54">O21</f>
        <v>13555</v>
      </c>
      <c r="P52" s="6">
        <f t="shared" si="54"/>
        <v>24847</v>
      </c>
      <c r="Q52" s="6">
        <f t="shared" si="54"/>
        <v>18126</v>
      </c>
      <c r="R52" s="6">
        <f t="shared" si="54"/>
        <v>31231</v>
      </c>
      <c r="S52" s="6">
        <f t="shared" si="54"/>
        <v>27005</v>
      </c>
      <c r="T52" s="6">
        <f t="shared" si="54"/>
        <v>35123</v>
      </c>
      <c r="U52" s="6">
        <f t="shared" si="54"/>
        <v>29751</v>
      </c>
      <c r="V52" s="6">
        <f t="shared" si="54"/>
        <v>36027</v>
      </c>
      <c r="W52" s="6">
        <f t="shared" si="54"/>
        <v>24965</v>
      </c>
      <c r="X52" s="6">
        <f t="shared" si="54"/>
        <v>25152</v>
      </c>
      <c r="Y52" s="6">
        <f t="shared" si="54"/>
        <v>20227</v>
      </c>
      <c r="Z52" s="6">
        <f t="shared" si="54"/>
        <v>17432</v>
      </c>
      <c r="AA52" s="6">
        <f t="shared" si="54"/>
        <v>5645</v>
      </c>
      <c r="AB52" s="6">
        <f t="shared" si="54"/>
        <v>5475</v>
      </c>
      <c r="AC52" s="6">
        <f t="shared" si="54"/>
        <v>0</v>
      </c>
      <c r="AD52" s="6">
        <f t="shared" si="54"/>
        <v>5229.6000000000004</v>
      </c>
      <c r="AE52" s="6">
        <f t="shared" si="54"/>
        <v>4798.25</v>
      </c>
      <c r="AF52" s="6">
        <f t="shared" si="54"/>
        <v>4653.75</v>
      </c>
      <c r="AG52" s="6">
        <f t="shared" si="54"/>
        <v>0</v>
      </c>
      <c r="AH52" s="6">
        <f t="shared" si="54"/>
        <v>4445.16</v>
      </c>
      <c r="AI52" s="6">
        <f t="shared" si="54"/>
        <v>4078.5124999999998</v>
      </c>
      <c r="AJ52" s="6">
        <f t="shared" si="54"/>
        <v>3955.6875</v>
      </c>
      <c r="AK52" s="6">
        <f t="shared" si="54"/>
        <v>0</v>
      </c>
      <c r="AL52" s="6">
        <f t="shared" si="54"/>
        <v>3778.386</v>
      </c>
      <c r="AM52" s="6">
        <f t="shared" si="54"/>
        <v>3466.7356249999998</v>
      </c>
      <c r="AN52" s="6">
        <f t="shared" si="54"/>
        <v>3362.3343749999999</v>
      </c>
      <c r="AO52" s="6">
        <f t="shared" si="54"/>
        <v>0</v>
      </c>
      <c r="AQ52">
        <f>SUM(N52:Q52)</f>
        <v>78705</v>
      </c>
      <c r="AR52">
        <f>SUM(R52:U52)</f>
        <v>123110</v>
      </c>
      <c r="AS52">
        <f>SUM(V52:Y52)</f>
        <v>106371</v>
      </c>
      <c r="AT52" s="6">
        <f>SUM(Z52:AC52)</f>
        <v>28552</v>
      </c>
      <c r="AU52" s="6">
        <f>SUM(AD52:AG52)</f>
        <v>14681.6</v>
      </c>
      <c r="AV52" s="6">
        <f>SUM(AH52:AK52)</f>
        <v>12479.36</v>
      </c>
      <c r="AW52" s="6">
        <f>SUM(AL52:AO52)</f>
        <v>10607.456</v>
      </c>
    </row>
    <row r="53" spans="1:49" x14ac:dyDescent="0.2">
      <c r="A53" t="s">
        <v>287</v>
      </c>
      <c r="V53" s="6">
        <f>V52+V48</f>
        <v>214366</v>
      </c>
      <c r="W53" s="6">
        <f t="shared" ref="W53:AG53" si="55">W52+W48</f>
        <v>184552</v>
      </c>
      <c r="X53" s="6">
        <f t="shared" si="55"/>
        <v>187243</v>
      </c>
      <c r="Y53" s="6">
        <f t="shared" si="55"/>
        <v>192627</v>
      </c>
      <c r="Z53" s="6">
        <f t="shared" si="55"/>
        <v>210798</v>
      </c>
      <c r="AA53" s="6">
        <f t="shared" si="55"/>
        <v>190423</v>
      </c>
      <c r="AB53" s="6">
        <f t="shared" si="55"/>
        <v>171917</v>
      </c>
      <c r="AC53" s="6">
        <f t="shared" si="55"/>
        <v>201297</v>
      </c>
      <c r="AD53" s="6">
        <f t="shared" si="55"/>
        <v>164627.69600000003</v>
      </c>
      <c r="AE53" s="6">
        <f t="shared" si="55"/>
        <v>180504.174</v>
      </c>
      <c r="AF53" s="6">
        <f t="shared" si="55"/>
        <v>141737.44200000001</v>
      </c>
      <c r="AG53" s="6">
        <f t="shared" si="55"/>
        <v>169376.36800000002</v>
      </c>
      <c r="AH53" s="6">
        <f t="shared" ref="AH53:AO53" si="56">AH52+AH48</f>
        <v>146836.72800000003</v>
      </c>
      <c r="AI53" s="6">
        <f t="shared" si="56"/>
        <v>133998.08050000001</v>
      </c>
      <c r="AJ53" s="6">
        <f t="shared" si="56"/>
        <v>122796.24750000001</v>
      </c>
      <c r="AK53" s="6">
        <f t="shared" si="56"/>
        <v>126327.48800000001</v>
      </c>
      <c r="AL53" s="6">
        <f t="shared" si="56"/>
        <v>117691.64040000002</v>
      </c>
      <c r="AM53" s="6">
        <f t="shared" si="56"/>
        <v>107402.39002500002</v>
      </c>
      <c r="AN53" s="6">
        <f t="shared" si="56"/>
        <v>98434.782375000024</v>
      </c>
      <c r="AO53" s="6">
        <f t="shared" si="56"/>
        <v>101061.99040000001</v>
      </c>
      <c r="AQ53">
        <f>SUM(N53:Q53)</f>
        <v>0</v>
      </c>
      <c r="AR53">
        <f>SUM(R53:U53)</f>
        <v>0</v>
      </c>
      <c r="AS53">
        <f>SUM(V53:Y53)</f>
        <v>778788</v>
      </c>
      <c r="AT53" s="6">
        <f>SUM(Z53:AC53)</f>
        <v>774435</v>
      </c>
      <c r="AU53" s="6">
        <f>SUM(AD53:AG53)</f>
        <v>656245.68000000005</v>
      </c>
      <c r="AV53" s="6">
        <f>SUM(AH53:AK53)</f>
        <v>529958.54399999999</v>
      </c>
      <c r="AW53" s="6">
        <f>SUM(AL53:AO53)</f>
        <v>424590.80320000008</v>
      </c>
    </row>
    <row r="54" spans="1:49" s="2" customFormat="1" x14ac:dyDescent="0.2">
      <c r="A54"/>
    </row>
    <row r="55" spans="1:49" s="2" customFormat="1" x14ac:dyDescent="0.2"/>
    <row r="56" spans="1:49" s="3" customFormat="1" x14ac:dyDescent="0.2">
      <c r="A56" s="3" t="s">
        <v>13</v>
      </c>
    </row>
    <row r="57" spans="1:49" s="2" customFormat="1" x14ac:dyDescent="0.2">
      <c r="A57" s="2" t="s">
        <v>2</v>
      </c>
      <c r="J57" s="2">
        <f t="shared" ref="J57:AG57" si="57">J21+J6</f>
        <v>76949</v>
      </c>
      <c r="K57" s="2">
        <f t="shared" si="57"/>
        <v>74222</v>
      </c>
      <c r="L57" s="2">
        <f t="shared" si="57"/>
        <v>74237</v>
      </c>
      <c r="M57" s="2">
        <f t="shared" si="57"/>
        <v>95586</v>
      </c>
      <c r="N57" s="2">
        <f t="shared" si="57"/>
        <v>97469</v>
      </c>
      <c r="O57" s="2">
        <f t="shared" si="57"/>
        <v>93862</v>
      </c>
      <c r="P57" s="2">
        <f t="shared" si="57"/>
        <v>94151</v>
      </c>
      <c r="Q57" s="2">
        <f t="shared" si="57"/>
        <v>125444</v>
      </c>
      <c r="R57" s="2">
        <f t="shared" si="57"/>
        <v>131590</v>
      </c>
      <c r="S57" s="2">
        <f t="shared" si="57"/>
        <v>153009</v>
      </c>
      <c r="T57" s="2">
        <f t="shared" si="57"/>
        <v>154018</v>
      </c>
      <c r="U57" s="2">
        <f t="shared" si="57"/>
        <v>205721</v>
      </c>
      <c r="V57" s="2">
        <f t="shared" si="57"/>
        <v>198378</v>
      </c>
      <c r="W57" s="2">
        <f t="shared" si="57"/>
        <v>198478</v>
      </c>
      <c r="X57" s="2">
        <f t="shared" si="57"/>
        <v>171942</v>
      </c>
      <c r="Y57" s="2">
        <f t="shared" si="57"/>
        <v>207467</v>
      </c>
      <c r="Z57" s="2">
        <f t="shared" si="57"/>
        <v>202244</v>
      </c>
      <c r="AA57" s="2">
        <f t="shared" si="57"/>
        <v>194721</v>
      </c>
      <c r="AB57" s="20">
        <f t="shared" si="57"/>
        <v>164739</v>
      </c>
      <c r="AC57" s="20">
        <f>AC21+AC6</f>
        <v>205193</v>
      </c>
      <c r="AD57" s="20">
        <f t="shared" si="57"/>
        <v>171560.40000000002</v>
      </c>
      <c r="AE57" s="20">
        <f t="shared" si="57"/>
        <v>165512.85</v>
      </c>
      <c r="AF57" s="20">
        <f t="shared" si="57"/>
        <v>147991.35</v>
      </c>
      <c r="AG57" s="20">
        <f t="shared" si="57"/>
        <v>164154.40000000002</v>
      </c>
      <c r="AH57" s="20">
        <f t="shared" ref="AH57:AO57" si="58">AH21+AH6</f>
        <v>137509.80000000002</v>
      </c>
      <c r="AI57" s="20">
        <f t="shared" si="58"/>
        <v>132650.1925</v>
      </c>
      <c r="AJ57" s="20">
        <f t="shared" si="58"/>
        <v>118625.76750000002</v>
      </c>
      <c r="AK57" s="20">
        <f t="shared" si="58"/>
        <v>131323.52000000002</v>
      </c>
      <c r="AL57" s="20">
        <f t="shared" si="58"/>
        <v>110230.09800000001</v>
      </c>
      <c r="AM57" s="20">
        <f t="shared" si="58"/>
        <v>106324.07962500001</v>
      </c>
      <c r="AN57" s="20">
        <f t="shared" si="58"/>
        <v>95098.398375000019</v>
      </c>
      <c r="AO57" s="20">
        <f t="shared" si="58"/>
        <v>105058.81600000002</v>
      </c>
      <c r="AQ57">
        <f>SUM(N57:Q57)</f>
        <v>410926</v>
      </c>
      <c r="AR57">
        <f>SUM(R57:U57)</f>
        <v>644338</v>
      </c>
      <c r="AS57">
        <f>SUM(V57:Y57)</f>
        <v>776265</v>
      </c>
      <c r="AT57" s="6">
        <f>SUM(Z57:AC57)</f>
        <v>766897</v>
      </c>
      <c r="AU57" s="6">
        <f>SUM(AD57:AG57)</f>
        <v>649219</v>
      </c>
      <c r="AV57" s="6">
        <f>SUM(AH57:AK57)</f>
        <v>520109.28000000009</v>
      </c>
      <c r="AW57" s="6">
        <f>SUM(AL57:AO57)</f>
        <v>416711.39199999999</v>
      </c>
    </row>
    <row r="58" spans="1:49" x14ac:dyDescent="0.2">
      <c r="A58" t="s">
        <v>3</v>
      </c>
      <c r="N58">
        <v>23335</v>
      </c>
      <c r="O58">
        <v>20518</v>
      </c>
      <c r="P58">
        <v>22164</v>
      </c>
      <c r="Q58">
        <f>92182-P58-O58-N58</f>
        <v>26165</v>
      </c>
      <c r="R58">
        <v>42390</v>
      </c>
      <c r="S58">
        <v>43524</v>
      </c>
      <c r="T58">
        <v>62370</v>
      </c>
      <c r="U58">
        <f>205417-T58-S58-R58</f>
        <v>57133</v>
      </c>
      <c r="V58">
        <v>71384</v>
      </c>
      <c r="W58">
        <v>60708</v>
      </c>
      <c r="X58">
        <v>67102</v>
      </c>
      <c r="Y58">
        <f>254904-X58-W58-V58</f>
        <v>55710</v>
      </c>
      <c r="Z58">
        <v>55085</v>
      </c>
      <c r="AA58">
        <v>45684</v>
      </c>
      <c r="AB58">
        <v>45203</v>
      </c>
      <c r="AC58" s="6">
        <v>51424</v>
      </c>
      <c r="AD58" s="6">
        <f>AD57*(1-AD60)</f>
        <v>46321.308000000012</v>
      </c>
      <c r="AE58" s="6">
        <f>AE57*(1-AE60)</f>
        <v>44688.469500000007</v>
      </c>
      <c r="AF58" s="6">
        <f>AF57*(1-AF60)</f>
        <v>39957.664500000006</v>
      </c>
      <c r="AG58" s="6">
        <f>AG57*(1-AG60)</f>
        <v>44321.688000000009</v>
      </c>
      <c r="AH58" s="6">
        <f t="shared" ref="AH58:AO58" si="59">AH57*(1-AH60)</f>
        <v>37127.646000000008</v>
      </c>
      <c r="AI58" s="6">
        <f t="shared" si="59"/>
        <v>35815.551975000002</v>
      </c>
      <c r="AJ58" s="6">
        <f t="shared" si="59"/>
        <v>32028.957225000006</v>
      </c>
      <c r="AK58" s="6">
        <f t="shared" si="59"/>
        <v>35457.35040000001</v>
      </c>
      <c r="AL58" s="6">
        <f t="shared" si="59"/>
        <v>29762.126460000007</v>
      </c>
      <c r="AM58" s="6">
        <f t="shared" si="59"/>
        <v>28707.501498750007</v>
      </c>
      <c r="AN58" s="6">
        <f t="shared" si="59"/>
        <v>25676.567561250005</v>
      </c>
      <c r="AO58" s="6">
        <f t="shared" si="59"/>
        <v>28365.880320000007</v>
      </c>
      <c r="AQ58">
        <f>SUM(N58:Q58)</f>
        <v>92182</v>
      </c>
      <c r="AR58">
        <f>SUM(R58:U58)</f>
        <v>205417</v>
      </c>
      <c r="AS58">
        <f>SUM(V58:Y58)</f>
        <v>254904</v>
      </c>
      <c r="AT58" s="6">
        <f>SUM(Z58:AC58)</f>
        <v>197396</v>
      </c>
      <c r="AU58" s="6">
        <f>SUM(AD58:AG58)</f>
        <v>175289.13000000006</v>
      </c>
      <c r="AV58" s="6">
        <f>SUM(AH58:AK58)</f>
        <v>140429.50560000003</v>
      </c>
      <c r="AW58" s="6">
        <f>SUM(AL58:AO58)</f>
        <v>112512.07584000003</v>
      </c>
    </row>
    <row r="59" spans="1:49" s="2" customFormat="1" x14ac:dyDescent="0.2">
      <c r="A59" s="2" t="s">
        <v>194</v>
      </c>
      <c r="J59" s="2">
        <f t="shared" ref="J59:R59" si="60">J57-J58</f>
        <v>76949</v>
      </c>
      <c r="K59" s="2">
        <f t="shared" si="60"/>
        <v>74222</v>
      </c>
      <c r="L59" s="2">
        <f t="shared" si="60"/>
        <v>74237</v>
      </c>
      <c r="M59" s="2">
        <f t="shared" si="60"/>
        <v>95586</v>
      </c>
      <c r="N59" s="2">
        <f t="shared" si="60"/>
        <v>74134</v>
      </c>
      <c r="O59" s="2">
        <f t="shared" si="60"/>
        <v>73344</v>
      </c>
      <c r="P59" s="2">
        <f t="shared" si="60"/>
        <v>71987</v>
      </c>
      <c r="Q59" s="2">
        <f t="shared" si="60"/>
        <v>99279</v>
      </c>
      <c r="R59" s="2">
        <f t="shared" si="60"/>
        <v>89200</v>
      </c>
      <c r="S59" s="2">
        <f t="shared" ref="S59:AC59" si="61">S57-S58</f>
        <v>109485</v>
      </c>
      <c r="T59" s="2">
        <f t="shared" si="61"/>
        <v>91648</v>
      </c>
      <c r="U59" s="2">
        <f t="shared" si="61"/>
        <v>148588</v>
      </c>
      <c r="V59" s="2">
        <f t="shared" si="61"/>
        <v>126994</v>
      </c>
      <c r="W59" s="2">
        <f t="shared" si="61"/>
        <v>137770</v>
      </c>
      <c r="X59" s="2">
        <f t="shared" si="61"/>
        <v>104840</v>
      </c>
      <c r="Y59" s="2">
        <f t="shared" si="61"/>
        <v>151757</v>
      </c>
      <c r="Z59" s="2">
        <f t="shared" si="61"/>
        <v>147159</v>
      </c>
      <c r="AA59" s="2">
        <f t="shared" si="61"/>
        <v>149037</v>
      </c>
      <c r="AB59" s="2">
        <f t="shared" si="61"/>
        <v>119536</v>
      </c>
      <c r="AC59" s="20">
        <f t="shared" si="61"/>
        <v>153769</v>
      </c>
      <c r="AD59" s="20">
        <f>AD57-AD58</f>
        <v>125239.092</v>
      </c>
      <c r="AE59" s="20">
        <f>AE57-AE58</f>
        <v>120824.3805</v>
      </c>
      <c r="AF59" s="20">
        <f>AF57-AF58</f>
        <v>108033.68549999999</v>
      </c>
      <c r="AG59" s="20">
        <f t="shared" ref="AG59:AO59" si="62">AG57-AG58</f>
        <v>119832.71200000001</v>
      </c>
      <c r="AH59" s="20">
        <f t="shared" si="62"/>
        <v>100382.15400000001</v>
      </c>
      <c r="AI59" s="20">
        <f t="shared" si="62"/>
        <v>96834.640524999995</v>
      </c>
      <c r="AJ59" s="20">
        <f t="shared" si="62"/>
        <v>86596.810275000011</v>
      </c>
      <c r="AK59" s="20">
        <f t="shared" si="62"/>
        <v>95866.169600000008</v>
      </c>
      <c r="AL59" s="20">
        <f t="shared" si="62"/>
        <v>80467.971539999999</v>
      </c>
      <c r="AM59" s="20">
        <f t="shared" si="62"/>
        <v>77616.57812625001</v>
      </c>
      <c r="AN59" s="20">
        <f t="shared" si="62"/>
        <v>69421.830813750013</v>
      </c>
      <c r="AO59" s="20">
        <f t="shared" si="62"/>
        <v>76692.93568000001</v>
      </c>
      <c r="AQ59"/>
      <c r="AR59"/>
      <c r="AS59"/>
      <c r="AT59"/>
      <c r="AU59"/>
      <c r="AV59"/>
      <c r="AW59"/>
    </row>
    <row r="60" spans="1:49" x14ac:dyDescent="0.2">
      <c r="A60" t="s">
        <v>195</v>
      </c>
      <c r="J60" s="10">
        <f t="shared" ref="J60:R60" si="63">J59/J57</f>
        <v>1</v>
      </c>
      <c r="K60" s="10">
        <f t="shared" si="63"/>
        <v>1</v>
      </c>
      <c r="L60" s="10">
        <f t="shared" si="63"/>
        <v>1</v>
      </c>
      <c r="M60" s="10">
        <f t="shared" si="63"/>
        <v>1</v>
      </c>
      <c r="N60" s="10">
        <f t="shared" si="63"/>
        <v>0.76059054673793725</v>
      </c>
      <c r="O60" s="10">
        <f t="shared" si="63"/>
        <v>0.78140248449851912</v>
      </c>
      <c r="P60" s="10">
        <f t="shared" si="63"/>
        <v>0.76459092309162935</v>
      </c>
      <c r="Q60" s="18">
        <f t="shared" si="63"/>
        <v>0.79142087305889486</v>
      </c>
      <c r="R60" s="10">
        <f t="shared" si="63"/>
        <v>0.67786305950300174</v>
      </c>
      <c r="S60" s="10">
        <f t="shared" ref="S60:AC60" si="64">S59/S57</f>
        <v>0.7155461443444503</v>
      </c>
      <c r="T60" s="10">
        <f t="shared" si="64"/>
        <v>0.59504733213001082</v>
      </c>
      <c r="U60" s="10">
        <f t="shared" si="64"/>
        <v>0.72227920338711171</v>
      </c>
      <c r="V60" s="10">
        <f t="shared" si="64"/>
        <v>0.64016171148010359</v>
      </c>
      <c r="W60" s="10">
        <f t="shared" si="64"/>
        <v>0.69413234716190209</v>
      </c>
      <c r="X60" s="10">
        <f t="shared" si="64"/>
        <v>0.60974049388747364</v>
      </c>
      <c r="Y60" s="10">
        <f t="shared" si="64"/>
        <v>0.73147536716682648</v>
      </c>
      <c r="Z60" s="10">
        <f t="shared" si="64"/>
        <v>0.72763098039991303</v>
      </c>
      <c r="AA60" s="10">
        <f t="shared" si="64"/>
        <v>0.76538740043446774</v>
      </c>
      <c r="AB60" s="10">
        <f t="shared" si="64"/>
        <v>0.72560838659940874</v>
      </c>
      <c r="AC60" s="18">
        <f t="shared" si="64"/>
        <v>0.74938716233009894</v>
      </c>
      <c r="AD60" s="9">
        <v>0.73</v>
      </c>
      <c r="AE60" s="9">
        <v>0.73</v>
      </c>
      <c r="AF60" s="9">
        <v>0.73</v>
      </c>
      <c r="AG60" s="9">
        <v>0.73</v>
      </c>
      <c r="AH60" s="9">
        <v>0.73</v>
      </c>
      <c r="AI60" s="9">
        <v>0.73</v>
      </c>
      <c r="AJ60" s="9">
        <v>0.73</v>
      </c>
      <c r="AK60" s="9">
        <v>0.73</v>
      </c>
      <c r="AL60" s="9">
        <v>0.73</v>
      </c>
      <c r="AM60" s="9">
        <v>0.73</v>
      </c>
      <c r="AN60" s="9">
        <v>0.73</v>
      </c>
      <c r="AO60" s="9">
        <v>0.73</v>
      </c>
    </row>
    <row r="61" spans="1:49" x14ac:dyDescent="0.2">
      <c r="A61" t="s">
        <v>4</v>
      </c>
      <c r="N61">
        <v>32692</v>
      </c>
      <c r="O61">
        <v>32065</v>
      </c>
      <c r="P61">
        <v>36442</v>
      </c>
      <c r="Q61">
        <f>139772-P61-O61-N61</f>
        <v>38573</v>
      </c>
      <c r="R61">
        <v>39541</v>
      </c>
      <c r="S61">
        <v>40374</v>
      </c>
      <c r="T61">
        <v>44041</v>
      </c>
      <c r="U61">
        <f>170905-T61-S61-R61</f>
        <v>46949</v>
      </c>
      <c r="V61">
        <v>46131</v>
      </c>
      <c r="W61">
        <v>41595</v>
      </c>
      <c r="X61">
        <v>43269</v>
      </c>
      <c r="Y61">
        <f>178821-X61-W61-V61</f>
        <v>47826</v>
      </c>
      <c r="Z61">
        <v>52415</v>
      </c>
      <c r="AA61">
        <v>52480</v>
      </c>
      <c r="AB61">
        <v>45426</v>
      </c>
      <c r="AC61" s="6">
        <v>46316</v>
      </c>
      <c r="AD61" s="6">
        <f t="shared" ref="AD61:AO61" si="65">AC61*0.99</f>
        <v>45852.84</v>
      </c>
      <c r="AE61" s="6">
        <f t="shared" si="65"/>
        <v>45394.311599999994</v>
      </c>
      <c r="AF61" s="6">
        <f t="shared" si="65"/>
        <v>44940.368483999991</v>
      </c>
      <c r="AG61" s="6">
        <f t="shared" si="65"/>
        <v>44490.964799159992</v>
      </c>
      <c r="AH61" s="6">
        <f t="shared" si="65"/>
        <v>44046.055151168395</v>
      </c>
      <c r="AI61" s="6">
        <f t="shared" si="65"/>
        <v>43605.59459965671</v>
      </c>
      <c r="AJ61" s="6">
        <f t="shared" si="65"/>
        <v>43169.538653660144</v>
      </c>
      <c r="AK61" s="6">
        <f t="shared" si="65"/>
        <v>42737.843267123542</v>
      </c>
      <c r="AL61" s="6">
        <f t="shared" si="65"/>
        <v>42310.464834452308</v>
      </c>
      <c r="AM61" s="6">
        <f t="shared" si="65"/>
        <v>41887.360186107784</v>
      </c>
      <c r="AN61" s="6">
        <f t="shared" si="65"/>
        <v>41468.486584246704</v>
      </c>
      <c r="AO61" s="6">
        <f t="shared" si="65"/>
        <v>41053.80171840424</v>
      </c>
      <c r="AQ61">
        <f>SUM(N61:Q61)</f>
        <v>139772</v>
      </c>
      <c r="AR61">
        <f>SUM(R61:U61)</f>
        <v>170905</v>
      </c>
      <c r="AS61">
        <f>SUM(V61:Y61)</f>
        <v>178821</v>
      </c>
      <c r="AT61" s="6">
        <f>SUM(Z61:AC61)</f>
        <v>196637</v>
      </c>
      <c r="AU61" s="6">
        <f>SUM(AD61:AG61)</f>
        <v>180678.48488315995</v>
      </c>
      <c r="AV61" s="6">
        <f>SUM(AH61:AK61)</f>
        <v>173559.0316716088</v>
      </c>
      <c r="AW61" s="6">
        <f>SUM(AL61:AO61)</f>
        <v>166720.11332321103</v>
      </c>
    </row>
    <row r="62" spans="1:49" x14ac:dyDescent="0.2">
      <c r="A62" t="s">
        <v>5</v>
      </c>
      <c r="N62">
        <v>18717</v>
      </c>
      <c r="O62">
        <v>11795</v>
      </c>
      <c r="P62">
        <v>16822</v>
      </c>
      <c r="Q62">
        <f>63569-P62-O62-N62</f>
        <v>16235</v>
      </c>
      <c r="R62">
        <v>20238</v>
      </c>
      <c r="S62">
        <v>15758</v>
      </c>
      <c r="T62">
        <v>24625</v>
      </c>
      <c r="U62">
        <f>81914-T62-S62-R62</f>
        <v>21293</v>
      </c>
      <c r="V62">
        <v>26214</v>
      </c>
      <c r="W62">
        <v>21686</v>
      </c>
      <c r="X62">
        <v>27239</v>
      </c>
      <c r="Y62">
        <f>105414-X62-W62-V62</f>
        <v>30275</v>
      </c>
      <c r="Z62">
        <v>42498</v>
      </c>
      <c r="AA62">
        <v>35279</v>
      </c>
      <c r="AB62">
        <v>31803</v>
      </c>
      <c r="AC62" s="6">
        <v>38080</v>
      </c>
      <c r="AD62" s="6">
        <f t="shared" ref="AD62:AO62" si="66">AC62*0.99</f>
        <v>37699.199999999997</v>
      </c>
      <c r="AE62" s="6">
        <f t="shared" si="66"/>
        <v>37322.207999999999</v>
      </c>
      <c r="AF62" s="6">
        <f t="shared" si="66"/>
        <v>36948.985919999999</v>
      </c>
      <c r="AG62" s="6">
        <f t="shared" si="66"/>
        <v>36579.496060799996</v>
      </c>
      <c r="AH62" s="6">
        <f t="shared" si="66"/>
        <v>36213.701100191996</v>
      </c>
      <c r="AI62" s="6">
        <f t="shared" si="66"/>
        <v>35851.564089190077</v>
      </c>
      <c r="AJ62" s="6">
        <f t="shared" si="66"/>
        <v>35493.048448298177</v>
      </c>
      <c r="AK62" s="6">
        <f t="shared" si="66"/>
        <v>35138.117963815195</v>
      </c>
      <c r="AL62" s="6">
        <f t="shared" si="66"/>
        <v>34786.736784177047</v>
      </c>
      <c r="AM62" s="6">
        <f t="shared" si="66"/>
        <v>34438.869416335277</v>
      </c>
      <c r="AN62" s="6">
        <f t="shared" si="66"/>
        <v>34094.480722171924</v>
      </c>
      <c r="AO62" s="6">
        <f t="shared" si="66"/>
        <v>33753.535914950204</v>
      </c>
      <c r="AQ62">
        <f>SUM(N62:Q62)</f>
        <v>63569</v>
      </c>
      <c r="AR62">
        <f>SUM(R62:U62)</f>
        <v>81914</v>
      </c>
      <c r="AS62">
        <f>SUM(V62:Y62)</f>
        <v>105414</v>
      </c>
      <c r="AT62" s="6">
        <f>SUM(Z62:AC62)</f>
        <v>147660</v>
      </c>
      <c r="AU62" s="6">
        <f>SUM(AD62:AG62)</f>
        <v>148549.88998079998</v>
      </c>
      <c r="AV62" s="6">
        <f>SUM(AH62:AK62)</f>
        <v>142696.43160149545</v>
      </c>
      <c r="AW62" s="6">
        <f>SUM(AL62:AO62)</f>
        <v>137073.62283763447</v>
      </c>
    </row>
    <row r="63" spans="1:49" x14ac:dyDescent="0.2">
      <c r="A63" t="s">
        <v>10</v>
      </c>
      <c r="N63">
        <v>23620</v>
      </c>
      <c r="O63">
        <v>22622</v>
      </c>
      <c r="P63">
        <v>23752</v>
      </c>
      <c r="Q63">
        <f>97489-P63-O63-N63</f>
        <v>27495</v>
      </c>
      <c r="R63">
        <v>26145</v>
      </c>
      <c r="S63">
        <v>31292</v>
      </c>
      <c r="T63">
        <v>40784</v>
      </c>
      <c r="U63">
        <f>129349-T63-S63-R63</f>
        <v>31128</v>
      </c>
      <c r="V63">
        <v>37870</v>
      </c>
      <c r="W63">
        <v>39719</v>
      </c>
      <c r="X63">
        <v>33971</v>
      </c>
      <c r="Y63">
        <f>159019-X63-W63-V63</f>
        <v>47459</v>
      </c>
      <c r="Z63">
        <v>46870</v>
      </c>
      <c r="AA63">
        <v>53935</v>
      </c>
      <c r="AB63">
        <v>53742</v>
      </c>
      <c r="AC63" s="6">
        <v>61700</v>
      </c>
      <c r="AD63" s="6">
        <f t="shared" ref="AD63:AO63" si="67">AC63*0.99</f>
        <v>61083</v>
      </c>
      <c r="AE63" s="6">
        <f t="shared" si="67"/>
        <v>60472.17</v>
      </c>
      <c r="AF63" s="6">
        <f t="shared" si="67"/>
        <v>59867.448299999996</v>
      </c>
      <c r="AG63" s="6">
        <f t="shared" si="67"/>
        <v>59268.773816999994</v>
      </c>
      <c r="AH63" s="6">
        <f t="shared" si="67"/>
        <v>58676.086078829991</v>
      </c>
      <c r="AI63" s="6">
        <f t="shared" si="67"/>
        <v>58089.325218041689</v>
      </c>
      <c r="AJ63" s="6">
        <f t="shared" si="67"/>
        <v>57508.431965861273</v>
      </c>
      <c r="AK63" s="6">
        <f t="shared" si="67"/>
        <v>56933.347646202659</v>
      </c>
      <c r="AL63" s="6">
        <f t="shared" si="67"/>
        <v>56364.014169740629</v>
      </c>
      <c r="AM63" s="6">
        <f t="shared" si="67"/>
        <v>55800.374028043225</v>
      </c>
      <c r="AN63" s="6">
        <f t="shared" si="67"/>
        <v>55242.370287762795</v>
      </c>
      <c r="AO63" s="6">
        <f t="shared" si="67"/>
        <v>54689.946584885169</v>
      </c>
      <c r="AQ63">
        <f>SUM(N63:Q63)</f>
        <v>97489</v>
      </c>
      <c r="AR63">
        <f>SUM(R63:U63)</f>
        <v>129349</v>
      </c>
      <c r="AS63">
        <f>SUM(V63:Y63)</f>
        <v>159019</v>
      </c>
      <c r="AT63" s="6">
        <f>SUM(Z63:AC63)</f>
        <v>216247</v>
      </c>
      <c r="AU63" s="6">
        <f>SUM(AD63:AG63)</f>
        <v>240691.39211700001</v>
      </c>
      <c r="AV63" s="6">
        <f>SUM(AH63:AK63)</f>
        <v>231207.19090893562</v>
      </c>
      <c r="AW63" s="6">
        <f>SUM(AL63:AO63)</f>
        <v>222096.70507043181</v>
      </c>
    </row>
    <row r="64" spans="1:49" x14ac:dyDescent="0.2">
      <c r="A64" t="s">
        <v>167</v>
      </c>
      <c r="N64">
        <v>66</v>
      </c>
      <c r="O64">
        <v>47</v>
      </c>
      <c r="P64">
        <v>28</v>
      </c>
      <c r="Q64">
        <f>97-P64-O64-N64</f>
        <v>-44</v>
      </c>
      <c r="AQ64">
        <f>SUM(N64:Q64)</f>
        <v>97</v>
      </c>
      <c r="AR64">
        <f>SUM(R64:U64)</f>
        <v>0</v>
      </c>
      <c r="AS64">
        <f>SUM(V64:Y64)</f>
        <v>0</v>
      </c>
      <c r="AT64" s="6">
        <f>SUM(Z64:AC64)</f>
        <v>0</v>
      </c>
      <c r="AU64" s="6">
        <f>SUM(AD64:AG64)</f>
        <v>0</v>
      </c>
      <c r="AV64" s="6">
        <f>SUM(AH64:AK64)</f>
        <v>0</v>
      </c>
      <c r="AW64" s="6">
        <f>SUM(AL64:AO64)</f>
        <v>0</v>
      </c>
    </row>
    <row r="65" spans="1:49" x14ac:dyDescent="0.2">
      <c r="A65" t="s">
        <v>196</v>
      </c>
      <c r="J65">
        <f t="shared" ref="J65:R65" si="68">J63+J62+J61+J64</f>
        <v>0</v>
      </c>
      <c r="K65">
        <f t="shared" si="68"/>
        <v>0</v>
      </c>
      <c r="L65">
        <f t="shared" si="68"/>
        <v>0</v>
      </c>
      <c r="M65">
        <f t="shared" si="68"/>
        <v>0</v>
      </c>
      <c r="N65">
        <f t="shared" si="68"/>
        <v>75095</v>
      </c>
      <c r="O65">
        <f t="shared" si="68"/>
        <v>66529</v>
      </c>
      <c r="P65">
        <f t="shared" si="68"/>
        <v>77044</v>
      </c>
      <c r="Q65">
        <f t="shared" si="68"/>
        <v>82259</v>
      </c>
      <c r="R65">
        <f t="shared" si="68"/>
        <v>85924</v>
      </c>
      <c r="S65">
        <f t="shared" ref="S65:AB65" si="69">S63+S62+S61</f>
        <v>87424</v>
      </c>
      <c r="T65">
        <f t="shared" si="69"/>
        <v>109450</v>
      </c>
      <c r="U65">
        <f t="shared" si="69"/>
        <v>99370</v>
      </c>
      <c r="V65">
        <f t="shared" si="69"/>
        <v>110215</v>
      </c>
      <c r="W65">
        <f t="shared" si="69"/>
        <v>103000</v>
      </c>
      <c r="X65">
        <f t="shared" si="69"/>
        <v>104479</v>
      </c>
      <c r="Y65">
        <f t="shared" si="69"/>
        <v>125560</v>
      </c>
      <c r="Z65">
        <f t="shared" si="69"/>
        <v>141783</v>
      </c>
      <c r="AA65">
        <f t="shared" si="69"/>
        <v>141694</v>
      </c>
      <c r="AB65">
        <f t="shared" si="69"/>
        <v>130971</v>
      </c>
      <c r="AC65" s="6">
        <f>AC63+AC62+AC61</f>
        <v>146096</v>
      </c>
      <c r="AD65" s="6">
        <f>AD63+AD62+AD61</f>
        <v>144635.03999999998</v>
      </c>
      <c r="AE65" s="6">
        <f>AE63+AE62+AE61</f>
        <v>143188.68959999998</v>
      </c>
      <c r="AF65" s="6">
        <f>AF63+AF62+AF61</f>
        <v>141756.80270399997</v>
      </c>
      <c r="AG65" s="6">
        <f>AG63+AG62+AG61</f>
        <v>140339.23467695998</v>
      </c>
      <c r="AH65" s="6">
        <f t="shared" ref="AH65:AO65" si="70">AH63+AH62+AH61</f>
        <v>138935.84233019038</v>
      </c>
      <c r="AI65" s="6">
        <f t="shared" si="70"/>
        <v>137546.48390688846</v>
      </c>
      <c r="AJ65" s="6">
        <f t="shared" si="70"/>
        <v>136171.01906781958</v>
      </c>
      <c r="AK65" s="6">
        <f t="shared" si="70"/>
        <v>134809.30887714139</v>
      </c>
      <c r="AL65" s="6">
        <f t="shared" si="70"/>
        <v>133461.21578837</v>
      </c>
      <c r="AM65" s="6">
        <f t="shared" si="70"/>
        <v>132126.60363048629</v>
      </c>
      <c r="AN65" s="6">
        <f t="shared" si="70"/>
        <v>130805.33759418142</v>
      </c>
      <c r="AO65" s="6">
        <f t="shared" si="70"/>
        <v>129497.28421823961</v>
      </c>
    </row>
    <row r="66" spans="1:49" s="2" customFormat="1" x14ac:dyDescent="0.2">
      <c r="A66" s="2" t="s">
        <v>197</v>
      </c>
      <c r="N66" s="2">
        <f>N59-N65</f>
        <v>-961</v>
      </c>
      <c r="O66" s="2">
        <f>O59-O65</f>
        <v>6815</v>
      </c>
      <c r="P66" s="2">
        <f>P59-P65</f>
        <v>-5057</v>
      </c>
      <c r="Q66" s="2">
        <f>Q59-Q65</f>
        <v>17020</v>
      </c>
      <c r="R66" s="2">
        <f>R59-R65</f>
        <v>3276</v>
      </c>
      <c r="S66" s="2">
        <f t="shared" ref="S66:AB66" si="71">S59-S65</f>
        <v>22061</v>
      </c>
      <c r="T66" s="2">
        <f t="shared" si="71"/>
        <v>-17802</v>
      </c>
      <c r="U66" s="2">
        <f t="shared" si="71"/>
        <v>49218</v>
      </c>
      <c r="V66" s="2">
        <f t="shared" si="71"/>
        <v>16779</v>
      </c>
      <c r="W66" s="2">
        <f t="shared" si="71"/>
        <v>34770</v>
      </c>
      <c r="X66" s="2">
        <f t="shared" si="71"/>
        <v>361</v>
      </c>
      <c r="Y66" s="2">
        <f t="shared" si="71"/>
        <v>26197</v>
      </c>
      <c r="Z66" s="2">
        <f t="shared" si="71"/>
        <v>5376</v>
      </c>
      <c r="AA66" s="2">
        <f t="shared" si="71"/>
        <v>7343</v>
      </c>
      <c r="AB66" s="20">
        <f t="shared" si="71"/>
        <v>-11435</v>
      </c>
      <c r="AC66" s="20">
        <f>AC59-AC65</f>
        <v>7673</v>
      </c>
      <c r="AD66" s="20">
        <f>AD59-AD65</f>
        <v>-19395.947999999975</v>
      </c>
      <c r="AE66" s="20">
        <f>AE59-AE65</f>
        <v>-22364.309099999984</v>
      </c>
      <c r="AF66" s="20">
        <f>AF59-AF65</f>
        <v>-33723.11720399998</v>
      </c>
      <c r="AG66" s="20">
        <f t="shared" ref="AG66:AO66" si="72">AG59-AG65</f>
        <v>-20506.522676959969</v>
      </c>
      <c r="AH66" s="20">
        <f t="shared" si="72"/>
        <v>-38553.688330190373</v>
      </c>
      <c r="AI66" s="20">
        <f t="shared" si="72"/>
        <v>-40711.843381888466</v>
      </c>
      <c r="AJ66" s="20">
        <f t="shared" si="72"/>
        <v>-49574.208792819569</v>
      </c>
      <c r="AK66" s="20">
        <f t="shared" si="72"/>
        <v>-38943.139277141381</v>
      </c>
      <c r="AL66" s="20">
        <f t="shared" si="72"/>
        <v>-52993.24424837</v>
      </c>
      <c r="AM66" s="20">
        <f t="shared" si="72"/>
        <v>-54510.025504236284</v>
      </c>
      <c r="AN66" s="20">
        <f t="shared" si="72"/>
        <v>-61383.506780431402</v>
      </c>
      <c r="AO66" s="20">
        <f t="shared" si="72"/>
        <v>-52804.348538239603</v>
      </c>
      <c r="AQ66"/>
      <c r="AR66"/>
      <c r="AS66"/>
      <c r="AT66"/>
      <c r="AU66"/>
      <c r="AV66"/>
      <c r="AW66"/>
    </row>
    <row r="67" spans="1:49" x14ac:dyDescent="0.2">
      <c r="A67" t="s">
        <v>6</v>
      </c>
      <c r="N67">
        <v>-4232</v>
      </c>
      <c r="O67">
        <v>-13514</v>
      </c>
      <c r="P67">
        <v>-13548</v>
      </c>
      <c r="Q67">
        <f>-44851-P67-O67-N67</f>
        <v>-13557</v>
      </c>
      <c r="R67">
        <v>-13427</v>
      </c>
      <c r="S67">
        <v>-13425</v>
      </c>
      <c r="T67">
        <v>-17468</v>
      </c>
      <c r="U67">
        <f>-66297-T67-S67-R67</f>
        <v>-21977</v>
      </c>
      <c r="V67">
        <v>-1929</v>
      </c>
      <c r="W67">
        <v>-1701</v>
      </c>
      <c r="X67">
        <v>-1633</v>
      </c>
      <c r="Y67">
        <f>-6896-X67-W67-V67</f>
        <v>-1633</v>
      </c>
      <c r="Z67">
        <v>-1597</v>
      </c>
      <c r="AA67">
        <v>-1616</v>
      </c>
      <c r="AB67">
        <f>-1525</f>
        <v>-1525</v>
      </c>
      <c r="AC67" s="6">
        <v>-1302</v>
      </c>
      <c r="AD67" s="6">
        <f>Schedule!N163</f>
        <v>-1262.6757398784846</v>
      </c>
      <c r="AE67" s="6">
        <f>Schedule!O163</f>
        <v>-1262.6757398784846</v>
      </c>
      <c r="AF67" s="6">
        <f>Schedule!P163</f>
        <v>-1262.6757398784846</v>
      </c>
      <c r="AG67" s="6">
        <f>Schedule!Q163</f>
        <v>-1262.6757398784846</v>
      </c>
      <c r="AH67" s="6">
        <f>Schedule!R163</f>
        <v>-1262.6757398784846</v>
      </c>
      <c r="AI67" s="6">
        <f>Schedule!S163</f>
        <v>-1262.6757398784846</v>
      </c>
      <c r="AJ67" s="6">
        <f>Schedule!T163</f>
        <v>-1262.6757398784846</v>
      </c>
      <c r="AK67" s="6">
        <f>Schedule!U163</f>
        <v>-1262.6757398784846</v>
      </c>
      <c r="AL67" s="6">
        <f>Schedule!V163</f>
        <v>-1262.6757398784846</v>
      </c>
      <c r="AM67" s="6">
        <f>Schedule!W163</f>
        <v>-1262.6757398784846</v>
      </c>
      <c r="AN67" s="6">
        <f>Schedule!X163</f>
        <v>0</v>
      </c>
      <c r="AO67" s="6">
        <f>Schedule!Y163</f>
        <v>0</v>
      </c>
      <c r="AQ67">
        <f t="shared" ref="AQ67:AQ73" si="73">SUM(N67:Q67)</f>
        <v>-44851</v>
      </c>
      <c r="AR67">
        <f t="shared" ref="AR67:AR73" si="74">SUM(R67:U67)</f>
        <v>-66297</v>
      </c>
      <c r="AS67">
        <f t="shared" ref="AS67:AS73" si="75">SUM(V67:Y67)</f>
        <v>-6896</v>
      </c>
      <c r="AT67" s="6">
        <f t="shared" ref="AT67:AT73" si="76">SUM(Z67:AC67)</f>
        <v>-6040</v>
      </c>
      <c r="AU67" s="6">
        <f t="shared" ref="AU67:AU73" si="77">SUM(AD67:AG67)</f>
        <v>-5050.7029595139384</v>
      </c>
      <c r="AV67" s="6">
        <f t="shared" ref="AV67:AV73" si="78">SUM(AH67:AK67)</f>
        <v>-5050.7029595139384</v>
      </c>
      <c r="AW67" s="6">
        <f t="shared" ref="AW67:AW73" si="79">SUM(AL67:AO67)</f>
        <v>-2525.3514797569692</v>
      </c>
    </row>
    <row r="68" spans="1:49" outlineLevel="1" x14ac:dyDescent="0.2">
      <c r="A68" t="s">
        <v>321</v>
      </c>
      <c r="V68">
        <v>-78152</v>
      </c>
      <c r="AB68">
        <v>93519</v>
      </c>
      <c r="AC68" s="6"/>
      <c r="AQ68">
        <f t="shared" si="73"/>
        <v>0</v>
      </c>
      <c r="AR68">
        <f t="shared" si="74"/>
        <v>0</v>
      </c>
      <c r="AS68">
        <f t="shared" si="75"/>
        <v>-78152</v>
      </c>
      <c r="AT68" s="6">
        <f t="shared" si="76"/>
        <v>93519</v>
      </c>
      <c r="AU68" s="6">
        <f t="shared" si="77"/>
        <v>0</v>
      </c>
      <c r="AV68" s="6">
        <f t="shared" si="78"/>
        <v>0</v>
      </c>
      <c r="AW68" s="6">
        <f t="shared" si="79"/>
        <v>0</v>
      </c>
    </row>
    <row r="69" spans="1:49" outlineLevel="1" x14ac:dyDescent="0.2">
      <c r="A69" t="s">
        <v>302</v>
      </c>
      <c r="V69">
        <v>-7148</v>
      </c>
      <c r="AC69" s="6"/>
      <c r="AQ69">
        <f t="shared" si="73"/>
        <v>0</v>
      </c>
      <c r="AR69">
        <f t="shared" si="74"/>
        <v>0</v>
      </c>
      <c r="AS69">
        <f t="shared" si="75"/>
        <v>-7148</v>
      </c>
      <c r="AT69" s="6">
        <f t="shared" si="76"/>
        <v>0</v>
      </c>
      <c r="AU69" s="6">
        <f t="shared" si="77"/>
        <v>0</v>
      </c>
      <c r="AV69" s="6">
        <f t="shared" si="78"/>
        <v>0</v>
      </c>
      <c r="AW69" s="6">
        <f t="shared" si="79"/>
        <v>0</v>
      </c>
    </row>
    <row r="70" spans="1:49" outlineLevel="1" x14ac:dyDescent="0.2">
      <c r="A70" t="s">
        <v>303</v>
      </c>
      <c r="V70">
        <f>-V166</f>
        <v>5338</v>
      </c>
      <c r="X70">
        <f>-X166</f>
        <v>7158</v>
      </c>
      <c r="AC70" s="6"/>
      <c r="AQ70">
        <f t="shared" si="73"/>
        <v>0</v>
      </c>
      <c r="AR70">
        <f t="shared" si="74"/>
        <v>0</v>
      </c>
      <c r="AS70">
        <f t="shared" si="75"/>
        <v>12496</v>
      </c>
      <c r="AT70" s="6">
        <f t="shared" si="76"/>
        <v>0</v>
      </c>
      <c r="AU70" s="6">
        <f t="shared" si="77"/>
        <v>0</v>
      </c>
      <c r="AV70" s="6">
        <f t="shared" si="78"/>
        <v>0</v>
      </c>
      <c r="AW70" s="6">
        <f t="shared" si="79"/>
        <v>0</v>
      </c>
    </row>
    <row r="71" spans="1:49" outlineLevel="1" x14ac:dyDescent="0.2">
      <c r="A71" t="s">
        <v>60</v>
      </c>
      <c r="Z71">
        <v>4628</v>
      </c>
      <c r="AC71" s="6"/>
      <c r="AQ71">
        <f t="shared" si="73"/>
        <v>0</v>
      </c>
      <c r="AR71">
        <f t="shared" si="74"/>
        <v>0</v>
      </c>
      <c r="AS71">
        <f t="shared" si="75"/>
        <v>0</v>
      </c>
      <c r="AT71" s="6">
        <f t="shared" si="76"/>
        <v>4628</v>
      </c>
      <c r="AU71" s="6">
        <f t="shared" si="77"/>
        <v>0</v>
      </c>
      <c r="AV71" s="6">
        <f t="shared" si="78"/>
        <v>0</v>
      </c>
      <c r="AW71" s="6">
        <f t="shared" si="79"/>
        <v>0</v>
      </c>
    </row>
    <row r="72" spans="1:49" outlineLevel="1" x14ac:dyDescent="0.2">
      <c r="A72" t="s">
        <v>97</v>
      </c>
      <c r="T72">
        <v>3193</v>
      </c>
      <c r="V72">
        <v>2049</v>
      </c>
      <c r="W72">
        <v>1851</v>
      </c>
      <c r="X72">
        <v>1485</v>
      </c>
      <c r="Y72">
        <f>6700-X72-W72-V72</f>
        <v>1315</v>
      </c>
      <c r="Z72">
        <v>1477</v>
      </c>
      <c r="AA72">
        <v>2032</v>
      </c>
      <c r="AB72">
        <v>3737</v>
      </c>
      <c r="AC72" s="6">
        <f>Schedule!M174</f>
        <v>1881.5140000000001</v>
      </c>
      <c r="AD72" s="6">
        <f>Schedule!N174</f>
        <v>0</v>
      </c>
      <c r="AE72" s="6">
        <f>Schedule!O174</f>
        <v>0</v>
      </c>
      <c r="AF72" s="6">
        <f>Schedule!P174</f>
        <v>0</v>
      </c>
      <c r="AG72" s="6">
        <f>Schedule!Q174</f>
        <v>0</v>
      </c>
      <c r="AH72" s="6">
        <f>Schedule!R174</f>
        <v>0</v>
      </c>
      <c r="AI72" s="6">
        <f>Schedule!S174</f>
        <v>0</v>
      </c>
      <c r="AJ72" s="6">
        <f>Schedule!T174</f>
        <v>0</v>
      </c>
      <c r="AK72" s="6">
        <f>Schedule!U174</f>
        <v>0</v>
      </c>
      <c r="AL72" s="6">
        <f>Schedule!V174</f>
        <v>0</v>
      </c>
      <c r="AM72" s="6">
        <f>Schedule!W174</f>
        <v>0</v>
      </c>
      <c r="AN72" s="6">
        <f>Schedule!X174</f>
        <v>0</v>
      </c>
      <c r="AO72" s="6">
        <f>Schedule!Y174</f>
        <v>0</v>
      </c>
      <c r="AQ72">
        <f t="shared" si="73"/>
        <v>0</v>
      </c>
      <c r="AR72">
        <f t="shared" si="74"/>
        <v>3193</v>
      </c>
      <c r="AS72">
        <f t="shared" si="75"/>
        <v>6700</v>
      </c>
      <c r="AT72" s="6">
        <f t="shared" si="76"/>
        <v>9127.5139999999992</v>
      </c>
      <c r="AU72" s="6">
        <f t="shared" si="77"/>
        <v>0</v>
      </c>
      <c r="AV72" s="6">
        <f t="shared" si="78"/>
        <v>0</v>
      </c>
      <c r="AW72" s="6">
        <f t="shared" si="79"/>
        <v>0</v>
      </c>
    </row>
    <row r="73" spans="1:49" outlineLevel="1" x14ac:dyDescent="0.2">
      <c r="A73" t="s">
        <v>304</v>
      </c>
      <c r="T73">
        <v>47</v>
      </c>
      <c r="V73">
        <v>705</v>
      </c>
      <c r="W73">
        <v>69</v>
      </c>
      <c r="X73">
        <v>27</v>
      </c>
      <c r="Y73">
        <f>632-X73-W73-V73</f>
        <v>-169</v>
      </c>
      <c r="Z73">
        <v>75</v>
      </c>
      <c r="AA73">
        <v>-223</v>
      </c>
      <c r="AB73">
        <v>2</v>
      </c>
      <c r="AC73" s="6"/>
      <c r="AQ73">
        <f t="shared" si="73"/>
        <v>0</v>
      </c>
      <c r="AR73">
        <f t="shared" si="74"/>
        <v>47</v>
      </c>
      <c r="AS73">
        <f t="shared" si="75"/>
        <v>632</v>
      </c>
      <c r="AT73" s="6">
        <f t="shared" si="76"/>
        <v>-146</v>
      </c>
      <c r="AU73" s="6">
        <f t="shared" si="77"/>
        <v>0</v>
      </c>
      <c r="AV73" s="6">
        <f t="shared" si="78"/>
        <v>0</v>
      </c>
      <c r="AW73" s="6">
        <f t="shared" si="79"/>
        <v>0</v>
      </c>
    </row>
    <row r="74" spans="1:49" x14ac:dyDescent="0.2">
      <c r="A74" t="s">
        <v>7</v>
      </c>
      <c r="N74">
        <v>1567</v>
      </c>
      <c r="O74">
        <v>5253</v>
      </c>
      <c r="P74">
        <v>7751</v>
      </c>
      <c r="Q74">
        <f>20063-P74-N74-O74</f>
        <v>5492</v>
      </c>
      <c r="R74">
        <v>4960</v>
      </c>
      <c r="S74">
        <v>3240</v>
      </c>
      <c r="T74">
        <v>-804</v>
      </c>
      <c r="U74">
        <f>8683-T74-S74-R74</f>
        <v>1287</v>
      </c>
      <c r="V74">
        <f>V68+V69+V70+V72+V73+V71</f>
        <v>-77208</v>
      </c>
      <c r="W74">
        <f t="shared" ref="W74" si="80">W68+W69+W70+W72+W73+W71</f>
        <v>1920</v>
      </c>
      <c r="X74">
        <f t="shared" ref="X74" si="81">X68+X69+X70+X72+X73+X71</f>
        <v>8670</v>
      </c>
      <c r="Y74">
        <f t="shared" ref="Y74" si="82">Y68+Y69+Y70+Y72+Y73+Y71</f>
        <v>1146</v>
      </c>
      <c r="Z74">
        <f>Z68+Z69+Z70+Z72+Z73+Z71</f>
        <v>6180</v>
      </c>
      <c r="AA74">
        <f>AA68+AA69+AA70+AA72+AA73+AA71</f>
        <v>1809</v>
      </c>
      <c r="AB74">
        <f>AB68+AB69+AB70+AB72+AB73+AB71</f>
        <v>97258</v>
      </c>
      <c r="AC74">
        <v>-4218</v>
      </c>
    </row>
    <row r="75" spans="1:49" s="2" customFormat="1" x14ac:dyDescent="0.2">
      <c r="A75" s="2" t="s">
        <v>198</v>
      </c>
      <c r="N75" s="2">
        <f t="shared" ref="N75:AO75" si="83">N66+N67+N74</f>
        <v>-3626</v>
      </c>
      <c r="O75" s="2">
        <f t="shared" si="83"/>
        <v>-1446</v>
      </c>
      <c r="P75" s="2">
        <f t="shared" si="83"/>
        <v>-10854</v>
      </c>
      <c r="Q75" s="2">
        <f t="shared" si="83"/>
        <v>8955</v>
      </c>
      <c r="R75" s="2">
        <f t="shared" si="83"/>
        <v>-5191</v>
      </c>
      <c r="S75" s="2">
        <f t="shared" si="83"/>
        <v>11876</v>
      </c>
      <c r="T75" s="2">
        <f t="shared" si="83"/>
        <v>-36074</v>
      </c>
      <c r="U75" s="2">
        <f t="shared" si="83"/>
        <v>28528</v>
      </c>
      <c r="V75" s="2">
        <f t="shared" si="83"/>
        <v>-62358</v>
      </c>
      <c r="W75" s="2">
        <f t="shared" si="83"/>
        <v>34989</v>
      </c>
      <c r="X75" s="2">
        <f t="shared" si="83"/>
        <v>7398</v>
      </c>
      <c r="Y75" s="2">
        <f t="shared" si="83"/>
        <v>25710</v>
      </c>
      <c r="Z75" s="2">
        <f t="shared" si="83"/>
        <v>9959</v>
      </c>
      <c r="AA75" s="2">
        <f t="shared" si="83"/>
        <v>7536</v>
      </c>
      <c r="AB75" s="2">
        <f t="shared" si="83"/>
        <v>84298</v>
      </c>
      <c r="AC75" s="20">
        <f t="shared" si="83"/>
        <v>2153</v>
      </c>
      <c r="AD75" s="20">
        <f t="shared" si="83"/>
        <v>-20658.623739878458</v>
      </c>
      <c r="AE75" s="20">
        <f t="shared" si="83"/>
        <v>-23626.984839878467</v>
      </c>
      <c r="AF75" s="20">
        <f t="shared" si="83"/>
        <v>-34985.792943878463</v>
      </c>
      <c r="AG75" s="20">
        <f t="shared" si="83"/>
        <v>-21769.198416838452</v>
      </c>
      <c r="AH75" s="20">
        <f t="shared" si="83"/>
        <v>-39816.364070068856</v>
      </c>
      <c r="AI75" s="20">
        <f t="shared" si="83"/>
        <v>-41974.519121766949</v>
      </c>
      <c r="AJ75" s="20">
        <f t="shared" si="83"/>
        <v>-50836.884532698052</v>
      </c>
      <c r="AK75" s="20">
        <f t="shared" si="83"/>
        <v>-40205.815017019864</v>
      </c>
      <c r="AL75" s="20">
        <f t="shared" si="83"/>
        <v>-54255.919988248483</v>
      </c>
      <c r="AM75" s="20">
        <f t="shared" si="83"/>
        <v>-55772.701244114767</v>
      </c>
      <c r="AN75" s="20">
        <f t="shared" si="83"/>
        <v>-61383.506780431402</v>
      </c>
      <c r="AO75" s="20">
        <f t="shared" si="83"/>
        <v>-52804.348538239603</v>
      </c>
      <c r="AQ75"/>
      <c r="AR75"/>
      <c r="AS75"/>
      <c r="AT75"/>
      <c r="AU75"/>
      <c r="AV75"/>
      <c r="AW75"/>
    </row>
    <row r="76" spans="1:49" x14ac:dyDescent="0.2">
      <c r="A76" t="s">
        <v>231</v>
      </c>
      <c r="N76">
        <v>626</v>
      </c>
      <c r="O76">
        <v>583</v>
      </c>
      <c r="P76">
        <v>623</v>
      </c>
      <c r="Q76">
        <f>2634-P76-O76-N76</f>
        <v>802</v>
      </c>
      <c r="R76">
        <v>522</v>
      </c>
      <c r="S76">
        <v>1287</v>
      </c>
      <c r="T76">
        <v>1066</v>
      </c>
      <c r="U76">
        <f>5360-T76-S76-R76</f>
        <v>2485</v>
      </c>
      <c r="V76">
        <v>2821</v>
      </c>
      <c r="W76">
        <v>2225</v>
      </c>
      <c r="X76">
        <v>747</v>
      </c>
      <c r="Y76">
        <f>7197-X76-W76-V76</f>
        <v>1404</v>
      </c>
      <c r="Z76">
        <v>4217</v>
      </c>
      <c r="AA76">
        <v>60</v>
      </c>
      <c r="AB76">
        <v>-167264</v>
      </c>
      <c r="AC76" s="6">
        <v>295</v>
      </c>
      <c r="AD76" s="6">
        <f t="shared" ref="AD76:AO76" si="84">0.2*AD75</f>
        <v>-4131.7247479756916</v>
      </c>
      <c r="AE76" s="6">
        <f t="shared" si="84"/>
        <v>-4725.3969679756938</v>
      </c>
      <c r="AF76" s="6">
        <f t="shared" si="84"/>
        <v>-6997.1585887756928</v>
      </c>
      <c r="AG76" s="6">
        <f t="shared" si="84"/>
        <v>-4353.8396833676907</v>
      </c>
      <c r="AH76" s="6">
        <f t="shared" si="84"/>
        <v>-7963.2728140137715</v>
      </c>
      <c r="AI76" s="6">
        <f t="shared" si="84"/>
        <v>-8394.9038243533905</v>
      </c>
      <c r="AJ76" s="6">
        <f t="shared" si="84"/>
        <v>-10167.376906539612</v>
      </c>
      <c r="AK76" s="6">
        <f t="shared" si="84"/>
        <v>-8041.1630034039736</v>
      </c>
      <c r="AL76" s="6">
        <f t="shared" si="84"/>
        <v>-10851.183997649698</v>
      </c>
      <c r="AM76" s="6">
        <f t="shared" si="84"/>
        <v>-11154.540248822954</v>
      </c>
      <c r="AN76" s="6">
        <f t="shared" si="84"/>
        <v>-12276.701356086282</v>
      </c>
      <c r="AO76" s="6">
        <f t="shared" si="84"/>
        <v>-10560.869707647922</v>
      </c>
      <c r="AQ76">
        <f>SUM(N76:Q76)</f>
        <v>2634</v>
      </c>
      <c r="AR76">
        <f>SUM(R76:U76)</f>
        <v>5360</v>
      </c>
      <c r="AS76">
        <f>SUM(V76:Y76)</f>
        <v>7197</v>
      </c>
      <c r="AT76" s="6">
        <f>SUM(Z76:AC76)</f>
        <v>-162692</v>
      </c>
      <c r="AU76" s="6">
        <f>SUM(AD76:AG76)</f>
        <v>-20208.119988094768</v>
      </c>
      <c r="AV76" s="6">
        <f>SUM(AH76:AK76)</f>
        <v>-34566.716548310753</v>
      </c>
      <c r="AW76" s="6">
        <f>SUM(AL76:AO76)</f>
        <v>-44843.295310206857</v>
      </c>
    </row>
    <row r="78" spans="1:49" s="2" customFormat="1" x14ac:dyDescent="0.2">
      <c r="A78" s="2" t="s">
        <v>55</v>
      </c>
      <c r="N78" s="2">
        <f>N75-N76</f>
        <v>-4252</v>
      </c>
      <c r="O78" s="2">
        <f>O75-O76</f>
        <v>-2029</v>
      </c>
      <c r="P78" s="2">
        <f>P75-P76</f>
        <v>-11477</v>
      </c>
      <c r="Q78" s="2">
        <f>Q75-Q76</f>
        <v>8153</v>
      </c>
      <c r="R78" s="2">
        <f t="shared" ref="R78:AG78" si="85">R75-R76</f>
        <v>-5713</v>
      </c>
      <c r="S78" s="2">
        <f t="shared" si="85"/>
        <v>10589</v>
      </c>
      <c r="T78" s="2">
        <f t="shared" si="85"/>
        <v>-37140</v>
      </c>
      <c r="U78" s="2">
        <f t="shared" si="85"/>
        <v>26043</v>
      </c>
      <c r="V78" s="2">
        <f t="shared" si="85"/>
        <v>-65179</v>
      </c>
      <c r="W78" s="2">
        <f t="shared" si="85"/>
        <v>32764</v>
      </c>
      <c r="X78" s="2">
        <f t="shared" si="85"/>
        <v>6651</v>
      </c>
      <c r="Y78" s="2">
        <f t="shared" si="85"/>
        <v>24306</v>
      </c>
      <c r="Z78" s="2">
        <f t="shared" si="85"/>
        <v>5742</v>
      </c>
      <c r="AA78" s="2">
        <f t="shared" si="85"/>
        <v>7476</v>
      </c>
      <c r="AB78" s="20">
        <f t="shared" si="85"/>
        <v>251562</v>
      </c>
      <c r="AC78" s="20">
        <f t="shared" si="85"/>
        <v>1858</v>
      </c>
      <c r="AD78" s="20">
        <f t="shared" si="85"/>
        <v>-16526.898991902766</v>
      </c>
      <c r="AE78" s="20">
        <f t="shared" si="85"/>
        <v>-18901.587871902775</v>
      </c>
      <c r="AF78" s="20">
        <f t="shared" si="85"/>
        <v>-27988.634355102771</v>
      </c>
      <c r="AG78" s="20">
        <f t="shared" si="85"/>
        <v>-17415.358733470763</v>
      </c>
      <c r="AH78" s="20">
        <f t="shared" ref="AH78:AO78" si="86">AH75-AH76</f>
        <v>-31853.091256055086</v>
      </c>
      <c r="AI78" s="20">
        <f t="shared" si="86"/>
        <v>-33579.615297413562</v>
      </c>
      <c r="AJ78" s="20">
        <f t="shared" si="86"/>
        <v>-40669.50762615844</v>
      </c>
      <c r="AK78" s="20">
        <f t="shared" si="86"/>
        <v>-32164.652013615891</v>
      </c>
      <c r="AL78" s="20">
        <f t="shared" si="86"/>
        <v>-43404.735990598783</v>
      </c>
      <c r="AM78" s="20">
        <f t="shared" si="86"/>
        <v>-44618.160995291815</v>
      </c>
      <c r="AN78" s="20">
        <f t="shared" si="86"/>
        <v>-49106.805424345119</v>
      </c>
      <c r="AO78" s="20">
        <f t="shared" si="86"/>
        <v>-42243.478830591681</v>
      </c>
    </row>
    <row r="80" spans="1:49" x14ac:dyDescent="0.2">
      <c r="A80" t="s">
        <v>11</v>
      </c>
      <c r="N80">
        <v>116730</v>
      </c>
      <c r="O80">
        <v>118790</v>
      </c>
      <c r="P80">
        <v>120085</v>
      </c>
      <c r="Q80">
        <f>119204*4-P80-O80-N80</f>
        <v>121211</v>
      </c>
      <c r="R80">
        <v>122428</v>
      </c>
      <c r="S80">
        <v>123842</v>
      </c>
      <c r="T80" s="6">
        <v>126194</v>
      </c>
      <c r="U80" s="6">
        <f>125367*4-T80-S80-R80</f>
        <v>129004</v>
      </c>
      <c r="V80">
        <v>134352</v>
      </c>
      <c r="W80">
        <v>143112</v>
      </c>
      <c r="X80">
        <v>144746</v>
      </c>
      <c r="Y80">
        <f>141262*4-X80-W80-V80</f>
        <v>142838</v>
      </c>
      <c r="Z80">
        <v>132162</v>
      </c>
      <c r="AA80">
        <v>126272</v>
      </c>
      <c r="AB80">
        <v>126132</v>
      </c>
      <c r="AC80">
        <v>125750</v>
      </c>
    </row>
    <row r="81" spans="1:41" x14ac:dyDescent="0.2">
      <c r="A81" t="s">
        <v>12</v>
      </c>
      <c r="N81">
        <v>116730</v>
      </c>
      <c r="O81">
        <v>118790</v>
      </c>
      <c r="P81">
        <v>120085</v>
      </c>
      <c r="Q81">
        <f>119204*4-P81-O81-N81</f>
        <v>121211</v>
      </c>
      <c r="R81">
        <v>122428</v>
      </c>
      <c r="S81">
        <v>123842</v>
      </c>
      <c r="T81" s="6">
        <v>126194</v>
      </c>
      <c r="U81" s="6">
        <f>125367*4-T81-S81-R81</f>
        <v>129004</v>
      </c>
      <c r="V81">
        <v>134352</v>
      </c>
      <c r="W81">
        <v>168282</v>
      </c>
      <c r="X81">
        <v>146699</v>
      </c>
      <c r="Y81">
        <f>141262*4-X81-W81-V81</f>
        <v>115715</v>
      </c>
      <c r="Z81">
        <v>133270</v>
      </c>
      <c r="AA81">
        <v>149574</v>
      </c>
      <c r="AB81">
        <v>148045</v>
      </c>
      <c r="AC81">
        <v>127518</v>
      </c>
    </row>
    <row r="82" spans="1:41" x14ac:dyDescent="0.2">
      <c r="T82" s="6"/>
      <c r="U82" s="6"/>
    </row>
    <row r="83" spans="1:41" x14ac:dyDescent="0.2">
      <c r="A83" t="s">
        <v>299</v>
      </c>
      <c r="N83" s="7">
        <f>N78/N80</f>
        <v>-3.6425940203889319E-2</v>
      </c>
      <c r="O83" s="7">
        <f t="shared" ref="O83:AB83" si="87">O78/O80</f>
        <v>-1.7080562336897046E-2</v>
      </c>
      <c r="P83" s="7">
        <f t="shared" si="87"/>
        <v>-9.5573968439022355E-2</v>
      </c>
      <c r="Q83" s="7">
        <f t="shared" si="87"/>
        <v>6.7262872181567679E-2</v>
      </c>
      <c r="R83" s="7">
        <f t="shared" si="87"/>
        <v>-4.6664161793053875E-2</v>
      </c>
      <c r="S83" s="7">
        <f t="shared" si="87"/>
        <v>8.5504110075741671E-2</v>
      </c>
      <c r="T83" s="7">
        <f t="shared" si="87"/>
        <v>-0.29430876269870199</v>
      </c>
      <c r="U83" s="7">
        <f t="shared" si="87"/>
        <v>0.20187746116399491</v>
      </c>
      <c r="V83" s="7">
        <f t="shared" si="87"/>
        <v>-0.48513606049779684</v>
      </c>
      <c r="W83" s="7">
        <f t="shared" si="87"/>
        <v>0.22893957180390184</v>
      </c>
      <c r="X83" s="7">
        <f t="shared" si="87"/>
        <v>4.5949456288947539E-2</v>
      </c>
      <c r="Y83" s="7">
        <f t="shared" si="87"/>
        <v>0.1701648020834792</v>
      </c>
      <c r="Z83" s="7">
        <f t="shared" si="87"/>
        <v>4.3446679075679846E-2</v>
      </c>
      <c r="AA83" s="7">
        <f t="shared" si="87"/>
        <v>5.9205524581855046E-2</v>
      </c>
      <c r="AB83" s="7">
        <f t="shared" si="87"/>
        <v>1.99443440205499</v>
      </c>
      <c r="AC83" s="7">
        <f t="shared" ref="AC83" si="88">AC78/AC80</f>
        <v>1.477534791252485E-2</v>
      </c>
    </row>
    <row r="84" spans="1:41" x14ac:dyDescent="0.2">
      <c r="A84" t="s">
        <v>300</v>
      </c>
      <c r="N84" s="7">
        <f>N78/N81</f>
        <v>-3.6425940203889319E-2</v>
      </c>
      <c r="O84" s="7">
        <f t="shared" ref="O84:AB84" si="89">O78/O81</f>
        <v>-1.7080562336897046E-2</v>
      </c>
      <c r="P84" s="7">
        <f t="shared" si="89"/>
        <v>-9.5573968439022355E-2</v>
      </c>
      <c r="Q84" s="7">
        <f t="shared" si="89"/>
        <v>6.7262872181567679E-2</v>
      </c>
      <c r="R84" s="7">
        <f t="shared" si="89"/>
        <v>-4.6664161793053875E-2</v>
      </c>
      <c r="S84" s="7">
        <f t="shared" si="89"/>
        <v>8.5504110075741671E-2</v>
      </c>
      <c r="T84" s="7">
        <f t="shared" si="89"/>
        <v>-0.29430876269870199</v>
      </c>
      <c r="U84" s="7">
        <f t="shared" si="89"/>
        <v>0.20187746116399491</v>
      </c>
      <c r="V84" s="7">
        <f t="shared" si="89"/>
        <v>-0.48513606049779684</v>
      </c>
      <c r="W84" s="7">
        <f t="shared" si="89"/>
        <v>0.19469699670790697</v>
      </c>
      <c r="X84" s="7">
        <f t="shared" si="89"/>
        <v>4.5337732363547129E-2</v>
      </c>
      <c r="Y84" s="7">
        <f t="shared" si="89"/>
        <v>0.21005055524348615</v>
      </c>
      <c r="Z84" s="7">
        <f t="shared" si="89"/>
        <v>4.3085465596158175E-2</v>
      </c>
      <c r="AA84" s="7">
        <f t="shared" si="89"/>
        <v>4.9981948734405715E-2</v>
      </c>
      <c r="AB84" s="7">
        <f t="shared" si="89"/>
        <v>1.6992265865108582</v>
      </c>
      <c r="AC84" s="7">
        <f t="shared" ref="AC84" si="90">AC78/AC81</f>
        <v>1.4570492008971283E-2</v>
      </c>
    </row>
    <row r="85" spans="1:41" x14ac:dyDescent="0.2">
      <c r="T85" s="6"/>
      <c r="U85" s="6"/>
    </row>
    <row r="86" spans="1:41" s="11" customFormat="1" x14ac:dyDescent="0.2">
      <c r="A86" s="11" t="s">
        <v>227</v>
      </c>
      <c r="R86" s="12">
        <f t="shared" ref="R86:AB86" si="91">R57/N57-1</f>
        <v>0.3500702787552965</v>
      </c>
      <c r="S86" s="12">
        <f t="shared" si="91"/>
        <v>0.63014851590633048</v>
      </c>
      <c r="T86" s="12">
        <f t="shared" si="91"/>
        <v>0.63586154156620744</v>
      </c>
      <c r="U86" s="12">
        <f t="shared" si="91"/>
        <v>0.63994292273843301</v>
      </c>
      <c r="V86" s="12">
        <f t="shared" si="91"/>
        <v>0.50754616612204573</v>
      </c>
      <c r="W86" s="12">
        <f t="shared" si="91"/>
        <v>0.29716552621087655</v>
      </c>
      <c r="X86" s="12">
        <f t="shared" si="91"/>
        <v>0.116376007999065</v>
      </c>
      <c r="Y86" s="12">
        <f t="shared" si="91"/>
        <v>8.4872229864718651E-3</v>
      </c>
      <c r="Z86" s="12">
        <f t="shared" si="91"/>
        <v>1.9488048069846498E-2</v>
      </c>
      <c r="AA86" s="12">
        <f t="shared" si="91"/>
        <v>-1.8929050071040621E-2</v>
      </c>
      <c r="AB86" s="12">
        <f t="shared" si="91"/>
        <v>-4.1892033360086511E-2</v>
      </c>
      <c r="AC86" s="37">
        <f t="shared" ref="AC86:AO86" si="92">AC57/Y57-1</f>
        <v>-1.0960779304660551E-2</v>
      </c>
      <c r="AD86" s="12">
        <f t="shared" si="92"/>
        <v>-0.15171574929293319</v>
      </c>
      <c r="AE86" s="12">
        <f t="shared" si="92"/>
        <v>-0.15000000000000002</v>
      </c>
      <c r="AF86" s="12">
        <f t="shared" si="92"/>
        <v>-0.10166171944712543</v>
      </c>
      <c r="AG86" s="12">
        <f t="shared" si="92"/>
        <v>-0.19999999999999984</v>
      </c>
      <c r="AH86" s="12">
        <f t="shared" si="92"/>
        <v>-0.19847587205439021</v>
      </c>
      <c r="AI86" s="12">
        <f t="shared" si="92"/>
        <v>-0.19855049018852611</v>
      </c>
      <c r="AJ86" s="12">
        <f t="shared" si="92"/>
        <v>-0.19842769526732462</v>
      </c>
      <c r="AK86" s="12">
        <f t="shared" si="92"/>
        <v>-0.19999999999999996</v>
      </c>
      <c r="AL86" s="12">
        <f t="shared" si="92"/>
        <v>-0.19838369338039907</v>
      </c>
      <c r="AM86" s="12">
        <f t="shared" si="92"/>
        <v>-0.19846268127353073</v>
      </c>
      <c r="AN86" s="12">
        <f t="shared" si="92"/>
        <v>-0.19833270309505058</v>
      </c>
      <c r="AO86" s="12">
        <f t="shared" si="92"/>
        <v>-0.19999999999999996</v>
      </c>
    </row>
    <row r="87" spans="1:41" s="11" customFormat="1" x14ac:dyDescent="0.2">
      <c r="A87" s="11" t="s">
        <v>293</v>
      </c>
      <c r="R87" s="12">
        <f t="shared" ref="R87:AB87" si="93">S59/N59-1</f>
        <v>0.47685272614454899</v>
      </c>
      <c r="S87" s="12">
        <f t="shared" si="93"/>
        <v>0.24956369982547999</v>
      </c>
      <c r="T87" s="12">
        <f t="shared" si="93"/>
        <v>1.0640949060246987</v>
      </c>
      <c r="U87" s="12">
        <f t="shared" si="93"/>
        <v>0.27916276352501534</v>
      </c>
      <c r="V87" s="12">
        <f t="shared" si="93"/>
        <v>0.54450672645739906</v>
      </c>
      <c r="W87" s="12">
        <f t="shared" si="93"/>
        <v>-4.2425903091747763E-2</v>
      </c>
      <c r="X87" s="12">
        <f t="shared" si="93"/>
        <v>0.6558681040502794</v>
      </c>
      <c r="Y87" s="12">
        <f t="shared" si="93"/>
        <v>-9.6171965434624918E-3</v>
      </c>
      <c r="Z87" s="12">
        <f t="shared" si="93"/>
        <v>0.17357512953367871</v>
      </c>
      <c r="AA87" s="12">
        <f t="shared" si="93"/>
        <v>-0.1323510198156348</v>
      </c>
      <c r="AB87" s="12">
        <f t="shared" si="93"/>
        <v>0.4667016405951927</v>
      </c>
      <c r="AC87" s="37">
        <f t="shared" ref="AC87:AO87" si="94">AD59/Y59-1</f>
        <v>-0.17473927397088762</v>
      </c>
      <c r="AD87" s="12">
        <f t="shared" si="94"/>
        <v>-0.17895350946934951</v>
      </c>
      <c r="AE87" s="12">
        <f t="shared" si="94"/>
        <v>-0.27512171138710528</v>
      </c>
      <c r="AF87" s="12">
        <f t="shared" si="94"/>
        <v>2.482197831615629E-3</v>
      </c>
      <c r="AG87" s="12">
        <f t="shared" si="94"/>
        <v>-0.34718861408996604</v>
      </c>
      <c r="AH87" s="12">
        <f t="shared" si="94"/>
        <v>-0.22680179983259552</v>
      </c>
      <c r="AI87" s="12">
        <f t="shared" si="94"/>
        <v>-0.28328363930655531</v>
      </c>
      <c r="AJ87" s="12">
        <f t="shared" si="94"/>
        <v>-0.11262705556777464</v>
      </c>
      <c r="AK87" s="12">
        <f t="shared" si="94"/>
        <v>-0.32849745118010854</v>
      </c>
      <c r="AL87" s="12">
        <f t="shared" si="94"/>
        <v>-0.2267890752150028</v>
      </c>
      <c r="AM87" s="12">
        <f t="shared" si="94"/>
        <v>-0.28308887772627978</v>
      </c>
      <c r="AN87" s="12">
        <f t="shared" si="94"/>
        <v>-0.1143676604663485</v>
      </c>
      <c r="AO87" s="12">
        <f t="shared" si="94"/>
        <v>-1</v>
      </c>
    </row>
    <row r="88" spans="1:41" s="11" customFormat="1" x14ac:dyDescent="0.2">
      <c r="A88" s="11" t="s">
        <v>294</v>
      </c>
      <c r="R88" s="12">
        <f t="shared" ref="R88:AB88" si="95">R66/N66-1</f>
        <v>-4.4089490114464098</v>
      </c>
      <c r="S88" s="12">
        <f t="shared" si="95"/>
        <v>2.2371239911958916</v>
      </c>
      <c r="T88" s="12">
        <f t="shared" si="95"/>
        <v>2.5202689341506823</v>
      </c>
      <c r="U88" s="12">
        <f t="shared" si="95"/>
        <v>1.8917743830787308</v>
      </c>
      <c r="V88" s="12">
        <f t="shared" si="95"/>
        <v>4.1217948717948714</v>
      </c>
      <c r="W88" s="12">
        <f t="shared" si="95"/>
        <v>0.57608449299669107</v>
      </c>
      <c r="X88" s="12">
        <f t="shared" si="95"/>
        <v>-1.0202786203797327</v>
      </c>
      <c r="Y88" s="12">
        <f t="shared" si="95"/>
        <v>-0.4677353813645414</v>
      </c>
      <c r="Z88" s="12">
        <f t="shared" si="95"/>
        <v>-0.67959949937421782</v>
      </c>
      <c r="AA88" s="12">
        <f t="shared" si="95"/>
        <v>-0.78881219442047745</v>
      </c>
      <c r="AB88" s="12">
        <f t="shared" si="95"/>
        <v>-32.67590027700831</v>
      </c>
      <c r="AC88" s="37">
        <f t="shared" ref="AC88:AO88" si="96">AC66/Y66-1</f>
        <v>-0.70710386685498339</v>
      </c>
      <c r="AD88" s="12">
        <f t="shared" si="96"/>
        <v>-4.6078772321428527</v>
      </c>
      <c r="AE88" s="12">
        <f t="shared" si="96"/>
        <v>-4.0456637750238302</v>
      </c>
      <c r="AF88" s="12">
        <f t="shared" si="96"/>
        <v>1.949113878793177</v>
      </c>
      <c r="AG88" s="12">
        <f t="shared" si="96"/>
        <v>-3.6725560637247452</v>
      </c>
      <c r="AH88" s="12">
        <f t="shared" si="96"/>
        <v>0.98771868898547388</v>
      </c>
      <c r="AI88" s="12">
        <f t="shared" si="96"/>
        <v>0.82039352075886374</v>
      </c>
      <c r="AJ88" s="12">
        <f t="shared" si="96"/>
        <v>0.47003636979737595</v>
      </c>
      <c r="AK88" s="12">
        <f t="shared" si="96"/>
        <v>0.89906108854310096</v>
      </c>
      <c r="AL88" s="12">
        <f t="shared" si="96"/>
        <v>0.37453111605076694</v>
      </c>
      <c r="AM88" s="12">
        <f t="shared" si="96"/>
        <v>0.33892304980929056</v>
      </c>
      <c r="AN88" s="12">
        <f t="shared" si="96"/>
        <v>0.23821455299398164</v>
      </c>
      <c r="AO88" s="12">
        <f t="shared" si="96"/>
        <v>0.35593456301645388</v>
      </c>
    </row>
    <row r="89" spans="1:41" s="11" customFormat="1" x14ac:dyDescent="0.2">
      <c r="A89" s="11" t="s">
        <v>295</v>
      </c>
      <c r="R89" s="12">
        <f>R75/N75-1</f>
        <v>0.4316050744622173</v>
      </c>
      <c r="S89" s="12">
        <f t="shared" ref="S89:AB89" si="97">S75/O75-1</f>
        <v>-9.2130013831258637</v>
      </c>
      <c r="T89" s="12">
        <f t="shared" si="97"/>
        <v>2.3235673484429702</v>
      </c>
      <c r="U89" s="12">
        <f t="shared" si="97"/>
        <v>2.1857063093243996</v>
      </c>
      <c r="V89" s="12">
        <f t="shared" si="97"/>
        <v>11.012714313234444</v>
      </c>
      <c r="W89" s="12">
        <f t="shared" si="97"/>
        <v>1.9461940047153923</v>
      </c>
      <c r="X89" s="12">
        <f t="shared" si="97"/>
        <v>-1.2050784498530798</v>
      </c>
      <c r="Y89" s="12">
        <f t="shared" si="97"/>
        <v>-9.8780145821648957E-2</v>
      </c>
      <c r="Z89" s="12">
        <f t="shared" si="97"/>
        <v>-1.1597068539722248</v>
      </c>
      <c r="AA89" s="12">
        <f t="shared" si="97"/>
        <v>-0.78461802280716797</v>
      </c>
      <c r="AB89" s="12">
        <f t="shared" si="97"/>
        <v>10.394701270613679</v>
      </c>
      <c r="AC89" s="37">
        <f t="shared" ref="AC89" si="98">AC75/Y75-1</f>
        <v>-0.91625826526643328</v>
      </c>
      <c r="AD89" s="12">
        <f t="shared" ref="AD89" si="99">AD75/Z75-1</f>
        <v>-3.0743672798351698</v>
      </c>
      <c r="AE89" s="12">
        <f t="shared" ref="AE89" si="100">AE75/AA75-1</f>
        <v>-4.1352156103872701</v>
      </c>
      <c r="AF89" s="12">
        <f t="shared" ref="AF89" si="101">AF75/AB75-1</f>
        <v>-1.4150251837988856</v>
      </c>
      <c r="AG89" s="12">
        <f t="shared" ref="AG89" si="102">AG75/AC75-1</f>
        <v>-11.111100054267743</v>
      </c>
      <c r="AH89" s="12">
        <f t="shared" ref="AH89" si="103">AH75/AD75-1</f>
        <v>0.92734833507854519</v>
      </c>
      <c r="AI89" s="12">
        <f t="shared" ref="AI89" si="104">AI75/AE75-1</f>
        <v>0.77654996633006079</v>
      </c>
      <c r="AJ89" s="12">
        <f t="shared" ref="AJ89" si="105">AJ75/AF75-1</f>
        <v>0.45307224033043059</v>
      </c>
      <c r="AK89" s="12">
        <f t="shared" ref="AK89" si="106">AK75/AG75-1</f>
        <v>0.84691297525777109</v>
      </c>
      <c r="AL89" s="12">
        <f t="shared" ref="AL89" si="107">AL75/AH75-1</f>
        <v>0.36265380467108677</v>
      </c>
      <c r="AM89" s="12">
        <f t="shared" ref="AM89" si="108">AM75/AI75-1</f>
        <v>0.32872758070961261</v>
      </c>
      <c r="AN89" s="12">
        <f t="shared" ref="AN89" si="109">AN75/AJ75-1</f>
        <v>0.20746004293299714</v>
      </c>
      <c r="AO89" s="12">
        <f t="shared" ref="AO89" si="110">AO75/AK75-1</f>
        <v>0.31335102934455006</v>
      </c>
    </row>
    <row r="90" spans="1:41" s="11" customFormat="1" x14ac:dyDescent="0.2">
      <c r="A90" s="11" t="s">
        <v>296</v>
      </c>
      <c r="R90" s="12">
        <f>R78/N78-1</f>
        <v>0.34360301034807139</v>
      </c>
      <c r="S90" s="12">
        <f t="shared" ref="S90:AB90" si="111">S78/O78-1</f>
        <v>-6.2188270083785113</v>
      </c>
      <c r="T90" s="12">
        <f t="shared" si="111"/>
        <v>2.2360372919752547</v>
      </c>
      <c r="U90" s="12">
        <f t="shared" si="111"/>
        <v>2.1942843125229978</v>
      </c>
      <c r="V90" s="12">
        <f t="shared" si="111"/>
        <v>10.408892000700158</v>
      </c>
      <c r="W90" s="12">
        <f t="shared" si="111"/>
        <v>2.0941543110775331</v>
      </c>
      <c r="X90" s="12">
        <f t="shared" si="111"/>
        <v>-1.1790791599353796</v>
      </c>
      <c r="Y90" s="12">
        <f t="shared" si="111"/>
        <v>-6.6697385093883232E-2</v>
      </c>
      <c r="Z90" s="12">
        <f t="shared" si="111"/>
        <v>-1.088095859095721</v>
      </c>
      <c r="AA90" s="12">
        <f t="shared" si="111"/>
        <v>-0.7718227322671225</v>
      </c>
      <c r="AB90" s="12">
        <f t="shared" si="111"/>
        <v>36.823184483536309</v>
      </c>
      <c r="AC90" s="37">
        <f t="shared" ref="AC90" si="112">AC78/Y78-1</f>
        <v>-0.92355796922570554</v>
      </c>
      <c r="AD90" s="12">
        <f t="shared" ref="AD90" si="113">AD78/Z78-1</f>
        <v>-3.8782478216479914</v>
      </c>
      <c r="AE90" s="12">
        <f t="shared" ref="AE90" si="114">AE78/AA78-1</f>
        <v>-3.5283022835610987</v>
      </c>
      <c r="AF90" s="12">
        <f t="shared" ref="AF90" si="115">AF78/AB78-1</f>
        <v>-1.1112593887594422</v>
      </c>
      <c r="AG90" s="12">
        <f t="shared" ref="AG90" si="116">AG78/AC78-1</f>
        <v>-10.373174775818494</v>
      </c>
      <c r="AH90" s="12">
        <f t="shared" ref="AH90" si="117">AH78/AD78-1</f>
        <v>0.92734833507854542</v>
      </c>
      <c r="AI90" s="12">
        <f t="shared" ref="AI90" si="118">AI78/AE78-1</f>
        <v>0.77654996633006079</v>
      </c>
      <c r="AJ90" s="12">
        <f t="shared" ref="AJ90" si="119">AJ78/AF78-1</f>
        <v>0.45307224033043059</v>
      </c>
      <c r="AK90" s="12">
        <f t="shared" ref="AK90" si="120">AK78/AG78-1</f>
        <v>0.84691297525777087</v>
      </c>
      <c r="AL90" s="12">
        <f t="shared" ref="AL90" si="121">AL78/AH78-1</f>
        <v>0.36265380467108654</v>
      </c>
      <c r="AM90" s="12">
        <f t="shared" ref="AM90" si="122">AM78/AI78-1</f>
        <v>0.32872758070961239</v>
      </c>
      <c r="AN90" s="12">
        <f t="shared" ref="AN90" si="123">AN78/AJ78-1</f>
        <v>0.20746004293299691</v>
      </c>
      <c r="AO90" s="12">
        <f t="shared" ref="AO90" si="124">AO78/AK78-1</f>
        <v>0.31335102934454984</v>
      </c>
    </row>
    <row r="91" spans="1:41" s="11" customFormat="1" x14ac:dyDescent="0.2">
      <c r="A91" s="11" t="s">
        <v>297</v>
      </c>
      <c r="R91" s="12">
        <f>R80/N80-1</f>
        <v>4.8813501242182866E-2</v>
      </c>
      <c r="S91" s="12">
        <f t="shared" ref="S91:AB91" si="125">S80/O80-1</f>
        <v>4.2528832393299076E-2</v>
      </c>
      <c r="T91" s="12">
        <f t="shared" si="125"/>
        <v>5.0872298788358306E-2</v>
      </c>
      <c r="U91" s="12">
        <f t="shared" si="125"/>
        <v>6.4292844708813579E-2</v>
      </c>
      <c r="V91" s="12">
        <f t="shared" si="125"/>
        <v>9.739602051818208E-2</v>
      </c>
      <c r="W91" s="12">
        <f t="shared" si="125"/>
        <v>0.1556014922239628</v>
      </c>
      <c r="X91" s="12">
        <f t="shared" si="125"/>
        <v>0.14701174382300275</v>
      </c>
      <c r="Y91" s="12">
        <f t="shared" si="125"/>
        <v>0.10723698489969302</v>
      </c>
      <c r="Z91" s="12">
        <f t="shared" si="125"/>
        <v>-1.6300464451589836E-2</v>
      </c>
      <c r="AA91" s="12">
        <f t="shared" si="125"/>
        <v>-0.11767007658337525</v>
      </c>
      <c r="AB91" s="12">
        <f t="shared" si="125"/>
        <v>-0.12859768145579153</v>
      </c>
      <c r="AC91" s="37">
        <f t="shared" ref="AC91:AC92" si="126">AC80/Y80-1</f>
        <v>-0.1196320306921127</v>
      </c>
      <c r="AD91" s="12">
        <f t="shared" ref="AD91:AD92" si="127">AD80/Z80-1</f>
        <v>-1</v>
      </c>
      <c r="AE91" s="12">
        <f t="shared" ref="AE91:AE92" si="128">AE80/AA80-1</f>
        <v>-1</v>
      </c>
      <c r="AF91" s="12">
        <f t="shared" ref="AF91:AF92" si="129">AF80/AB80-1</f>
        <v>-1</v>
      </c>
      <c r="AG91" s="12">
        <f t="shared" ref="AG91:AG92" si="130">AG80/AC80-1</f>
        <v>-1</v>
      </c>
      <c r="AH91" s="12" t="e">
        <f t="shared" ref="AH91:AH92" si="131">AH80/AD80-1</f>
        <v>#DIV/0!</v>
      </c>
      <c r="AI91" s="12" t="e">
        <f t="shared" ref="AI91:AI92" si="132">AI80/AE80-1</f>
        <v>#DIV/0!</v>
      </c>
      <c r="AJ91" s="12" t="e">
        <f t="shared" ref="AJ91:AJ92" si="133">AJ80/AF80-1</f>
        <v>#DIV/0!</v>
      </c>
      <c r="AK91" s="12" t="e">
        <f t="shared" ref="AK91:AK92" si="134">AK80/AG80-1</f>
        <v>#DIV/0!</v>
      </c>
      <c r="AL91" s="12" t="e">
        <f t="shared" ref="AL91:AL92" si="135">AL80/AH80-1</f>
        <v>#DIV/0!</v>
      </c>
      <c r="AM91" s="12" t="e">
        <f t="shared" ref="AM91:AM92" si="136">AM80/AI80-1</f>
        <v>#DIV/0!</v>
      </c>
      <c r="AN91" s="12" t="e">
        <f t="shared" ref="AN91:AN92" si="137">AN80/AJ80-1</f>
        <v>#DIV/0!</v>
      </c>
      <c r="AO91" s="12" t="e">
        <f t="shared" ref="AO91:AO92" si="138">AO80/AK80-1</f>
        <v>#DIV/0!</v>
      </c>
    </row>
    <row r="92" spans="1:41" s="11" customFormat="1" x14ac:dyDescent="0.2">
      <c r="A92" s="11" t="s">
        <v>298</v>
      </c>
      <c r="R92" s="12">
        <f>R81/N81-1</f>
        <v>4.8813501242182866E-2</v>
      </c>
      <c r="S92" s="12">
        <f t="shared" ref="S92:AB92" si="139">S81/O81-1</f>
        <v>4.2528832393299076E-2</v>
      </c>
      <c r="T92" s="12">
        <f t="shared" si="139"/>
        <v>5.0872298788358306E-2</v>
      </c>
      <c r="U92" s="12">
        <f t="shared" si="139"/>
        <v>6.4292844708813579E-2</v>
      </c>
      <c r="V92" s="12">
        <f t="shared" si="139"/>
        <v>9.739602051818208E-2</v>
      </c>
      <c r="W92" s="12">
        <f t="shared" si="139"/>
        <v>0.35884433390933612</v>
      </c>
      <c r="X92" s="12">
        <f t="shared" si="139"/>
        <v>0.16248791543179553</v>
      </c>
      <c r="Y92" s="12">
        <f t="shared" si="139"/>
        <v>-0.10301230969582342</v>
      </c>
      <c r="Z92" s="12">
        <f t="shared" si="139"/>
        <v>-8.0534714779088024E-3</v>
      </c>
      <c r="AA92" s="12">
        <f t="shared" si="139"/>
        <v>-0.11117053517310227</v>
      </c>
      <c r="AB92" s="12">
        <f t="shared" si="139"/>
        <v>9.1752500017041605E-3</v>
      </c>
      <c r="AC92" s="37">
        <f t="shared" si="126"/>
        <v>0.10200060493453744</v>
      </c>
      <c r="AD92" s="12">
        <f t="shared" si="127"/>
        <v>-1</v>
      </c>
      <c r="AE92" s="12">
        <f t="shared" si="128"/>
        <v>-1</v>
      </c>
      <c r="AF92" s="12">
        <f t="shared" si="129"/>
        <v>-1</v>
      </c>
      <c r="AG92" s="12">
        <f t="shared" si="130"/>
        <v>-1</v>
      </c>
      <c r="AH92" s="12" t="e">
        <f t="shared" si="131"/>
        <v>#DIV/0!</v>
      </c>
      <c r="AI92" s="12" t="e">
        <f t="shared" si="132"/>
        <v>#DIV/0!</v>
      </c>
      <c r="AJ92" s="12" t="e">
        <f t="shared" si="133"/>
        <v>#DIV/0!</v>
      </c>
      <c r="AK92" s="12" t="e">
        <f t="shared" si="134"/>
        <v>#DIV/0!</v>
      </c>
      <c r="AL92" s="12" t="e">
        <f t="shared" si="135"/>
        <v>#DIV/0!</v>
      </c>
      <c r="AM92" s="12" t="e">
        <f t="shared" si="136"/>
        <v>#DIV/0!</v>
      </c>
      <c r="AN92" s="12" t="e">
        <f t="shared" si="137"/>
        <v>#DIV/0!</v>
      </c>
      <c r="AO92" s="12" t="e">
        <f t="shared" si="138"/>
        <v>#DIV/0!</v>
      </c>
    </row>
    <row r="93" spans="1:41" s="3" customFormat="1" x14ac:dyDescent="0.2">
      <c r="A93" s="3" t="s">
        <v>16</v>
      </c>
      <c r="AC93" s="2"/>
    </row>
    <row r="95" spans="1:41" x14ac:dyDescent="0.2">
      <c r="A95" s="2" t="s">
        <v>52</v>
      </c>
    </row>
    <row r="96" spans="1:41" x14ac:dyDescent="0.2">
      <c r="A96" t="s">
        <v>17</v>
      </c>
      <c r="U96">
        <v>479853</v>
      </c>
      <c r="V96">
        <v>656168</v>
      </c>
      <c r="W96">
        <v>840056</v>
      </c>
      <c r="X96">
        <v>713837</v>
      </c>
      <c r="Y96">
        <v>854078</v>
      </c>
      <c r="Z96">
        <v>267731</v>
      </c>
      <c r="AA96">
        <v>402089</v>
      </c>
      <c r="AB96">
        <v>69349</v>
      </c>
      <c r="AC96">
        <v>473677</v>
      </c>
    </row>
    <row r="97" spans="1:41" x14ac:dyDescent="0.2">
      <c r="A97" t="s">
        <v>18</v>
      </c>
      <c r="U97">
        <v>665567</v>
      </c>
      <c r="V97">
        <v>1215944</v>
      </c>
      <c r="W97">
        <v>1221666</v>
      </c>
      <c r="X97">
        <v>1038345</v>
      </c>
      <c r="Y97">
        <v>691781</v>
      </c>
      <c r="Z97">
        <v>915431</v>
      </c>
      <c r="AA97">
        <v>981288</v>
      </c>
      <c r="AB97">
        <v>871408</v>
      </c>
      <c r="AC97">
        <v>583973</v>
      </c>
    </row>
    <row r="98" spans="1:41" s="2" customFormat="1" x14ac:dyDescent="0.2">
      <c r="A98" s="2" t="s">
        <v>51</v>
      </c>
      <c r="U98" s="2">
        <f t="shared" ref="U98:AG98" si="140">U96+U97</f>
        <v>1145420</v>
      </c>
      <c r="V98" s="2">
        <f t="shared" si="140"/>
        <v>1872112</v>
      </c>
      <c r="W98" s="2">
        <f t="shared" si="140"/>
        <v>2061722</v>
      </c>
      <c r="X98" s="2">
        <f t="shared" si="140"/>
        <v>1752182</v>
      </c>
      <c r="Y98" s="2">
        <f t="shared" si="140"/>
        <v>1545859</v>
      </c>
      <c r="Z98" s="2">
        <f t="shared" si="140"/>
        <v>1183162</v>
      </c>
      <c r="AA98" s="2">
        <f t="shared" si="140"/>
        <v>1383377</v>
      </c>
      <c r="AB98" s="2">
        <f t="shared" si="140"/>
        <v>940757</v>
      </c>
      <c r="AC98" s="2">
        <f t="shared" si="140"/>
        <v>1057650</v>
      </c>
      <c r="AD98" s="2">
        <f t="shared" si="140"/>
        <v>0</v>
      </c>
      <c r="AE98" s="2">
        <f t="shared" si="140"/>
        <v>0</v>
      </c>
      <c r="AF98" s="2">
        <f t="shared" si="140"/>
        <v>0</v>
      </c>
      <c r="AG98" s="2">
        <f t="shared" si="140"/>
        <v>0</v>
      </c>
      <c r="AH98" s="2">
        <f t="shared" ref="AH98:AO98" si="141">AH96+AH97</f>
        <v>0</v>
      </c>
      <c r="AI98" s="2">
        <f t="shared" si="141"/>
        <v>0</v>
      </c>
      <c r="AJ98" s="2">
        <f t="shared" si="141"/>
        <v>0</v>
      </c>
      <c r="AK98" s="2">
        <f t="shared" si="141"/>
        <v>0</v>
      </c>
      <c r="AL98" s="2">
        <f t="shared" si="141"/>
        <v>0</v>
      </c>
      <c r="AM98" s="2">
        <f t="shared" si="141"/>
        <v>0</v>
      </c>
      <c r="AN98" s="2">
        <f t="shared" si="141"/>
        <v>0</v>
      </c>
      <c r="AO98" s="2">
        <f t="shared" si="141"/>
        <v>0</v>
      </c>
    </row>
    <row r="99" spans="1:41" hidden="1" outlineLevel="1" x14ac:dyDescent="0.2">
      <c r="A99" t="s">
        <v>159</v>
      </c>
      <c r="U99">
        <f>U100+U101</f>
        <v>13066</v>
      </c>
      <c r="V99">
        <f>V100+V101</f>
        <v>11802</v>
      </c>
      <c r="W99">
        <f>W100+W101</f>
        <v>10238</v>
      </c>
      <c r="X99">
        <f>X100+X101</f>
        <v>9413</v>
      </c>
      <c r="Y99">
        <f>Y100+Y101</f>
        <v>18003</v>
      </c>
      <c r="Z99">
        <f>Z101+Z100</f>
        <v>20074</v>
      </c>
      <c r="AA99">
        <f>AA101+AA100</f>
        <v>17049</v>
      </c>
      <c r="AB99">
        <f>AB101+AB100</f>
        <v>22485</v>
      </c>
    </row>
    <row r="100" spans="1:41" hidden="1" outlineLevel="1" x14ac:dyDescent="0.2">
      <c r="A100" t="s">
        <v>21</v>
      </c>
      <c r="U100">
        <v>153</v>
      </c>
      <c r="V100">
        <v>169</v>
      </c>
      <c r="W100">
        <v>147</v>
      </c>
      <c r="X100">
        <v>111</v>
      </c>
      <c r="Y100">
        <v>153</v>
      </c>
      <c r="Z100">
        <v>156</v>
      </c>
      <c r="AA100">
        <v>234</v>
      </c>
      <c r="AB100">
        <v>298</v>
      </c>
    </row>
    <row r="101" spans="1:41" collapsed="1" x14ac:dyDescent="0.2">
      <c r="A101" t="s">
        <v>22</v>
      </c>
      <c r="U101">
        <v>12913</v>
      </c>
      <c r="V101">
        <v>11633</v>
      </c>
      <c r="W101">
        <v>10091</v>
      </c>
      <c r="X101">
        <v>9302</v>
      </c>
      <c r="Y101">
        <v>17850</v>
      </c>
      <c r="Z101">
        <v>19918</v>
      </c>
      <c r="AA101">
        <v>16815</v>
      </c>
      <c r="AB101">
        <v>22187</v>
      </c>
      <c r="AC101" s="6">
        <v>23515</v>
      </c>
      <c r="AD101" s="6">
        <f t="shared" ref="AD101:AO101" si="142">AD146/90*AD57</f>
        <v>22874.720000000001</v>
      </c>
      <c r="AE101" s="6">
        <f t="shared" si="142"/>
        <v>22068.38</v>
      </c>
      <c r="AF101" s="6">
        <f t="shared" si="142"/>
        <v>19732.18</v>
      </c>
      <c r="AG101" s="6">
        <f t="shared" si="142"/>
        <v>21887.253333333338</v>
      </c>
      <c r="AH101" s="6">
        <f t="shared" si="142"/>
        <v>18334.640000000003</v>
      </c>
      <c r="AI101" s="6">
        <f t="shared" si="142"/>
        <v>17686.692333333332</v>
      </c>
      <c r="AJ101" s="6">
        <f t="shared" si="142"/>
        <v>15816.769000000002</v>
      </c>
      <c r="AK101" s="6">
        <f t="shared" si="142"/>
        <v>17509.80266666667</v>
      </c>
      <c r="AL101" s="6">
        <f t="shared" si="142"/>
        <v>14697.346400000002</v>
      </c>
      <c r="AM101" s="6">
        <f t="shared" si="142"/>
        <v>14176.543950000001</v>
      </c>
      <c r="AN101" s="6">
        <f t="shared" si="142"/>
        <v>12679.786450000003</v>
      </c>
      <c r="AO101" s="6">
        <f t="shared" si="142"/>
        <v>14007.842133333335</v>
      </c>
    </row>
    <row r="102" spans="1:41" x14ac:dyDescent="0.2">
      <c r="A102" t="s">
        <v>23</v>
      </c>
      <c r="U102">
        <v>12776</v>
      </c>
      <c r="V102">
        <v>25256</v>
      </c>
      <c r="W102">
        <v>18811</v>
      </c>
      <c r="X102">
        <v>35164</v>
      </c>
      <c r="Y102">
        <v>35093</v>
      </c>
      <c r="Z102">
        <v>28882</v>
      </c>
      <c r="AA102">
        <v>20115</v>
      </c>
      <c r="AB102">
        <v>33441</v>
      </c>
      <c r="AC102" s="6">
        <v>28481</v>
      </c>
      <c r="AD102" s="6">
        <f t="shared" ref="AD102:AO102" si="143">AD147*AD58</f>
        <v>27792.784800000005</v>
      </c>
      <c r="AE102" s="6">
        <f t="shared" si="143"/>
        <v>26813.081700000002</v>
      </c>
      <c r="AF102" s="6">
        <f t="shared" si="143"/>
        <v>23974.598700000002</v>
      </c>
      <c r="AG102" s="6">
        <f t="shared" si="143"/>
        <v>26593.012800000004</v>
      </c>
      <c r="AH102" s="6">
        <f t="shared" si="143"/>
        <v>22276.587600000003</v>
      </c>
      <c r="AI102" s="6">
        <f t="shared" si="143"/>
        <v>21489.331184999999</v>
      </c>
      <c r="AJ102" s="6">
        <f t="shared" si="143"/>
        <v>19217.374335000004</v>
      </c>
      <c r="AK102" s="6">
        <f t="shared" si="143"/>
        <v>21274.410240000005</v>
      </c>
      <c r="AL102" s="6">
        <f t="shared" si="143"/>
        <v>17857.275876000003</v>
      </c>
      <c r="AM102" s="6">
        <f t="shared" si="143"/>
        <v>17224.500899250004</v>
      </c>
      <c r="AN102" s="6">
        <f t="shared" si="143"/>
        <v>15405.940536750002</v>
      </c>
      <c r="AO102" s="6">
        <f t="shared" si="143"/>
        <v>17019.528192000005</v>
      </c>
    </row>
    <row r="103" spans="1:41" x14ac:dyDescent="0.2">
      <c r="A103" t="s">
        <v>24</v>
      </c>
      <c r="U103">
        <v>11846</v>
      </c>
      <c r="V103">
        <v>26625</v>
      </c>
      <c r="W103">
        <v>25643</v>
      </c>
      <c r="X103">
        <v>29316</v>
      </c>
      <c r="Y103">
        <v>23846</v>
      </c>
      <c r="Z103">
        <v>14671</v>
      </c>
      <c r="AA103">
        <v>31559</v>
      </c>
      <c r="AB103">
        <v>35196</v>
      </c>
      <c r="AC103">
        <v>34754</v>
      </c>
    </row>
    <row r="104" spans="1:41" s="2" customFormat="1" x14ac:dyDescent="0.2">
      <c r="A104" s="2" t="s">
        <v>25</v>
      </c>
      <c r="U104" s="2">
        <f t="shared" ref="U104:AO104" si="144">U96+U97+U101+U102+U103</f>
        <v>1182955</v>
      </c>
      <c r="V104" s="2">
        <f t="shared" si="144"/>
        <v>1935626</v>
      </c>
      <c r="W104" s="2">
        <f t="shared" si="144"/>
        <v>2116267</v>
      </c>
      <c r="X104" s="2">
        <f t="shared" si="144"/>
        <v>1825964</v>
      </c>
      <c r="Y104" s="2">
        <f t="shared" si="144"/>
        <v>1622648</v>
      </c>
      <c r="Z104" s="2">
        <f t="shared" si="144"/>
        <v>1246633</v>
      </c>
      <c r="AA104" s="2">
        <f t="shared" si="144"/>
        <v>1451866</v>
      </c>
      <c r="AB104" s="20">
        <f t="shared" si="144"/>
        <v>1031581</v>
      </c>
      <c r="AC104" s="20">
        <f t="shared" si="144"/>
        <v>1144400</v>
      </c>
      <c r="AD104" s="20">
        <f t="shared" si="144"/>
        <v>50667.50480000001</v>
      </c>
      <c r="AE104" s="20">
        <f t="shared" si="144"/>
        <v>48881.4617</v>
      </c>
      <c r="AF104" s="20">
        <f t="shared" si="144"/>
        <v>43706.778700000003</v>
      </c>
      <c r="AG104" s="20">
        <f t="shared" si="144"/>
        <v>48480.266133333338</v>
      </c>
      <c r="AH104" s="20">
        <f t="shared" si="144"/>
        <v>40611.227600000006</v>
      </c>
      <c r="AI104" s="20">
        <f t="shared" si="144"/>
        <v>39176.023518333328</v>
      </c>
      <c r="AJ104" s="20">
        <f t="shared" si="144"/>
        <v>35034.143335000008</v>
      </c>
      <c r="AK104" s="20">
        <f t="shared" si="144"/>
        <v>38784.212906666675</v>
      </c>
      <c r="AL104" s="20">
        <f t="shared" si="144"/>
        <v>32554.622276000006</v>
      </c>
      <c r="AM104" s="20">
        <f t="shared" si="144"/>
        <v>31401.044849250007</v>
      </c>
      <c r="AN104" s="20">
        <f t="shared" si="144"/>
        <v>28085.726986750007</v>
      </c>
      <c r="AO104" s="20">
        <f t="shared" si="144"/>
        <v>31027.370325333341</v>
      </c>
    </row>
    <row r="105" spans="1:41" x14ac:dyDescent="0.2">
      <c r="A105" t="s">
        <v>26</v>
      </c>
      <c r="U105">
        <v>523628</v>
      </c>
      <c r="V105">
        <v>711224</v>
      </c>
      <c r="W105">
        <v>484853</v>
      </c>
      <c r="X105">
        <v>813500</v>
      </c>
      <c r="Y105">
        <v>745993</v>
      </c>
      <c r="Z105">
        <v>435413</v>
      </c>
      <c r="AA105">
        <v>265729</v>
      </c>
      <c r="AB105">
        <v>286781</v>
      </c>
      <c r="AC105">
        <v>216233</v>
      </c>
    </row>
    <row r="106" spans="1:41" x14ac:dyDescent="0.2">
      <c r="A106" t="s">
        <v>28</v>
      </c>
      <c r="U106">
        <v>34149</v>
      </c>
      <c r="V106">
        <v>24000</v>
      </c>
      <c r="W106">
        <v>17682</v>
      </c>
      <c r="X106">
        <v>15834</v>
      </c>
      <c r="Y106">
        <v>11241</v>
      </c>
      <c r="Z106">
        <v>10651</v>
      </c>
    </row>
    <row r="107" spans="1:41" x14ac:dyDescent="0.2">
      <c r="A107" t="s">
        <v>27</v>
      </c>
      <c r="U107">
        <v>125807</v>
      </c>
      <c r="V107">
        <v>134093</v>
      </c>
      <c r="W107">
        <v>149627</v>
      </c>
      <c r="X107">
        <v>156121</v>
      </c>
      <c r="Y107">
        <v>169938</v>
      </c>
      <c r="Z107">
        <v>187743</v>
      </c>
      <c r="AA107">
        <v>195370</v>
      </c>
      <c r="AB107">
        <v>202362</v>
      </c>
      <c r="AC107" s="6">
        <v>204383</v>
      </c>
      <c r="AD107" s="6">
        <f>Schedule!N49</f>
        <v>203887.67749999999</v>
      </c>
      <c r="AE107" s="6">
        <f>Schedule!O49</f>
        <v>204305.21823333332</v>
      </c>
      <c r="AF107" s="6">
        <f>Schedule!P49</f>
        <v>203487.83270733326</v>
      </c>
      <c r="AG107" s="6">
        <f>Schedule!Q49</f>
        <v>201423.17165940662</v>
      </c>
      <c r="AH107" s="6">
        <f>Schedule!R49</f>
        <v>205912.24993344158</v>
      </c>
      <c r="AI107" s="6">
        <f>Schedule!S49</f>
        <v>209516.8927402168</v>
      </c>
      <c r="AJ107" s="6">
        <f>Schedule!T49</f>
        <v>212228.25572505977</v>
      </c>
      <c r="AK107" s="6">
        <f>Schedule!U49</f>
        <v>214037.40608975122</v>
      </c>
      <c r="AL107" s="6">
        <f>Schedule!V49</f>
        <v>214935.32170808956</v>
      </c>
      <c r="AM107" s="6">
        <f>Schedule!W49</f>
        <v>214912.89023261133</v>
      </c>
      <c r="AN107" s="6">
        <f>Schedule!X49</f>
        <v>213960.90819237824</v>
      </c>
      <c r="AO107" s="6">
        <f>Schedule!Y49</f>
        <v>212070.08008174296</v>
      </c>
    </row>
    <row r="108" spans="1:41" x14ac:dyDescent="0.2">
      <c r="A108" t="s">
        <v>29</v>
      </c>
      <c r="U108">
        <v>285214</v>
      </c>
      <c r="V108">
        <v>290601</v>
      </c>
      <c r="W108">
        <v>290725</v>
      </c>
      <c r="X108">
        <v>290499</v>
      </c>
      <c r="Y108">
        <v>289763</v>
      </c>
      <c r="Z108">
        <v>641284</v>
      </c>
      <c r="AA108">
        <v>616649</v>
      </c>
      <c r="AB108">
        <v>589702</v>
      </c>
      <c r="AC108">
        <v>615093</v>
      </c>
    </row>
    <row r="109" spans="1:41" x14ac:dyDescent="0.2">
      <c r="A109" t="s">
        <v>30</v>
      </c>
      <c r="U109">
        <v>51249</v>
      </c>
      <c r="V109">
        <v>49798</v>
      </c>
      <c r="W109">
        <v>46620</v>
      </c>
      <c r="X109">
        <v>43573</v>
      </c>
      <c r="Y109">
        <v>40566</v>
      </c>
      <c r="Z109">
        <v>102685</v>
      </c>
      <c r="AA109">
        <v>91469</v>
      </c>
      <c r="AB109">
        <v>80646</v>
      </c>
      <c r="AC109">
        <v>78333</v>
      </c>
    </row>
    <row r="110" spans="1:41" x14ac:dyDescent="0.2">
      <c r="A110" t="s">
        <v>31</v>
      </c>
      <c r="U110">
        <v>24226</v>
      </c>
      <c r="V110">
        <v>22617</v>
      </c>
      <c r="W110">
        <v>21100</v>
      </c>
      <c r="X110">
        <v>19520</v>
      </c>
      <c r="Y110">
        <v>18062</v>
      </c>
      <c r="Z110">
        <v>18879</v>
      </c>
      <c r="AA110">
        <v>15485</v>
      </c>
      <c r="AB110">
        <v>18144</v>
      </c>
      <c r="AC110">
        <v>18838</v>
      </c>
    </row>
    <row r="111" spans="1:41" x14ac:dyDescent="0.2">
      <c r="A111" t="s">
        <v>168</v>
      </c>
      <c r="Y111">
        <v>1365</v>
      </c>
      <c r="AB111">
        <v>166965</v>
      </c>
      <c r="AC111">
        <v>167524</v>
      </c>
    </row>
    <row r="112" spans="1:41" x14ac:dyDescent="0.2">
      <c r="A112" t="s">
        <v>32</v>
      </c>
      <c r="U112">
        <v>24030</v>
      </c>
      <c r="V112">
        <v>25602</v>
      </c>
      <c r="W112">
        <v>24073</v>
      </c>
      <c r="X112">
        <v>22484</v>
      </c>
      <c r="Y112">
        <v>19670</v>
      </c>
      <c r="Z112">
        <v>19182</v>
      </c>
      <c r="AA112">
        <v>17951</v>
      </c>
      <c r="AB112">
        <v>21680</v>
      </c>
      <c r="AC112">
        <v>20612</v>
      </c>
    </row>
    <row r="113" spans="1:41" s="2" customFormat="1" x14ac:dyDescent="0.2">
      <c r="A113" s="2" t="s">
        <v>50</v>
      </c>
      <c r="U113" s="2">
        <f>U104+U105+U106+U107+U108+U109+U110+U112</f>
        <v>2251258</v>
      </c>
      <c r="V113" s="2">
        <f>V104+V105+V106+V107+V108+V109+V110+V112</f>
        <v>3193561</v>
      </c>
      <c r="W113" s="2">
        <f>W104+W105+W106+W107+W108+W109+W110+W112</f>
        <v>3150947</v>
      </c>
      <c r="X113" s="2">
        <f>X104+X105+X106+X107+X108+X109+X110+X112</f>
        <v>3187495</v>
      </c>
      <c r="Y113" s="2">
        <f>Y104+Y105+Y106+Y107+Y108+Y109+Y110+Y112+Y111</f>
        <v>2919246</v>
      </c>
      <c r="Z113" s="2">
        <f>Z104+Z105+Z106+Z107+Z108+Z109+Z110+Z112+Z111</f>
        <v>2662470</v>
      </c>
      <c r="AA113" s="2">
        <f>AA104+AA105+AA106+AA107+AA108+AA109+AA110+AA112+AA111</f>
        <v>2654519</v>
      </c>
      <c r="AB113" s="20">
        <f>AB104+AB105+AB106+AB107+AB108+AB109+AB110+AB112+AB111</f>
        <v>2397861</v>
      </c>
      <c r="AC113" s="20">
        <f t="shared" ref="AC113:AO113" si="145">AC104+AC105+AC106+AC107+AC108+AC109+AC110+AC112+AC111</f>
        <v>2465416</v>
      </c>
      <c r="AD113" s="20">
        <f t="shared" si="145"/>
        <v>254555.18229999999</v>
      </c>
      <c r="AE113" s="20">
        <f t="shared" si="145"/>
        <v>253186.6799333333</v>
      </c>
      <c r="AF113" s="20">
        <f t="shared" si="145"/>
        <v>247194.61140733326</v>
      </c>
      <c r="AG113" s="20">
        <f t="shared" si="145"/>
        <v>249903.43779273995</v>
      </c>
      <c r="AH113" s="20">
        <f t="shared" si="145"/>
        <v>246523.47753344159</v>
      </c>
      <c r="AI113" s="20">
        <f t="shared" si="145"/>
        <v>248692.91625855013</v>
      </c>
      <c r="AJ113" s="20">
        <f t="shared" si="145"/>
        <v>247262.39906005978</v>
      </c>
      <c r="AK113" s="20">
        <f t="shared" si="145"/>
        <v>252821.61899641791</v>
      </c>
      <c r="AL113" s="20">
        <f t="shared" si="145"/>
        <v>247489.94398408956</v>
      </c>
      <c r="AM113" s="20">
        <f t="shared" si="145"/>
        <v>246313.93508186133</v>
      </c>
      <c r="AN113" s="20">
        <f t="shared" si="145"/>
        <v>242046.63517912824</v>
      </c>
      <c r="AO113" s="20">
        <f t="shared" si="145"/>
        <v>243097.45040707631</v>
      </c>
    </row>
    <row r="115" spans="1:41" x14ac:dyDescent="0.2">
      <c r="A115" s="2" t="s">
        <v>44</v>
      </c>
    </row>
    <row r="116" spans="1:41" x14ac:dyDescent="0.2">
      <c r="A116" s="2" t="s">
        <v>45</v>
      </c>
    </row>
    <row r="117" spans="1:41" x14ac:dyDescent="0.2">
      <c r="A117" t="s">
        <v>33</v>
      </c>
      <c r="U117">
        <v>8547</v>
      </c>
      <c r="V117">
        <v>14902</v>
      </c>
      <c r="W117">
        <v>6211</v>
      </c>
      <c r="X117">
        <v>10518</v>
      </c>
      <c r="Y117">
        <v>11992</v>
      </c>
      <c r="Z117">
        <v>9549</v>
      </c>
      <c r="AA117">
        <v>11910</v>
      </c>
      <c r="AB117">
        <v>14902</v>
      </c>
      <c r="AC117" s="6">
        <v>12367</v>
      </c>
      <c r="AD117" s="6">
        <f t="shared" ref="AD117:AO117" si="146">AD145/90*AD58</f>
        <v>12867.030000000004</v>
      </c>
      <c r="AE117" s="6">
        <f t="shared" si="146"/>
        <v>11420.38665</v>
      </c>
      <c r="AF117" s="6">
        <f t="shared" si="146"/>
        <v>10211.40315</v>
      </c>
      <c r="AG117" s="6">
        <f t="shared" si="146"/>
        <v>11326.653600000001</v>
      </c>
      <c r="AH117" s="6">
        <f t="shared" si="146"/>
        <v>9488.1762000000017</v>
      </c>
      <c r="AI117" s="6">
        <f t="shared" si="146"/>
        <v>9152.8632825000004</v>
      </c>
      <c r="AJ117" s="6">
        <f t="shared" si="146"/>
        <v>8185.177957500001</v>
      </c>
      <c r="AK117" s="6">
        <f t="shared" si="146"/>
        <v>9061.3228800000015</v>
      </c>
      <c r="AL117" s="6">
        <f t="shared" si="146"/>
        <v>7605.8767620000008</v>
      </c>
      <c r="AM117" s="6">
        <f t="shared" si="146"/>
        <v>7336.3614941250016</v>
      </c>
      <c r="AN117" s="6">
        <f t="shared" si="146"/>
        <v>6561.7894878750012</v>
      </c>
      <c r="AO117" s="6">
        <f t="shared" si="146"/>
        <v>7249.058304000001</v>
      </c>
    </row>
    <row r="118" spans="1:41" x14ac:dyDescent="0.2">
      <c r="A118" t="s">
        <v>34</v>
      </c>
      <c r="U118">
        <v>32620</v>
      </c>
      <c r="V118">
        <v>48608</v>
      </c>
      <c r="W118">
        <v>34682</v>
      </c>
      <c r="X118">
        <v>49983</v>
      </c>
      <c r="Y118">
        <v>35143</v>
      </c>
      <c r="Z118">
        <v>60458</v>
      </c>
      <c r="AA118">
        <v>53297</v>
      </c>
      <c r="AB118">
        <v>60475</v>
      </c>
      <c r="AC118" s="6">
        <v>56273</v>
      </c>
      <c r="AD118" s="6">
        <f t="shared" ref="AD118:AO118" si="147">AD143*AD6</f>
        <v>63205.704000000005</v>
      </c>
      <c r="AE118" s="6">
        <f t="shared" si="147"/>
        <v>48214.38</v>
      </c>
      <c r="AF118" s="6">
        <f t="shared" si="147"/>
        <v>54468.288</v>
      </c>
      <c r="AG118" s="6">
        <f t="shared" si="147"/>
        <v>49246.320000000007</v>
      </c>
      <c r="AH118" s="6">
        <f t="shared" si="147"/>
        <v>39919.392</v>
      </c>
      <c r="AI118" s="6">
        <f t="shared" si="147"/>
        <v>38571.504000000001</v>
      </c>
      <c r="AJ118" s="6">
        <f t="shared" si="147"/>
        <v>34401.024000000005</v>
      </c>
      <c r="AK118" s="6">
        <f t="shared" si="147"/>
        <v>39397.056000000004</v>
      </c>
      <c r="AL118" s="6">
        <f t="shared" si="147"/>
        <v>31935.513600000002</v>
      </c>
      <c r="AM118" s="6">
        <f t="shared" si="147"/>
        <v>30857.203200000004</v>
      </c>
      <c r="AN118" s="6">
        <f t="shared" si="147"/>
        <v>27520.819200000002</v>
      </c>
      <c r="AO118" s="6">
        <f t="shared" si="147"/>
        <v>31517.644800000005</v>
      </c>
    </row>
    <row r="119" spans="1:41" x14ac:dyDescent="0.2">
      <c r="A119" t="s">
        <v>35</v>
      </c>
      <c r="U119">
        <v>68565</v>
      </c>
      <c r="V119">
        <v>78089</v>
      </c>
      <c r="W119">
        <v>72644</v>
      </c>
      <c r="X119">
        <v>73320</v>
      </c>
      <c r="Y119">
        <v>67209</v>
      </c>
      <c r="Z119">
        <v>85424</v>
      </c>
      <c r="AA119">
        <v>69160</v>
      </c>
      <c r="AB119">
        <v>68096</v>
      </c>
      <c r="AC119" s="6">
        <v>70234</v>
      </c>
      <c r="AD119" s="6">
        <f t="shared" ref="AD119:AO119" si="148">AD144/90*AD65</f>
        <v>80352.799999999988</v>
      </c>
      <c r="AE119" s="6">
        <f t="shared" si="148"/>
        <v>79549.271999999997</v>
      </c>
      <c r="AF119" s="6">
        <f t="shared" si="148"/>
        <v>78753.779279999988</v>
      </c>
      <c r="AG119" s="6">
        <f t="shared" si="148"/>
        <v>77966.241487199994</v>
      </c>
      <c r="AH119" s="6">
        <f t="shared" si="148"/>
        <v>77186.579072327993</v>
      </c>
      <c r="AI119" s="6">
        <f t="shared" si="148"/>
        <v>76414.713281604709</v>
      </c>
      <c r="AJ119" s="6">
        <f t="shared" si="148"/>
        <v>75650.566148788654</v>
      </c>
      <c r="AK119" s="6">
        <f t="shared" si="148"/>
        <v>74894.060487300769</v>
      </c>
      <c r="AL119" s="6">
        <f t="shared" si="148"/>
        <v>74145.119882427782</v>
      </c>
      <c r="AM119" s="6">
        <f t="shared" si="148"/>
        <v>73403.668683603493</v>
      </c>
      <c r="AN119" s="6">
        <f t="shared" si="148"/>
        <v>72669.63199676745</v>
      </c>
      <c r="AO119" s="6">
        <f t="shared" si="148"/>
        <v>71942.935676799782</v>
      </c>
    </row>
    <row r="120" spans="1:41" x14ac:dyDescent="0.2">
      <c r="A120" t="s">
        <v>149</v>
      </c>
      <c r="V120">
        <v>109494</v>
      </c>
    </row>
    <row r="121" spans="1:41" s="2" customFormat="1" x14ac:dyDescent="0.2">
      <c r="A121" s="2" t="s">
        <v>49</v>
      </c>
      <c r="U121" s="2">
        <f>U117+U118+U119+U120</f>
        <v>109732</v>
      </c>
      <c r="V121" s="2">
        <f t="shared" ref="V121:AA121" si="149">V117+V118+V119+V120</f>
        <v>251093</v>
      </c>
      <c r="W121" s="2">
        <f t="shared" si="149"/>
        <v>113537</v>
      </c>
      <c r="X121" s="2">
        <f t="shared" si="149"/>
        <v>133821</v>
      </c>
      <c r="Y121" s="2">
        <f t="shared" si="149"/>
        <v>114344</v>
      </c>
      <c r="Z121" s="2">
        <f t="shared" si="149"/>
        <v>155431</v>
      </c>
      <c r="AA121" s="2">
        <f t="shared" si="149"/>
        <v>134367</v>
      </c>
      <c r="AB121" s="20">
        <f>AB117+AB118+AB119+AB120</f>
        <v>143473</v>
      </c>
      <c r="AC121" s="20">
        <f t="shared" ref="AC121:AO121" si="150">AC117+AC118+AC119+AC120</f>
        <v>138874</v>
      </c>
      <c r="AD121" s="20">
        <f t="shared" si="150"/>
        <v>156425.53399999999</v>
      </c>
      <c r="AE121" s="20">
        <f t="shared" si="150"/>
        <v>139184.03865</v>
      </c>
      <c r="AF121" s="20">
        <f t="shared" si="150"/>
        <v>143433.47042999999</v>
      </c>
      <c r="AG121" s="20">
        <f t="shared" si="150"/>
        <v>138539.21508719999</v>
      </c>
      <c r="AH121" s="20">
        <f t="shared" si="150"/>
        <v>126594.147272328</v>
      </c>
      <c r="AI121" s="20">
        <f t="shared" si="150"/>
        <v>124139.08056410472</v>
      </c>
      <c r="AJ121" s="20">
        <f t="shared" si="150"/>
        <v>118236.76810628865</v>
      </c>
      <c r="AK121" s="20">
        <f t="shared" si="150"/>
        <v>123352.43936730077</v>
      </c>
      <c r="AL121" s="20">
        <f t="shared" si="150"/>
        <v>113686.51024442779</v>
      </c>
      <c r="AM121" s="20">
        <f t="shared" si="150"/>
        <v>111597.23337772849</v>
      </c>
      <c r="AN121" s="20">
        <f t="shared" si="150"/>
        <v>106752.24068464246</v>
      </c>
      <c r="AO121" s="20">
        <f t="shared" si="150"/>
        <v>110709.63878079978</v>
      </c>
    </row>
    <row r="123" spans="1:41" x14ac:dyDescent="0.2">
      <c r="A123" s="2" t="s">
        <v>36</v>
      </c>
    </row>
    <row r="124" spans="1:41" x14ac:dyDescent="0.2">
      <c r="A124" t="s">
        <v>37</v>
      </c>
      <c r="U124">
        <v>1506922</v>
      </c>
      <c r="V124">
        <v>1673946</v>
      </c>
      <c r="W124">
        <v>1675340</v>
      </c>
      <c r="X124">
        <v>1676749</v>
      </c>
      <c r="Y124">
        <v>1678155</v>
      </c>
      <c r="Z124">
        <v>1679534</v>
      </c>
      <c r="AA124">
        <v>1680931</v>
      </c>
      <c r="AB124">
        <v>1187513</v>
      </c>
      <c r="AC124">
        <v>1188593</v>
      </c>
    </row>
    <row r="125" spans="1:41" x14ac:dyDescent="0.2">
      <c r="A125" t="s">
        <v>38</v>
      </c>
      <c r="U125">
        <v>19264</v>
      </c>
      <c r="V125">
        <v>17551</v>
      </c>
      <c r="W125">
        <v>15811</v>
      </c>
      <c r="X125">
        <v>14137</v>
      </c>
      <c r="Y125">
        <v>12447</v>
      </c>
      <c r="Z125">
        <v>12456</v>
      </c>
      <c r="AA125">
        <v>11281</v>
      </c>
      <c r="AB125">
        <v>12347</v>
      </c>
      <c r="AC125">
        <v>13375</v>
      </c>
    </row>
    <row r="126" spans="1:41" x14ac:dyDescent="0.2">
      <c r="A126" t="s">
        <v>39</v>
      </c>
      <c r="U126">
        <v>5705</v>
      </c>
      <c r="V126">
        <v>7628</v>
      </c>
      <c r="W126">
        <v>8377</v>
      </c>
      <c r="X126">
        <v>8271</v>
      </c>
      <c r="Y126">
        <v>7383</v>
      </c>
      <c r="Z126">
        <v>6528</v>
      </c>
      <c r="AA126">
        <v>9149</v>
      </c>
      <c r="AB126">
        <v>7996</v>
      </c>
      <c r="AC126">
        <v>7985</v>
      </c>
    </row>
    <row r="127" spans="1:41" s="2" customFormat="1" x14ac:dyDescent="0.2">
      <c r="A127" s="2" t="s">
        <v>46</v>
      </c>
      <c r="U127" s="2">
        <f t="shared" ref="U127:AC127" si="151">U124+U125+U126+U121</f>
        <v>1641623</v>
      </c>
      <c r="V127" s="2">
        <f t="shared" si="151"/>
        <v>1950218</v>
      </c>
      <c r="W127" s="2">
        <f t="shared" si="151"/>
        <v>1813065</v>
      </c>
      <c r="X127" s="2">
        <f t="shared" si="151"/>
        <v>1832978</v>
      </c>
      <c r="Y127" s="2">
        <f t="shared" si="151"/>
        <v>1812329</v>
      </c>
      <c r="Z127" s="2">
        <f t="shared" si="151"/>
        <v>1853949</v>
      </c>
      <c r="AA127" s="2">
        <f t="shared" si="151"/>
        <v>1835728</v>
      </c>
      <c r="AB127" s="2">
        <f t="shared" si="151"/>
        <v>1351329</v>
      </c>
      <c r="AC127" s="2">
        <f t="shared" si="151"/>
        <v>1348827</v>
      </c>
    </row>
    <row r="129" spans="1:42" x14ac:dyDescent="0.2">
      <c r="A129" s="2" t="s">
        <v>48</v>
      </c>
    </row>
    <row r="130" spans="1:42" x14ac:dyDescent="0.2">
      <c r="A130" t="s">
        <v>40</v>
      </c>
      <c r="U130">
        <f>ROUND(U131/1000000,0)</f>
        <v>129</v>
      </c>
      <c r="V130">
        <f>ROUND(V131/1000000,0)</f>
        <v>141</v>
      </c>
      <c r="W130">
        <f>ROUND(W131/1000000,0)</f>
        <v>145</v>
      </c>
      <c r="X130">
        <f>ROUND(X131/1000000,0)</f>
        <v>145</v>
      </c>
      <c r="Y130">
        <f>ROUND(Y131/1000000,0)</f>
        <v>137</v>
      </c>
      <c r="Z130">
        <v>127</v>
      </c>
      <c r="AA130">
        <v>126</v>
      </c>
      <c r="AB130">
        <v>125</v>
      </c>
      <c r="AC130">
        <v>126</v>
      </c>
    </row>
    <row r="131" spans="1:42" x14ac:dyDescent="0.2">
      <c r="A131" t="s">
        <v>150</v>
      </c>
      <c r="U131">
        <v>129343524</v>
      </c>
      <c r="V131">
        <v>141317066</v>
      </c>
      <c r="W131">
        <v>144621425</v>
      </c>
      <c r="X131">
        <v>144901435</v>
      </c>
      <c r="Y131">
        <v>136951956</v>
      </c>
      <c r="Z131">
        <v>126681972</v>
      </c>
      <c r="AA131">
        <v>126343933</v>
      </c>
      <c r="AB131">
        <v>125423860</v>
      </c>
      <c r="AC131">
        <v>126473827</v>
      </c>
    </row>
    <row r="132" spans="1:42" x14ac:dyDescent="0.2">
      <c r="A132" t="s">
        <v>41</v>
      </c>
      <c r="U132">
        <v>1030577</v>
      </c>
      <c r="V132">
        <v>1645352</v>
      </c>
      <c r="W132">
        <v>1706855</v>
      </c>
      <c r="X132">
        <v>1717421</v>
      </c>
      <c r="Y132">
        <v>1449305</v>
      </c>
      <c r="Z132">
        <v>1176765</v>
      </c>
      <c r="AA132">
        <v>1211506</v>
      </c>
      <c r="AB132">
        <v>1220688</v>
      </c>
      <c r="AC132" s="6">
        <v>1244504</v>
      </c>
      <c r="AD132" s="6">
        <f t="shared" ref="AD132:AO132" si="152">AC132+AD157</f>
        <v>1279654.115</v>
      </c>
      <c r="AE132" s="6">
        <f t="shared" si="152"/>
        <v>1314839.3801150001</v>
      </c>
      <c r="AF132" s="6">
        <f t="shared" si="152"/>
        <v>1350059.8304951151</v>
      </c>
      <c r="AG132" s="6">
        <f t="shared" si="152"/>
        <v>1385315.5013256103</v>
      </c>
      <c r="AH132" s="6">
        <f t="shared" si="152"/>
        <v>1420606.4278269359</v>
      </c>
      <c r="AI132" s="6">
        <f t="shared" si="152"/>
        <v>1455932.6452547628</v>
      </c>
      <c r="AJ132" s="6">
        <f t="shared" si="152"/>
        <v>1491294.1889000176</v>
      </c>
      <c r="AK132" s="6">
        <f t="shared" si="152"/>
        <v>1526691.0940889176</v>
      </c>
      <c r="AL132" s="6">
        <f t="shared" si="152"/>
        <v>1562123.3961830065</v>
      </c>
      <c r="AM132" s="6">
        <f t="shared" si="152"/>
        <v>1597591.1305791894</v>
      </c>
      <c r="AN132" s="6">
        <f t="shared" si="152"/>
        <v>1633094.3327097686</v>
      </c>
      <c r="AO132" s="6">
        <f t="shared" si="152"/>
        <v>1668633.0380424783</v>
      </c>
    </row>
    <row r="133" spans="1:42" x14ac:dyDescent="0.2">
      <c r="A133" t="s">
        <v>42</v>
      </c>
      <c r="U133">
        <v>1530</v>
      </c>
      <c r="V133">
        <v>-1238</v>
      </c>
      <c r="W133">
        <v>-970</v>
      </c>
      <c r="X133">
        <v>-1552</v>
      </c>
      <c r="Y133">
        <v>-5334</v>
      </c>
      <c r="Z133">
        <v>-36922</v>
      </c>
      <c r="AA133">
        <v>-68868</v>
      </c>
      <c r="AB133">
        <v>-101870</v>
      </c>
      <c r="AC133">
        <v>-57488</v>
      </c>
    </row>
    <row r="134" spans="1:42" x14ac:dyDescent="0.2">
      <c r="A134" t="s">
        <v>43</v>
      </c>
      <c r="U134">
        <v>-422601</v>
      </c>
      <c r="V134">
        <v>-400912</v>
      </c>
      <c r="W134">
        <v>-368148</v>
      </c>
      <c r="X134">
        <v>-361497</v>
      </c>
      <c r="Y134">
        <f>X134+Y78</f>
        <v>-337191</v>
      </c>
      <c r="Z134">
        <f t="shared" ref="Z134:AO134" si="153">Y134+Z78</f>
        <v>-331449</v>
      </c>
      <c r="AA134">
        <f t="shared" si="153"/>
        <v>-323973</v>
      </c>
      <c r="AB134" s="6">
        <f t="shared" si="153"/>
        <v>-72411</v>
      </c>
      <c r="AC134" s="6">
        <f>AB134+AC78</f>
        <v>-70553</v>
      </c>
      <c r="AD134" s="6">
        <f t="shared" si="153"/>
        <v>-87079.898991902766</v>
      </c>
      <c r="AE134" s="6">
        <f t="shared" si="153"/>
        <v>-105981.48686380553</v>
      </c>
      <c r="AF134" s="6">
        <f t="shared" si="153"/>
        <v>-133970.12121890832</v>
      </c>
      <c r="AG134" s="6">
        <f t="shared" si="153"/>
        <v>-151385.47995237907</v>
      </c>
      <c r="AH134" s="6">
        <f t="shared" si="153"/>
        <v>-183238.57120843415</v>
      </c>
      <c r="AI134" s="6">
        <f t="shared" si="153"/>
        <v>-216818.18650584773</v>
      </c>
      <c r="AJ134" s="6">
        <f t="shared" si="153"/>
        <v>-257487.69413200617</v>
      </c>
      <c r="AK134" s="6">
        <f t="shared" si="153"/>
        <v>-289652.34614562208</v>
      </c>
      <c r="AL134" s="6">
        <f t="shared" si="153"/>
        <v>-333057.08213622088</v>
      </c>
      <c r="AM134" s="6">
        <f t="shared" si="153"/>
        <v>-377675.24313151272</v>
      </c>
      <c r="AN134" s="6">
        <f t="shared" si="153"/>
        <v>-426782.04855585785</v>
      </c>
      <c r="AO134" s="6">
        <f t="shared" si="153"/>
        <v>-469025.52738644951</v>
      </c>
    </row>
    <row r="135" spans="1:42" s="2" customFormat="1" x14ac:dyDescent="0.2">
      <c r="A135" s="2" t="s">
        <v>47</v>
      </c>
      <c r="U135" s="2">
        <f t="shared" ref="U135:AO135" si="154">U130+U132+U133+U134</f>
        <v>609635</v>
      </c>
      <c r="V135" s="2">
        <f t="shared" si="154"/>
        <v>1243343</v>
      </c>
      <c r="W135" s="2">
        <f t="shared" si="154"/>
        <v>1337882</v>
      </c>
      <c r="X135" s="2">
        <f t="shared" si="154"/>
        <v>1354517</v>
      </c>
      <c r="Y135" s="2">
        <f t="shared" si="154"/>
        <v>1106917</v>
      </c>
      <c r="Z135" s="2">
        <f t="shared" si="154"/>
        <v>808521</v>
      </c>
      <c r="AA135" s="2">
        <f t="shared" si="154"/>
        <v>818791</v>
      </c>
      <c r="AB135" s="20">
        <f t="shared" si="154"/>
        <v>1046532</v>
      </c>
      <c r="AC135" s="20">
        <f t="shared" si="154"/>
        <v>1116589</v>
      </c>
      <c r="AD135" s="20">
        <f t="shared" si="154"/>
        <v>1192574.2160080972</v>
      </c>
      <c r="AE135" s="20">
        <f t="shared" si="154"/>
        <v>1208857.8932511946</v>
      </c>
      <c r="AF135" s="20">
        <f t="shared" si="154"/>
        <v>1216089.7092762068</v>
      </c>
      <c r="AG135" s="20">
        <f t="shared" si="154"/>
        <v>1233930.0213732312</v>
      </c>
      <c r="AH135" s="20">
        <f t="shared" si="154"/>
        <v>1237367.8566185017</v>
      </c>
      <c r="AI135" s="20">
        <f t="shared" si="154"/>
        <v>1239114.4587489152</v>
      </c>
      <c r="AJ135" s="20">
        <f t="shared" si="154"/>
        <v>1233806.4947680114</v>
      </c>
      <c r="AK135" s="20">
        <f t="shared" si="154"/>
        <v>1237038.7479432956</v>
      </c>
      <c r="AL135" s="20">
        <f t="shared" si="154"/>
        <v>1229066.3140467857</v>
      </c>
      <c r="AM135" s="20">
        <f t="shared" si="154"/>
        <v>1219915.8874476766</v>
      </c>
      <c r="AN135" s="20">
        <f t="shared" si="154"/>
        <v>1206312.2841539108</v>
      </c>
      <c r="AO135" s="20">
        <f t="shared" si="154"/>
        <v>1199607.5106560288</v>
      </c>
    </row>
    <row r="136" spans="1:42" x14ac:dyDescent="0.2">
      <c r="A136" s="2"/>
    </row>
    <row r="137" spans="1:42" s="2" customFormat="1" x14ac:dyDescent="0.2">
      <c r="A137" s="2" t="s">
        <v>151</v>
      </c>
      <c r="U137" s="2">
        <f t="shared" ref="U137:Z137" si="155">U135+U127</f>
        <v>2251258</v>
      </c>
      <c r="V137" s="2">
        <f t="shared" si="155"/>
        <v>3193561</v>
      </c>
      <c r="W137" s="2">
        <f t="shared" si="155"/>
        <v>3150947</v>
      </c>
      <c r="X137" s="2">
        <f t="shared" si="155"/>
        <v>3187495</v>
      </c>
      <c r="Y137" s="2">
        <f t="shared" si="155"/>
        <v>2919246</v>
      </c>
      <c r="Z137" s="2">
        <f t="shared" si="155"/>
        <v>2662470</v>
      </c>
      <c r="AA137" s="2">
        <f>AA135+AA127</f>
        <v>2654519</v>
      </c>
      <c r="AB137" s="20">
        <f>AB135+AB127</f>
        <v>2397861</v>
      </c>
      <c r="AC137" s="20">
        <f t="shared" ref="AC137:AO137" si="156">AC135+AC127</f>
        <v>2465416</v>
      </c>
      <c r="AD137" s="20">
        <f t="shared" si="156"/>
        <v>1192574.2160080972</v>
      </c>
      <c r="AE137" s="20">
        <f t="shared" si="156"/>
        <v>1208857.8932511946</v>
      </c>
      <c r="AF137" s="20">
        <f t="shared" si="156"/>
        <v>1216089.7092762068</v>
      </c>
      <c r="AG137" s="20">
        <f t="shared" si="156"/>
        <v>1233930.0213732312</v>
      </c>
      <c r="AH137" s="20">
        <f t="shared" si="156"/>
        <v>1237367.8566185017</v>
      </c>
      <c r="AI137" s="20">
        <f t="shared" si="156"/>
        <v>1239114.4587489152</v>
      </c>
      <c r="AJ137" s="20">
        <f t="shared" si="156"/>
        <v>1233806.4947680114</v>
      </c>
      <c r="AK137" s="20">
        <f t="shared" si="156"/>
        <v>1237038.7479432956</v>
      </c>
      <c r="AL137" s="20">
        <f t="shared" si="156"/>
        <v>1229066.3140467857</v>
      </c>
      <c r="AM137" s="20">
        <f t="shared" si="156"/>
        <v>1219915.8874476766</v>
      </c>
      <c r="AN137" s="20">
        <f t="shared" si="156"/>
        <v>1206312.2841539108</v>
      </c>
      <c r="AO137" s="20">
        <f t="shared" si="156"/>
        <v>1199607.5106560288</v>
      </c>
    </row>
    <row r="138" spans="1:42" s="2" customFormat="1" x14ac:dyDescent="0.2">
      <c r="A138" s="2" t="s">
        <v>152</v>
      </c>
      <c r="U138" s="2">
        <f t="shared" ref="U138:AB138" si="157">U113-U137</f>
        <v>0</v>
      </c>
      <c r="V138" s="2">
        <f t="shared" si="157"/>
        <v>0</v>
      </c>
      <c r="W138" s="2">
        <f t="shared" si="157"/>
        <v>0</v>
      </c>
      <c r="X138" s="2">
        <f t="shared" si="157"/>
        <v>0</v>
      </c>
      <c r="Y138" s="2">
        <f t="shared" si="157"/>
        <v>0</v>
      </c>
      <c r="Z138" s="2">
        <f t="shared" si="157"/>
        <v>0</v>
      </c>
      <c r="AA138" s="2">
        <f t="shared" si="157"/>
        <v>0</v>
      </c>
      <c r="AB138" s="20">
        <f t="shared" si="157"/>
        <v>0</v>
      </c>
      <c r="AC138" s="20">
        <f t="shared" ref="AC138:AO138" si="158">AC113-AC137</f>
        <v>0</v>
      </c>
      <c r="AD138" s="20">
        <f t="shared" si="158"/>
        <v>-938019.03370809718</v>
      </c>
      <c r="AE138" s="20">
        <f t="shared" si="158"/>
        <v>-955671.21331786131</v>
      </c>
      <c r="AF138" s="20">
        <f t="shared" si="158"/>
        <v>-968895.0978688735</v>
      </c>
      <c r="AG138" s="20">
        <f t="shared" si="158"/>
        <v>-984026.58358049125</v>
      </c>
      <c r="AH138" s="20">
        <f t="shared" si="158"/>
        <v>-990844.37908506009</v>
      </c>
      <c r="AI138" s="20">
        <f t="shared" si="158"/>
        <v>-990421.5424903651</v>
      </c>
      <c r="AJ138" s="20">
        <f t="shared" si="158"/>
        <v>-986544.09570795158</v>
      </c>
      <c r="AK138" s="20">
        <f t="shared" si="158"/>
        <v>-984217.12894687778</v>
      </c>
      <c r="AL138" s="20">
        <f t="shared" si="158"/>
        <v>-981576.37006269617</v>
      </c>
      <c r="AM138" s="20">
        <f t="shared" si="158"/>
        <v>-973601.95236581529</v>
      </c>
      <c r="AN138" s="20">
        <f t="shared" si="158"/>
        <v>-964265.64897478255</v>
      </c>
      <c r="AO138" s="20">
        <f t="shared" si="158"/>
        <v>-956510.06024895248</v>
      </c>
    </row>
    <row r="140" spans="1:42" x14ac:dyDescent="0.2">
      <c r="A140" s="2" t="s">
        <v>171</v>
      </c>
    </row>
    <row r="142" spans="1:42" s="11" customFormat="1" x14ac:dyDescent="0.2">
      <c r="A142" s="11" t="s">
        <v>229</v>
      </c>
      <c r="U142" s="13">
        <f t="shared" ref="U142:AO142" si="159">U118/(U57/90)</f>
        <v>14.270784217459569</v>
      </c>
      <c r="V142" s="13">
        <f t="shared" si="159"/>
        <v>22.0524453316396</v>
      </c>
      <c r="W142" s="13">
        <f t="shared" si="159"/>
        <v>15.726579268231239</v>
      </c>
      <c r="X142" s="13">
        <f t="shared" si="159"/>
        <v>26.162717660606482</v>
      </c>
      <c r="Y142" s="13">
        <f t="shared" si="159"/>
        <v>15.245171521253983</v>
      </c>
      <c r="Z142" s="13">
        <f t="shared" si="159"/>
        <v>26.904234489033048</v>
      </c>
      <c r="AA142" s="13">
        <f t="shared" si="159"/>
        <v>24.633860754618148</v>
      </c>
      <c r="AB142" s="13">
        <f t="shared" si="159"/>
        <v>33.038624733669621</v>
      </c>
      <c r="AC142" s="13">
        <f t="shared" si="159"/>
        <v>24.681982328831879</v>
      </c>
      <c r="AD142" s="13">
        <f t="shared" si="159"/>
        <v>33.157496485202877</v>
      </c>
      <c r="AE142" s="13">
        <f t="shared" si="159"/>
        <v>26.217264701804115</v>
      </c>
      <c r="AF142" s="13">
        <f t="shared" si="159"/>
        <v>33.124543562850128</v>
      </c>
      <c r="AG142" s="13">
        <f t="shared" si="159"/>
        <v>27</v>
      </c>
      <c r="AH142" s="13">
        <f t="shared" si="159"/>
        <v>26.127194425415496</v>
      </c>
      <c r="AI142" s="13">
        <f t="shared" si="159"/>
        <v>26.169847887706606</v>
      </c>
      <c r="AJ142" s="13">
        <f t="shared" si="159"/>
        <v>26.099659671327313</v>
      </c>
      <c r="AK142" s="13">
        <f t="shared" si="159"/>
        <v>26.999999999999996</v>
      </c>
      <c r="AL142" s="13">
        <f t="shared" si="159"/>
        <v>26.074513913613686</v>
      </c>
      <c r="AM142" s="13">
        <f t="shared" si="159"/>
        <v>26.119655094075306</v>
      </c>
      <c r="AN142" s="13">
        <f t="shared" si="159"/>
        <v>26.045377948774519</v>
      </c>
      <c r="AO142" s="13">
        <f t="shared" si="159"/>
        <v>26.999999999999996</v>
      </c>
    </row>
    <row r="143" spans="1:42" s="11" customFormat="1" x14ac:dyDescent="0.2">
      <c r="A143" s="11" t="s">
        <v>218</v>
      </c>
      <c r="U143" s="12">
        <f t="shared" ref="U143:AB143" si="160">U118/U6</f>
        <v>0.18537250667727453</v>
      </c>
      <c r="V143" s="12">
        <f t="shared" si="160"/>
        <v>0.29940068124002933</v>
      </c>
      <c r="W143" s="12">
        <f t="shared" si="160"/>
        <v>0.19988127690720581</v>
      </c>
      <c r="X143" s="12">
        <f t="shared" si="160"/>
        <v>0.34050684651543023</v>
      </c>
      <c r="Y143" s="12">
        <f t="shared" si="160"/>
        <v>0.18768959624011963</v>
      </c>
      <c r="Z143" s="12">
        <f t="shared" si="160"/>
        <v>0.32713243728762204</v>
      </c>
      <c r="AA143" s="12">
        <f t="shared" si="160"/>
        <v>0.2818813598764518</v>
      </c>
      <c r="AB143" s="12">
        <f t="shared" si="160"/>
        <v>0.37971544102873217</v>
      </c>
      <c r="AC143" s="16">
        <v>0.3</v>
      </c>
      <c r="AD143" s="16">
        <v>0.38</v>
      </c>
      <c r="AE143" s="16">
        <v>0.3</v>
      </c>
      <c r="AF143" s="16">
        <v>0.38</v>
      </c>
      <c r="AG143" s="16">
        <v>0.3</v>
      </c>
      <c r="AH143" s="16">
        <v>0.3</v>
      </c>
      <c r="AI143" s="16">
        <v>0.3</v>
      </c>
      <c r="AJ143" s="16">
        <v>0.3</v>
      </c>
      <c r="AK143" s="16">
        <v>0.3</v>
      </c>
      <c r="AL143" s="16">
        <v>0.3</v>
      </c>
      <c r="AM143" s="16">
        <v>0.3</v>
      </c>
      <c r="AN143" s="16">
        <v>0.3</v>
      </c>
      <c r="AO143" s="16">
        <v>0.3</v>
      </c>
      <c r="AP143" s="14"/>
    </row>
    <row r="144" spans="1:42" s="11" customFormat="1" x14ac:dyDescent="0.2">
      <c r="A144" s="11" t="s">
        <v>216</v>
      </c>
      <c r="U144" s="13">
        <f t="shared" ref="U144:AB144" si="161">U119/(U65/90)</f>
        <v>62.099728288215758</v>
      </c>
      <c r="V144" s="13">
        <f t="shared" si="161"/>
        <v>63.766365739690606</v>
      </c>
      <c r="W144" s="13">
        <f t="shared" si="161"/>
        <v>63.47533980582525</v>
      </c>
      <c r="X144" s="13">
        <f t="shared" si="161"/>
        <v>63.159103743335983</v>
      </c>
      <c r="Y144" s="13">
        <f t="shared" si="161"/>
        <v>48.174657534246577</v>
      </c>
      <c r="Z144" s="13">
        <f t="shared" si="161"/>
        <v>54.224836545989298</v>
      </c>
      <c r="AA144" s="13">
        <f t="shared" si="161"/>
        <v>43.928465566643617</v>
      </c>
      <c r="AB144" s="13">
        <f t="shared" si="161"/>
        <v>46.793870398790574</v>
      </c>
      <c r="AC144" s="17">
        <v>50</v>
      </c>
      <c r="AD144" s="17">
        <v>50</v>
      </c>
      <c r="AE144" s="17">
        <v>50</v>
      </c>
      <c r="AF144" s="17">
        <v>50</v>
      </c>
      <c r="AG144" s="17">
        <v>50</v>
      </c>
      <c r="AH144" s="17">
        <v>50</v>
      </c>
      <c r="AI144" s="17">
        <v>50</v>
      </c>
      <c r="AJ144" s="17">
        <v>50</v>
      </c>
      <c r="AK144" s="17">
        <v>50</v>
      </c>
      <c r="AL144" s="17">
        <v>50</v>
      </c>
      <c r="AM144" s="17">
        <v>50</v>
      </c>
      <c r="AN144" s="17">
        <v>50</v>
      </c>
      <c r="AO144" s="17">
        <v>50</v>
      </c>
    </row>
    <row r="145" spans="1:41" s="11" customFormat="1" x14ac:dyDescent="0.2">
      <c r="A145" s="11" t="s">
        <v>215</v>
      </c>
      <c r="U145" s="13">
        <f t="shared" ref="U145:AB145" si="162">U117/(U58/90)</f>
        <v>13.463847513696113</v>
      </c>
      <c r="V145" s="13">
        <f t="shared" si="162"/>
        <v>18.788243864171243</v>
      </c>
      <c r="W145" s="13">
        <f t="shared" si="162"/>
        <v>9.2078474006720707</v>
      </c>
      <c r="X145" s="13">
        <f t="shared" si="162"/>
        <v>14.107180113856517</v>
      </c>
      <c r="Y145" s="13">
        <f t="shared" si="162"/>
        <v>19.373182552504037</v>
      </c>
      <c r="Z145" s="13">
        <f t="shared" si="162"/>
        <v>15.60152491603885</v>
      </c>
      <c r="AA145" s="13">
        <f t="shared" si="162"/>
        <v>23.463356973995271</v>
      </c>
      <c r="AB145" s="13">
        <f t="shared" si="162"/>
        <v>29.670154635754265</v>
      </c>
      <c r="AC145" s="17">
        <v>26</v>
      </c>
      <c r="AD145" s="17">
        <v>25</v>
      </c>
      <c r="AE145" s="17">
        <v>23</v>
      </c>
      <c r="AF145" s="17">
        <v>23</v>
      </c>
      <c r="AG145" s="17">
        <v>23</v>
      </c>
      <c r="AH145" s="17">
        <v>23</v>
      </c>
      <c r="AI145" s="17">
        <v>23</v>
      </c>
      <c r="AJ145" s="17">
        <v>23</v>
      </c>
      <c r="AK145" s="17">
        <v>23</v>
      </c>
      <c r="AL145" s="17">
        <v>23</v>
      </c>
      <c r="AM145" s="17">
        <v>23</v>
      </c>
      <c r="AN145" s="17">
        <v>23</v>
      </c>
      <c r="AO145" s="17">
        <v>23</v>
      </c>
    </row>
    <row r="146" spans="1:41" s="11" customFormat="1" x14ac:dyDescent="0.2">
      <c r="A146" s="11" t="s">
        <v>217</v>
      </c>
      <c r="U146" s="13">
        <f t="shared" ref="U146:AB146" si="163">U101/(U57/90)</f>
        <v>5.649253114655286</v>
      </c>
      <c r="V146" s="13">
        <f t="shared" si="163"/>
        <v>5.2776517557390443</v>
      </c>
      <c r="W146" s="13">
        <f t="shared" si="163"/>
        <v>4.575771622043753</v>
      </c>
      <c r="X146" s="13">
        <f t="shared" si="163"/>
        <v>4.8689674425096836</v>
      </c>
      <c r="Y146" s="13">
        <f t="shared" si="163"/>
        <v>7.7434001552054061</v>
      </c>
      <c r="Z146" s="13">
        <f t="shared" si="163"/>
        <v>8.8636498486976123</v>
      </c>
      <c r="AA146" s="13">
        <f t="shared" si="163"/>
        <v>7.771889010430308</v>
      </c>
      <c r="AB146" s="13">
        <f t="shared" si="163"/>
        <v>12.121173492615592</v>
      </c>
      <c r="AC146" s="17">
        <v>12</v>
      </c>
      <c r="AD146" s="17">
        <v>12</v>
      </c>
      <c r="AE146" s="17">
        <v>12</v>
      </c>
      <c r="AF146" s="17">
        <v>12</v>
      </c>
      <c r="AG146" s="17">
        <v>12</v>
      </c>
      <c r="AH146" s="17">
        <v>12</v>
      </c>
      <c r="AI146" s="17">
        <v>12</v>
      </c>
      <c r="AJ146" s="17">
        <v>12</v>
      </c>
      <c r="AK146" s="17">
        <v>12</v>
      </c>
      <c r="AL146" s="17">
        <v>12</v>
      </c>
      <c r="AM146" s="17">
        <v>12</v>
      </c>
      <c r="AN146" s="17">
        <v>12</v>
      </c>
      <c r="AO146" s="17">
        <v>12</v>
      </c>
    </row>
    <row r="147" spans="1:41" x14ac:dyDescent="0.2">
      <c r="A147" s="11" t="s">
        <v>292</v>
      </c>
      <c r="U147" s="21">
        <f t="shared" ref="U147:AB147" si="164">U102/U58</f>
        <v>0.22361857420405021</v>
      </c>
      <c r="V147" s="21">
        <f t="shared" si="164"/>
        <v>0.35380477417908773</v>
      </c>
      <c r="W147" s="21">
        <f t="shared" si="164"/>
        <v>0.30986031495025368</v>
      </c>
      <c r="X147" s="21">
        <f t="shared" si="164"/>
        <v>0.52403803165330387</v>
      </c>
      <c r="Y147" s="21">
        <f t="shared" si="164"/>
        <v>0.62992281457548016</v>
      </c>
      <c r="Z147" s="21">
        <f t="shared" si="164"/>
        <v>0.52431696469093214</v>
      </c>
      <c r="AA147" s="21">
        <f t="shared" si="164"/>
        <v>0.44030732860520094</v>
      </c>
      <c r="AB147" s="21">
        <f t="shared" si="164"/>
        <v>0.73979603123686477</v>
      </c>
      <c r="AC147" s="16">
        <v>0.6</v>
      </c>
      <c r="AD147" s="16">
        <v>0.6</v>
      </c>
      <c r="AE147" s="16">
        <v>0.6</v>
      </c>
      <c r="AF147" s="16">
        <v>0.6</v>
      </c>
      <c r="AG147" s="16">
        <v>0.6</v>
      </c>
      <c r="AH147" s="16">
        <v>0.6</v>
      </c>
      <c r="AI147" s="16">
        <v>0.6</v>
      </c>
      <c r="AJ147" s="16">
        <v>0.6</v>
      </c>
      <c r="AK147" s="16">
        <v>0.6</v>
      </c>
      <c r="AL147" s="16">
        <v>0.6</v>
      </c>
      <c r="AM147" s="16">
        <v>0.6</v>
      </c>
      <c r="AN147" s="16">
        <v>0.6</v>
      </c>
      <c r="AO147" s="16">
        <v>0.6</v>
      </c>
    </row>
    <row r="150" spans="1:41" s="5" customFormat="1" x14ac:dyDescent="0.2">
      <c r="A150" s="3" t="s">
        <v>53</v>
      </c>
      <c r="AC150"/>
    </row>
    <row r="152" spans="1:41" x14ac:dyDescent="0.2">
      <c r="A152" s="2" t="s">
        <v>54</v>
      </c>
    </row>
    <row r="153" spans="1:41" x14ac:dyDescent="0.2">
      <c r="A153" t="s">
        <v>55</v>
      </c>
      <c r="U153">
        <f>U78</f>
        <v>26043</v>
      </c>
      <c r="V153">
        <f t="shared" ref="V153:AO153" si="165">V78</f>
        <v>-65179</v>
      </c>
      <c r="W153">
        <f t="shared" si="165"/>
        <v>32764</v>
      </c>
      <c r="X153">
        <f t="shared" si="165"/>
        <v>6651</v>
      </c>
      <c r="Y153">
        <f t="shared" si="165"/>
        <v>24306</v>
      </c>
      <c r="Z153">
        <f t="shared" si="165"/>
        <v>5742</v>
      </c>
      <c r="AA153">
        <f t="shared" si="165"/>
        <v>7476</v>
      </c>
      <c r="AB153" s="6">
        <f t="shared" si="165"/>
        <v>251562</v>
      </c>
      <c r="AC153" s="6">
        <f t="shared" si="165"/>
        <v>1858</v>
      </c>
      <c r="AD153" s="6">
        <f t="shared" si="165"/>
        <v>-16526.898991902766</v>
      </c>
      <c r="AE153" s="6">
        <f t="shared" si="165"/>
        <v>-18901.587871902775</v>
      </c>
      <c r="AF153" s="6">
        <f t="shared" si="165"/>
        <v>-27988.634355102771</v>
      </c>
      <c r="AG153" s="6">
        <f t="shared" si="165"/>
        <v>-17415.358733470763</v>
      </c>
      <c r="AH153" s="6">
        <f t="shared" si="165"/>
        <v>-31853.091256055086</v>
      </c>
      <c r="AI153" s="6">
        <f t="shared" si="165"/>
        <v>-33579.615297413562</v>
      </c>
      <c r="AJ153" s="6">
        <f t="shared" si="165"/>
        <v>-40669.50762615844</v>
      </c>
      <c r="AK153" s="6">
        <f t="shared" si="165"/>
        <v>-32164.652013615891</v>
      </c>
      <c r="AL153" s="6">
        <f t="shared" si="165"/>
        <v>-43404.735990598783</v>
      </c>
      <c r="AM153" s="6">
        <f t="shared" si="165"/>
        <v>-44618.160995291815</v>
      </c>
      <c r="AN153" s="6">
        <f t="shared" si="165"/>
        <v>-49106.805424345119</v>
      </c>
      <c r="AO153" s="6">
        <f t="shared" si="165"/>
        <v>-42243.478830591681</v>
      </c>
    </row>
    <row r="154" spans="1:41" x14ac:dyDescent="0.2">
      <c r="A154" s="2" t="s">
        <v>162</v>
      </c>
    </row>
    <row r="155" spans="1:41" x14ac:dyDescent="0.2">
      <c r="A155" t="s">
        <v>56</v>
      </c>
      <c r="V155">
        <v>3760</v>
      </c>
      <c r="W155">
        <f>6581-V155</f>
        <v>2821</v>
      </c>
      <c r="X155">
        <f>9024-W155-V155</f>
        <v>2443</v>
      </c>
      <c r="Y155">
        <f>10859-X155-W155-V155</f>
        <v>1835</v>
      </c>
      <c r="Z155">
        <v>1521</v>
      </c>
      <c r="AA155">
        <f>1610-Z155</f>
        <v>89</v>
      </c>
    </row>
    <row r="156" spans="1:41" x14ac:dyDescent="0.2">
      <c r="A156" t="s">
        <v>57</v>
      </c>
      <c r="V156">
        <v>14846</v>
      </c>
      <c r="W156">
        <f>30187-V156</f>
        <v>15341</v>
      </c>
      <c r="X156">
        <f>46273-W156-V156</f>
        <v>16086</v>
      </c>
      <c r="Y156">
        <f>63274-X156-W156-V156</f>
        <v>17001</v>
      </c>
      <c r="Z156">
        <v>20285</v>
      </c>
      <c r="AA156">
        <f>41921-Z156</f>
        <v>21636</v>
      </c>
      <c r="AB156">
        <f>64295-AA156-Z156</f>
        <v>22374</v>
      </c>
      <c r="AC156" s="6">
        <f>89997-AB156-AA156-Z156</f>
        <v>25702</v>
      </c>
      <c r="AD156" s="6">
        <f>-Schedule!N45</f>
        <v>25199.5</v>
      </c>
      <c r="AE156" s="6">
        <f>-Schedule!O45</f>
        <v>26690.596666666665</v>
      </c>
      <c r="AF156" s="6">
        <f>-Schedule!P45</f>
        <v>28196.604299999999</v>
      </c>
      <c r="AG156" s="6">
        <f>-Schedule!Q45</f>
        <v>29717.672009666665</v>
      </c>
      <c r="AH156" s="6">
        <f>-Schedule!R45</f>
        <v>23440.4627973225</v>
      </c>
      <c r="AI156" s="6">
        <f>-Schedule!S45</f>
        <v>24604.193675295726</v>
      </c>
      <c r="AJ156" s="6">
        <f>-Schedule!T45</f>
        <v>25779.561862048682</v>
      </c>
      <c r="AK156" s="6">
        <f>-Schedule!U45</f>
        <v>26966.68373066917</v>
      </c>
      <c r="AL156" s="6">
        <f>-Schedule!V45</f>
        <v>28165.676817975862</v>
      </c>
      <c r="AM156" s="6">
        <f>-Schedule!W45</f>
        <v>29376.659836155621</v>
      </c>
      <c r="AN156" s="6">
        <f>-Schedule!X45</f>
        <v>30599.752684517178</v>
      </c>
      <c r="AO156" s="6">
        <f>-Schedule!Y45</f>
        <v>31835.076461362347</v>
      </c>
    </row>
    <row r="157" spans="1:41" x14ac:dyDescent="0.2">
      <c r="A157" t="s">
        <v>58</v>
      </c>
      <c r="V157">
        <v>23100</v>
      </c>
      <c r="W157">
        <f>51645-V157</f>
        <v>28545</v>
      </c>
      <c r="X157">
        <f>76157-W157-V157</f>
        <v>24512</v>
      </c>
      <c r="Y157">
        <f>108846-X157-W157-V157</f>
        <v>32689</v>
      </c>
      <c r="Z157">
        <v>33084</v>
      </c>
      <c r="AA157">
        <f>64171-Z157</f>
        <v>31087</v>
      </c>
      <c r="AB157">
        <f>98341-AA157-Z157</f>
        <v>34170</v>
      </c>
      <c r="AC157" s="6">
        <f>133456-AB157-AA157-Z157</f>
        <v>35115</v>
      </c>
      <c r="AD157" s="6">
        <f t="shared" ref="AD157:AO157" si="166">AC157*1.001</f>
        <v>35150.114999999998</v>
      </c>
      <c r="AE157" s="6">
        <f t="shared" si="166"/>
        <v>35185.265114999995</v>
      </c>
      <c r="AF157" s="6">
        <f t="shared" si="166"/>
        <v>35220.450380114991</v>
      </c>
      <c r="AG157" s="6">
        <f t="shared" si="166"/>
        <v>35255.670830495103</v>
      </c>
      <c r="AH157" s="6">
        <f t="shared" si="166"/>
        <v>35290.926501325594</v>
      </c>
      <c r="AI157" s="6">
        <f t="shared" si="166"/>
        <v>35326.217427826916</v>
      </c>
      <c r="AJ157" s="6">
        <f t="shared" si="166"/>
        <v>35361.543645254736</v>
      </c>
      <c r="AK157" s="6">
        <f t="shared" si="166"/>
        <v>35396.905188899989</v>
      </c>
      <c r="AL157" s="6">
        <f t="shared" si="166"/>
        <v>35432.302094088882</v>
      </c>
      <c r="AM157" s="6">
        <f t="shared" si="166"/>
        <v>35467.734396182968</v>
      </c>
      <c r="AN157" s="6">
        <f t="shared" si="166"/>
        <v>35503.20213057915</v>
      </c>
      <c r="AO157" s="6">
        <f t="shared" si="166"/>
        <v>35538.705332709724</v>
      </c>
    </row>
    <row r="158" spans="1:41" x14ac:dyDescent="0.2">
      <c r="A158" t="s">
        <v>59</v>
      </c>
      <c r="V158">
        <v>1626</v>
      </c>
      <c r="W158">
        <f>3097-V158</f>
        <v>1471</v>
      </c>
      <c r="X158">
        <f>4509-W158-V158</f>
        <v>1412</v>
      </c>
      <c r="Y158">
        <f>5922-X158-W158-V158</f>
        <v>1413</v>
      </c>
      <c r="Z158">
        <v>1382</v>
      </c>
      <c r="AA158">
        <f>2779-Z158</f>
        <v>1397</v>
      </c>
      <c r="AB158">
        <f>4084-AA158-Z158</f>
        <v>1305</v>
      </c>
      <c r="AC158">
        <f>5166-AB158-AA158-Z158</f>
        <v>1082</v>
      </c>
    </row>
    <row r="159" spans="1:41" x14ac:dyDescent="0.2">
      <c r="A159" t="s">
        <v>60</v>
      </c>
      <c r="Z159">
        <v>-4628</v>
      </c>
    </row>
    <row r="160" spans="1:41" x14ac:dyDescent="0.2">
      <c r="A160" t="s">
        <v>163</v>
      </c>
      <c r="AA160">
        <v>3411</v>
      </c>
      <c r="AC160">
        <f>5225-AA160</f>
        <v>1814</v>
      </c>
    </row>
    <row r="161" spans="1:41" x14ac:dyDescent="0.2">
      <c r="A161" t="s">
        <v>61</v>
      </c>
      <c r="V161">
        <v>78152</v>
      </c>
      <c r="AB161">
        <f>-93519</f>
        <v>-93519</v>
      </c>
    </row>
    <row r="162" spans="1:41" x14ac:dyDescent="0.2">
      <c r="A162" t="s">
        <v>62</v>
      </c>
      <c r="V162">
        <v>7148</v>
      </c>
    </row>
    <row r="163" spans="1:41" x14ac:dyDescent="0.2">
      <c r="A163" t="s">
        <v>63</v>
      </c>
      <c r="V163">
        <v>757</v>
      </c>
      <c r="W163">
        <f>1042-V163</f>
        <v>285</v>
      </c>
      <c r="X163">
        <f>1857-W163-V163</f>
        <v>815</v>
      </c>
      <c r="Y163">
        <f>2115-X163-W163-V163</f>
        <v>258</v>
      </c>
      <c r="Z163">
        <v>626</v>
      </c>
      <c r="AA163">
        <f>2767-Z163</f>
        <v>2141</v>
      </c>
      <c r="AB163">
        <f>3117-AA163-Z163</f>
        <v>350</v>
      </c>
      <c r="AC163">
        <f>3549-AB163-AA163-Z163</f>
        <v>432</v>
      </c>
    </row>
    <row r="164" spans="1:41" x14ac:dyDescent="0.2">
      <c r="A164" t="s">
        <v>169</v>
      </c>
      <c r="AB164">
        <v>-174601</v>
      </c>
    </row>
    <row r="165" spans="1:41" x14ac:dyDescent="0.2">
      <c r="A165" t="s">
        <v>170</v>
      </c>
      <c r="AB165">
        <v>6376</v>
      </c>
      <c r="AC165">
        <f>5922-AB165</f>
        <v>-454</v>
      </c>
    </row>
    <row r="166" spans="1:41" x14ac:dyDescent="0.2">
      <c r="A166" t="s">
        <v>64</v>
      </c>
      <c r="V166">
        <v>-5338</v>
      </c>
      <c r="X166">
        <f>-12496-V166-W166</f>
        <v>-7158</v>
      </c>
      <c r="AC166">
        <v>9675</v>
      </c>
    </row>
    <row r="167" spans="1:41" x14ac:dyDescent="0.2">
      <c r="A167" t="s">
        <v>65</v>
      </c>
      <c r="V167">
        <v>4028</v>
      </c>
      <c r="W167">
        <f>4230-V167</f>
        <v>202</v>
      </c>
      <c r="X167">
        <f>8765-W167-V167</f>
        <v>4535</v>
      </c>
      <c r="Y167">
        <f>10956-X167-W167-V167</f>
        <v>2191</v>
      </c>
      <c r="Z167">
        <v>-610</v>
      </c>
      <c r="AA167">
        <f>-4967-Z167</f>
        <v>-4357</v>
      </c>
      <c r="AB167">
        <f>-4976-AA167-Z167</f>
        <v>-9</v>
      </c>
    </row>
    <row r="168" spans="1:41" x14ac:dyDescent="0.2">
      <c r="A168" t="s">
        <v>66</v>
      </c>
      <c r="V168">
        <v>1589</v>
      </c>
      <c r="W168">
        <f>3064-V168</f>
        <v>1475</v>
      </c>
      <c r="X168">
        <f>4527-W168-V168</f>
        <v>1463</v>
      </c>
      <c r="Y168">
        <f>5994-X168-W168-V168</f>
        <v>1467</v>
      </c>
      <c r="Z168">
        <v>1640</v>
      </c>
      <c r="AA168">
        <f>3242-Z168</f>
        <v>1602</v>
      </c>
      <c r="AB168">
        <f>4746-Z168-AA168</f>
        <v>1504</v>
      </c>
      <c r="AC168">
        <f>6327-AB168-AA168-Z168</f>
        <v>1581</v>
      </c>
    </row>
    <row r="169" spans="1:41" x14ac:dyDescent="0.2">
      <c r="A169" t="s">
        <v>167</v>
      </c>
      <c r="X169">
        <v>1851</v>
      </c>
      <c r="Y169">
        <v>-1851</v>
      </c>
    </row>
    <row r="170" spans="1:41" x14ac:dyDescent="0.2">
      <c r="A170" t="s">
        <v>67</v>
      </c>
      <c r="V170">
        <v>87</v>
      </c>
      <c r="W170">
        <f>298-V170</f>
        <v>211</v>
      </c>
      <c r="X170">
        <f>498-W170-V170</f>
        <v>200</v>
      </c>
      <c r="Y170">
        <f>-973-X170-W170-V170</f>
        <v>-1471</v>
      </c>
      <c r="Z170">
        <v>-737</v>
      </c>
      <c r="AA170">
        <f>167-Z170</f>
        <v>904</v>
      </c>
      <c r="AB170">
        <f>619-AA170-Z170</f>
        <v>452</v>
      </c>
      <c r="AC170">
        <f>378-AB170-AA170-Z170+40</f>
        <v>-201</v>
      </c>
    </row>
    <row r="172" spans="1:41" x14ac:dyDescent="0.2">
      <c r="A172" s="2" t="s">
        <v>68</v>
      </c>
    </row>
    <row r="173" spans="1:41" x14ac:dyDescent="0.2">
      <c r="A173" t="s">
        <v>20</v>
      </c>
      <c r="V173">
        <v>2240</v>
      </c>
      <c r="W173">
        <f>3462-V173</f>
        <v>1222</v>
      </c>
      <c r="X173">
        <f>3593-W173-V173</f>
        <v>131</v>
      </c>
      <c r="Y173">
        <f>-5004-X173-W173-V173</f>
        <v>-8597</v>
      </c>
      <c r="Z173">
        <v>292</v>
      </c>
      <c r="AA173">
        <f>3227-Z173</f>
        <v>2935</v>
      </c>
      <c r="AB173">
        <f>-2259-AA173-Z173</f>
        <v>-5486</v>
      </c>
      <c r="AC173" s="6">
        <f>-3792-AB173-AA173-Z173</f>
        <v>-1533</v>
      </c>
      <c r="AD173" s="6">
        <f t="shared" ref="AD173:AO173" si="167">-(AD117-AC117)</f>
        <v>-500.03000000000429</v>
      </c>
      <c r="AE173" s="6">
        <f t="shared" si="167"/>
        <v>1446.6433500000039</v>
      </c>
      <c r="AF173" s="6">
        <f t="shared" si="167"/>
        <v>1208.9835000000003</v>
      </c>
      <c r="AG173" s="6">
        <f t="shared" si="167"/>
        <v>-1115.2504500000014</v>
      </c>
      <c r="AH173" s="6">
        <f t="shared" si="167"/>
        <v>1838.4773999999998</v>
      </c>
      <c r="AI173" s="6">
        <f t="shared" si="167"/>
        <v>335.31291750000128</v>
      </c>
      <c r="AJ173" s="6">
        <f t="shared" si="167"/>
        <v>967.68532499999947</v>
      </c>
      <c r="AK173" s="6">
        <f t="shared" si="167"/>
        <v>-876.14492250000058</v>
      </c>
      <c r="AL173" s="6">
        <f t="shared" si="167"/>
        <v>1455.4461180000008</v>
      </c>
      <c r="AM173" s="6">
        <f t="shared" si="167"/>
        <v>269.51526787499915</v>
      </c>
      <c r="AN173" s="6">
        <f t="shared" si="167"/>
        <v>774.57200625000041</v>
      </c>
      <c r="AO173" s="6">
        <f t="shared" si="167"/>
        <v>-687.26881612499983</v>
      </c>
    </row>
    <row r="174" spans="1:41" x14ac:dyDescent="0.2">
      <c r="A174" t="s">
        <v>230</v>
      </c>
      <c r="V174">
        <v>-25075</v>
      </c>
      <c r="W174">
        <f>-14715-V174</f>
        <v>10360</v>
      </c>
      <c r="X174">
        <f>-31070-W174-V174</f>
        <v>-16355</v>
      </c>
      <c r="Y174">
        <f>-21854-X174-W174-V174</f>
        <v>9216</v>
      </c>
      <c r="Z174">
        <v>21722</v>
      </c>
      <c r="AA174">
        <f>28768-Z174</f>
        <v>7046</v>
      </c>
      <c r="AB174">
        <f>13251-AA174-Z174</f>
        <v>-15517</v>
      </c>
      <c r="AC174">
        <f>17191-AB174-AA174-Z174</f>
        <v>3940</v>
      </c>
    </row>
    <row r="175" spans="1:41" x14ac:dyDescent="0.2">
      <c r="A175" t="s">
        <v>32</v>
      </c>
      <c r="V175">
        <v>1058</v>
      </c>
      <c r="W175">
        <f>7220-V175</f>
        <v>6162</v>
      </c>
      <c r="X175">
        <f>9472-W175-V175</f>
        <v>2252</v>
      </c>
      <c r="Y175">
        <f>16387-X175-W175-V175</f>
        <v>6915</v>
      </c>
      <c r="Z175">
        <v>8342</v>
      </c>
      <c r="AA175">
        <f>13058-Z175</f>
        <v>4716</v>
      </c>
      <c r="AB175">
        <f>15926-AA175-Z175</f>
        <v>2868</v>
      </c>
      <c r="AC175">
        <f>14563-AB175-AA175-Z175</f>
        <v>-1363</v>
      </c>
    </row>
    <row r="176" spans="1:41" x14ac:dyDescent="0.2">
      <c r="A176" t="s">
        <v>33</v>
      </c>
      <c r="V176">
        <v>6597</v>
      </c>
      <c r="W176">
        <f>-3139-V176</f>
        <v>-9736</v>
      </c>
      <c r="X176">
        <f>1820-W176-V176</f>
        <v>4959</v>
      </c>
      <c r="Y176">
        <f>3241-X176-W176-V176</f>
        <v>1421</v>
      </c>
      <c r="Z176">
        <v>-7534</v>
      </c>
      <c r="AA176">
        <f>-5246-Z176</f>
        <v>2288</v>
      </c>
      <c r="AB176">
        <f>-1728-AA176-Z176</f>
        <v>3518</v>
      </c>
      <c r="AC176" s="6">
        <f>-4144-AB176-AA176-Z176</f>
        <v>-2416</v>
      </c>
      <c r="AD176" s="6">
        <f t="shared" ref="AD176:AO176" si="168">AD117-AC117</f>
        <v>500.03000000000429</v>
      </c>
      <c r="AE176" s="6">
        <f t="shared" si="168"/>
        <v>-1446.6433500000039</v>
      </c>
      <c r="AF176" s="6">
        <f t="shared" si="168"/>
        <v>-1208.9835000000003</v>
      </c>
      <c r="AG176" s="6">
        <f t="shared" si="168"/>
        <v>1115.2504500000014</v>
      </c>
      <c r="AH176" s="6">
        <f t="shared" si="168"/>
        <v>-1838.4773999999998</v>
      </c>
      <c r="AI176" s="6">
        <f t="shared" si="168"/>
        <v>-335.31291750000128</v>
      </c>
      <c r="AJ176" s="6">
        <f t="shared" si="168"/>
        <v>-967.68532499999947</v>
      </c>
      <c r="AK176" s="6">
        <f t="shared" si="168"/>
        <v>876.14492250000058</v>
      </c>
      <c r="AL176" s="6">
        <f t="shared" si="168"/>
        <v>-1455.4461180000008</v>
      </c>
      <c r="AM176" s="6">
        <f t="shared" si="168"/>
        <v>-269.51526787499915</v>
      </c>
      <c r="AN176" s="6">
        <f t="shared" si="168"/>
        <v>-774.57200625000041</v>
      </c>
      <c r="AO176" s="6">
        <f t="shared" si="168"/>
        <v>687.26881612499983</v>
      </c>
    </row>
    <row r="177" spans="1:41" x14ac:dyDescent="0.2">
      <c r="A177" t="s">
        <v>34</v>
      </c>
      <c r="V177">
        <v>15988</v>
      </c>
      <c r="W177">
        <f>2062-V177</f>
        <v>-13926</v>
      </c>
      <c r="X177">
        <f>17363-W177-V177</f>
        <v>15301</v>
      </c>
      <c r="Y177">
        <f>2523-X177-W177-V177</f>
        <v>-14840</v>
      </c>
      <c r="Z177">
        <v>8554</v>
      </c>
      <c r="AA177">
        <f>4256-Z177</f>
        <v>-4298</v>
      </c>
      <c r="AB177">
        <f>11434-AA177-Z177</f>
        <v>7178</v>
      </c>
      <c r="AC177" s="6">
        <f>7538-AB177-AA177-Z177</f>
        <v>-3896</v>
      </c>
      <c r="AD177" s="6">
        <f t="shared" ref="AD177:AO177" si="169">-AD118+AC118</f>
        <v>-6932.7040000000052</v>
      </c>
      <c r="AE177" s="6">
        <f t="shared" si="169"/>
        <v>14991.324000000008</v>
      </c>
      <c r="AF177" s="6">
        <f t="shared" si="169"/>
        <v>-6253.9080000000031</v>
      </c>
      <c r="AG177" s="6">
        <f t="shared" si="169"/>
        <v>5221.9679999999935</v>
      </c>
      <c r="AH177" s="6">
        <f t="shared" si="169"/>
        <v>9326.9280000000072</v>
      </c>
      <c r="AI177" s="6">
        <f t="shared" si="169"/>
        <v>1347.887999999999</v>
      </c>
      <c r="AJ177" s="6">
        <f t="shared" si="169"/>
        <v>4170.4799999999959</v>
      </c>
      <c r="AK177" s="6">
        <f t="shared" si="169"/>
        <v>-4996.0319999999992</v>
      </c>
      <c r="AL177" s="6">
        <f t="shared" si="169"/>
        <v>7461.5424000000021</v>
      </c>
      <c r="AM177" s="6">
        <f t="shared" si="169"/>
        <v>1078.3103999999985</v>
      </c>
      <c r="AN177" s="6">
        <f t="shared" si="169"/>
        <v>3336.3840000000018</v>
      </c>
      <c r="AO177" s="6">
        <f t="shared" si="169"/>
        <v>-3996.8256000000038</v>
      </c>
    </row>
    <row r="178" spans="1:41" x14ac:dyDescent="0.2">
      <c r="A178" t="s">
        <v>35</v>
      </c>
      <c r="V178">
        <v>9386</v>
      </c>
      <c r="W178">
        <f>4197-V178</f>
        <v>-5189</v>
      </c>
      <c r="X178">
        <f>10552-W178-V178</f>
        <v>6355</v>
      </c>
      <c r="Y178">
        <f>5199-X178-W178-V178</f>
        <v>-5353</v>
      </c>
      <c r="Z178">
        <v>-7555</v>
      </c>
      <c r="AA178">
        <f>-21034-Z178</f>
        <v>-13479</v>
      </c>
      <c r="AB178">
        <f>-23323-AA178-Z178</f>
        <v>-2289</v>
      </c>
      <c r="AC178">
        <f>-20111-AB178-AA178-Z178</f>
        <v>3212</v>
      </c>
    </row>
    <row r="179" spans="1:41" x14ac:dyDescent="0.2">
      <c r="A179" t="s">
        <v>69</v>
      </c>
      <c r="V179">
        <v>-1197</v>
      </c>
      <c r="W179">
        <f>-2277-V179</f>
        <v>-1080</v>
      </c>
      <c r="X179">
        <f>-4108-W179-V179</f>
        <v>-1831</v>
      </c>
      <c r="Y179">
        <f>-5607-X179-W179-V179</f>
        <v>-1499</v>
      </c>
      <c r="Z179">
        <v>-2091</v>
      </c>
      <c r="AA179">
        <f>-2965-Z179</f>
        <v>-874</v>
      </c>
      <c r="AB179">
        <f>-5240-AA179-Z179</f>
        <v>-2275</v>
      </c>
      <c r="AC179">
        <f>-5768-AB179-AA179-Z179</f>
        <v>-528</v>
      </c>
    </row>
    <row r="180" spans="1:41" x14ac:dyDescent="0.2">
      <c r="A180" t="s">
        <v>71</v>
      </c>
      <c r="V180">
        <f t="shared" ref="V180:AC180" si="170">V173+V174+V175+V176+V177+V178+V179</f>
        <v>8997</v>
      </c>
      <c r="W180">
        <f t="shared" si="170"/>
        <v>-12187</v>
      </c>
      <c r="X180">
        <f t="shared" si="170"/>
        <v>10812</v>
      </c>
      <c r="Y180">
        <f t="shared" si="170"/>
        <v>-12737</v>
      </c>
      <c r="Z180">
        <f t="shared" si="170"/>
        <v>21730</v>
      </c>
      <c r="AA180">
        <f t="shared" si="170"/>
        <v>-1666</v>
      </c>
      <c r="AB180">
        <f t="shared" si="170"/>
        <v>-12003</v>
      </c>
      <c r="AC180">
        <f t="shared" si="170"/>
        <v>-2584</v>
      </c>
    </row>
    <row r="181" spans="1:41" s="2" customFormat="1" x14ac:dyDescent="0.2">
      <c r="A181" s="2" t="s">
        <v>70</v>
      </c>
      <c r="V181" s="2">
        <f t="shared" ref="V181:AO181" si="171">V180+V170+V168+V167+V166+V163+V162+V161+V159+V158+V156+V157+V155+V153+V160+V164+V169+V165</f>
        <v>73573</v>
      </c>
      <c r="W181" s="2">
        <f t="shared" si="171"/>
        <v>70928</v>
      </c>
      <c r="X181" s="2">
        <f t="shared" si="171"/>
        <v>63622</v>
      </c>
      <c r="Y181" s="2">
        <f t="shared" si="171"/>
        <v>65101</v>
      </c>
      <c r="Z181" s="2">
        <f t="shared" si="171"/>
        <v>80035</v>
      </c>
      <c r="AA181" s="2">
        <f t="shared" si="171"/>
        <v>63720</v>
      </c>
      <c r="AB181" s="20">
        <f t="shared" si="171"/>
        <v>37961</v>
      </c>
      <c r="AC181" s="20">
        <f t="shared" si="171"/>
        <v>74020</v>
      </c>
      <c r="AD181" s="20">
        <f t="shared" si="171"/>
        <v>43822.716008097232</v>
      </c>
      <c r="AE181" s="20">
        <f t="shared" si="171"/>
        <v>42974.273909763884</v>
      </c>
      <c r="AF181" s="20">
        <f t="shared" si="171"/>
        <v>35428.420325012223</v>
      </c>
      <c r="AG181" s="20">
        <f t="shared" si="171"/>
        <v>47557.984106691008</v>
      </c>
      <c r="AH181" s="20">
        <f t="shared" si="171"/>
        <v>26878.298042593007</v>
      </c>
      <c r="AI181" s="20">
        <f t="shared" si="171"/>
        <v>26350.79580570908</v>
      </c>
      <c r="AJ181" s="20">
        <f t="shared" si="171"/>
        <v>20471.597881144982</v>
      </c>
      <c r="AK181" s="20">
        <f t="shared" si="171"/>
        <v>30198.936905953266</v>
      </c>
      <c r="AL181" s="20">
        <f t="shared" si="171"/>
        <v>20193.242921465964</v>
      </c>
      <c r="AM181" s="20">
        <f t="shared" si="171"/>
        <v>20226.23323704677</v>
      </c>
      <c r="AN181" s="20">
        <f t="shared" si="171"/>
        <v>16996.149390751205</v>
      </c>
      <c r="AO181" s="20">
        <f t="shared" si="171"/>
        <v>25130.30296348039</v>
      </c>
    </row>
    <row r="182" spans="1:41" x14ac:dyDescent="0.2">
      <c r="AC182" s="6"/>
    </row>
    <row r="183" spans="1:41" s="2" customFormat="1" x14ac:dyDescent="0.2">
      <c r="A183" s="2" t="s">
        <v>80</v>
      </c>
    </row>
    <row r="184" spans="1:41" x14ac:dyDescent="0.2">
      <c r="A184" t="s">
        <v>72</v>
      </c>
      <c r="V184">
        <v>-18984</v>
      </c>
      <c r="W184">
        <f>-46595-V184</f>
        <v>-27611</v>
      </c>
      <c r="X184">
        <f>-67126-W184-V184</f>
        <v>-20531</v>
      </c>
      <c r="Y184">
        <f>-94180-X184-W184-V184</f>
        <v>-27054</v>
      </c>
      <c r="Z184">
        <v>-29533</v>
      </c>
      <c r="AA184">
        <f>-57286-Z184</f>
        <v>-27753</v>
      </c>
      <c r="AB184">
        <f>-79242-AA184-Z184</f>
        <v>-21956</v>
      </c>
      <c r="AC184" s="26">
        <f>-103092-AB184-AA184-Z184</f>
        <v>-23850</v>
      </c>
      <c r="AD184" s="26">
        <f>-Schedule!N48</f>
        <v>-26839.74</v>
      </c>
      <c r="AE184" s="26">
        <f>-Schedule!O48</f>
        <v>-27108.137400000003</v>
      </c>
      <c r="AF184" s="26">
        <f>-Schedule!P48</f>
        <v>-27379.218774000004</v>
      </c>
      <c r="AG184" s="26">
        <f>-Schedule!Q48</f>
        <v>-27653.010961740005</v>
      </c>
      <c r="AH184" s="26">
        <f>-Schedule!R48</f>
        <v>-27929.541071357406</v>
      </c>
      <c r="AI184" s="26">
        <f>-Schedule!S48</f>
        <v>-28208.836482070979</v>
      </c>
      <c r="AJ184" s="26">
        <f>-Schedule!T48</f>
        <v>-28490.924846891689</v>
      </c>
      <c r="AK184" s="26">
        <f>-Schedule!U48</f>
        <v>-28775.834095360606</v>
      </c>
      <c r="AL184" s="26">
        <f>-Schedule!V48</f>
        <v>-29063.592436314211</v>
      </c>
      <c r="AM184" s="26">
        <f>-Schedule!W48</f>
        <v>-29354.228360677353</v>
      </c>
      <c r="AN184" s="26">
        <f>-Schedule!X48</f>
        <v>-29647.770644284126</v>
      </c>
      <c r="AO184" s="26">
        <f>-Schedule!Y48</f>
        <v>-29944.248350726968</v>
      </c>
    </row>
    <row r="185" spans="1:41" x14ac:dyDescent="0.2">
      <c r="A185" t="s">
        <v>73</v>
      </c>
      <c r="V185">
        <v>-4527</v>
      </c>
      <c r="W185">
        <f>-5018-V185</f>
        <v>-491</v>
      </c>
      <c r="X185">
        <f>-10666-W185-V185</f>
        <v>-5648</v>
      </c>
      <c r="Y185">
        <f>-10931-X185-W185-V185</f>
        <v>-265</v>
      </c>
      <c r="Z185">
        <v>-3692</v>
      </c>
      <c r="AA185">
        <f>-3815-Z185</f>
        <v>-123</v>
      </c>
    </row>
    <row r="186" spans="1:41" x14ac:dyDescent="0.2">
      <c r="A186" t="s">
        <v>74</v>
      </c>
      <c r="V186">
        <v>4038</v>
      </c>
      <c r="W186">
        <f>6709-V186</f>
        <v>2671</v>
      </c>
      <c r="X186">
        <f>7815-W186-V186</f>
        <v>1106</v>
      </c>
      <c r="Y186">
        <f>8714-X186-W186-V186</f>
        <v>899</v>
      </c>
      <c r="Z186">
        <v>2499</v>
      </c>
      <c r="AA186">
        <f>2494-Z186</f>
        <v>-5</v>
      </c>
      <c r="AB186">
        <f>2503-AA186-Z186</f>
        <v>9</v>
      </c>
      <c r="AC186">
        <f>6003-AB186-AA186-Z186</f>
        <v>3500</v>
      </c>
    </row>
    <row r="187" spans="1:41" x14ac:dyDescent="0.2">
      <c r="A187" t="s">
        <v>75</v>
      </c>
      <c r="V187">
        <v>-925748</v>
      </c>
      <c r="W187">
        <f>-984606-V187</f>
        <v>-58858</v>
      </c>
      <c r="X187">
        <f>-1574060-W187-V187</f>
        <v>-589454</v>
      </c>
      <c r="Y187">
        <f>-1688384-X187-W187-V187</f>
        <v>-114324</v>
      </c>
      <c r="Z187">
        <v>-273280</v>
      </c>
      <c r="AA187">
        <f>-356553-Z187</f>
        <v>-83273</v>
      </c>
      <c r="AB187">
        <f>-534008-AA187-Z187</f>
        <v>-177455</v>
      </c>
      <c r="AC187">
        <f>-730509-AB187-AA187-Z187-6000</f>
        <v>-202501</v>
      </c>
    </row>
    <row r="188" spans="1:41" x14ac:dyDescent="0.2">
      <c r="A188" t="s">
        <v>161</v>
      </c>
      <c r="Y188">
        <f>206041</f>
        <v>206041</v>
      </c>
      <c r="AB188">
        <v>-6000</v>
      </c>
      <c r="AC188">
        <f>458489-AB188-AA188-Z188</f>
        <v>464489</v>
      </c>
    </row>
    <row r="189" spans="1:41" x14ac:dyDescent="0.2">
      <c r="A189" t="s">
        <v>76</v>
      </c>
      <c r="V189">
        <v>181315</v>
      </c>
      <c r="W189">
        <f>455536-V189</f>
        <v>274221</v>
      </c>
      <c r="X189">
        <f>893315-W189-V189</f>
        <v>437779</v>
      </c>
      <c r="Y189">
        <f>1204787-X189-W189-V189</f>
        <v>311472</v>
      </c>
      <c r="Z189">
        <v>342059</v>
      </c>
      <c r="AA189">
        <f>522466-Z189</f>
        <v>180407</v>
      </c>
      <c r="AB189">
        <f>783912-AA189-Z189</f>
        <v>261446</v>
      </c>
      <c r="AC189">
        <f>884940-AB189-AA189-Z189</f>
        <v>101028</v>
      </c>
    </row>
    <row r="190" spans="1:41" x14ac:dyDescent="0.2">
      <c r="A190" t="s">
        <v>77</v>
      </c>
      <c r="V190">
        <v>6845</v>
      </c>
      <c r="W190">
        <f>7081-V190</f>
        <v>236</v>
      </c>
      <c r="X190">
        <f>16076-W190-V190</f>
        <v>8995</v>
      </c>
    </row>
    <row r="191" spans="1:41" x14ac:dyDescent="0.2">
      <c r="A191" t="s">
        <v>78</v>
      </c>
      <c r="V191">
        <v>-7891</v>
      </c>
      <c r="Z191">
        <v>-401125</v>
      </c>
    </row>
    <row r="192" spans="1:41" s="2" customFormat="1" x14ac:dyDescent="0.2">
      <c r="A192" s="2" t="s">
        <v>79</v>
      </c>
      <c r="V192" s="2">
        <f>V184+V185+V186+V187+V189+V190+V191</f>
        <v>-764952</v>
      </c>
      <c r="W192" s="2">
        <f>W184+W185+W186+W187+W189+W190+W191</f>
        <v>190168</v>
      </c>
      <c r="X192" s="2">
        <f>X184+X185+X186+X187+X189+X190+X191+X188</f>
        <v>-167753</v>
      </c>
      <c r="Y192" s="2">
        <f>Y184+Y185+Y186+Y187+Y189+Y190+Y191+Y188</f>
        <v>376769</v>
      </c>
      <c r="Z192" s="2">
        <f>Z184+Z185+Z186+Z187+Z189+Z190+Z191</f>
        <v>-363072</v>
      </c>
      <c r="AA192" s="2">
        <f>AA184+AA185+AA186+AA187+AA189+AA190+AA191</f>
        <v>69253</v>
      </c>
      <c r="AB192" s="20">
        <f>AB184+AB185+AB186+AB187+AB189+AB190+AB191+AB188</f>
        <v>56044</v>
      </c>
      <c r="AC192" s="20">
        <f t="shared" ref="AC192:AO192" si="172">AC184+AC185+AC186+AC187+AC189+AC190+AC191+AC188</f>
        <v>342666</v>
      </c>
      <c r="AD192" s="20">
        <f t="shared" si="172"/>
        <v>-26839.74</v>
      </c>
      <c r="AE192" s="20">
        <f t="shared" si="172"/>
        <v>-27108.137400000003</v>
      </c>
      <c r="AF192" s="20">
        <f t="shared" si="172"/>
        <v>-27379.218774000004</v>
      </c>
      <c r="AG192" s="20">
        <f t="shared" si="172"/>
        <v>-27653.010961740005</v>
      </c>
      <c r="AH192" s="20">
        <f t="shared" si="172"/>
        <v>-27929.541071357406</v>
      </c>
      <c r="AI192" s="20">
        <f t="shared" si="172"/>
        <v>-28208.836482070979</v>
      </c>
      <c r="AJ192" s="20">
        <f t="shared" si="172"/>
        <v>-28490.924846891689</v>
      </c>
      <c r="AK192" s="20">
        <f t="shared" si="172"/>
        <v>-28775.834095360606</v>
      </c>
      <c r="AL192" s="20">
        <f t="shared" si="172"/>
        <v>-29063.592436314211</v>
      </c>
      <c r="AM192" s="20">
        <f t="shared" si="172"/>
        <v>-29354.228360677353</v>
      </c>
      <c r="AN192" s="20">
        <f t="shared" si="172"/>
        <v>-29647.770644284126</v>
      </c>
      <c r="AO192" s="20">
        <f t="shared" si="172"/>
        <v>-29944.248350726968</v>
      </c>
    </row>
    <row r="194" spans="1:41" s="2" customFormat="1" x14ac:dyDescent="0.2">
      <c r="A194" s="2" t="s">
        <v>81</v>
      </c>
    </row>
    <row r="195" spans="1:41" x14ac:dyDescent="0.2">
      <c r="A195" t="s">
        <v>82</v>
      </c>
      <c r="V195">
        <v>347</v>
      </c>
      <c r="W195">
        <f>5267-V195</f>
        <v>4920</v>
      </c>
      <c r="X195">
        <f>5373-W195-V195</f>
        <v>106</v>
      </c>
      <c r="Y195">
        <f>8887-X195-W195-V195</f>
        <v>3514</v>
      </c>
      <c r="Z195">
        <v>456</v>
      </c>
      <c r="AA195">
        <f>4558-Z195</f>
        <v>4102</v>
      </c>
      <c r="AC195">
        <f>6477-AA195-Z195</f>
        <v>1919</v>
      </c>
    </row>
    <row r="196" spans="1:41" x14ac:dyDescent="0.2">
      <c r="A196" t="s">
        <v>83</v>
      </c>
      <c r="V196">
        <v>-59176</v>
      </c>
      <c r="W196">
        <f>-74642-V196</f>
        <v>-15466</v>
      </c>
      <c r="X196">
        <f>-89339-W196-V196</f>
        <v>-14697</v>
      </c>
      <c r="Y196">
        <f>-94423-X196-W196-V196</f>
        <v>-5084</v>
      </c>
      <c r="Z196">
        <v>-7467</v>
      </c>
      <c r="AA196">
        <f>-10221-Z196</f>
        <v>-2754</v>
      </c>
      <c r="AB196">
        <f>-12776-AA196-Z196</f>
        <v>-2555</v>
      </c>
      <c r="AC196">
        <f>-26549-AB196-AA196-Z196</f>
        <v>-13773</v>
      </c>
    </row>
    <row r="197" spans="1:41" x14ac:dyDescent="0.2">
      <c r="A197" t="s">
        <v>154</v>
      </c>
      <c r="V197">
        <v>1091466</v>
      </c>
    </row>
    <row r="198" spans="1:41" x14ac:dyDescent="0.2">
      <c r="A198" t="s">
        <v>84</v>
      </c>
      <c r="V198">
        <v>-189849</v>
      </c>
      <c r="W198">
        <f>-300751-V198</f>
        <v>-110902</v>
      </c>
      <c r="X198">
        <f>-300755-W198-V198</f>
        <v>-4</v>
      </c>
      <c r="Y198">
        <v>-7</v>
      </c>
      <c r="AB198">
        <f>-401203</f>
        <v>-401203</v>
      </c>
    </row>
    <row r="199" spans="1:41" x14ac:dyDescent="0.2">
      <c r="A199" t="s">
        <v>85</v>
      </c>
      <c r="V199">
        <v>24812</v>
      </c>
      <c r="W199">
        <f>69004-V199</f>
        <v>44192</v>
      </c>
      <c r="X199">
        <v>1</v>
      </c>
    </row>
    <row r="200" spans="1:41" x14ac:dyDescent="0.2">
      <c r="A200" t="s">
        <v>86</v>
      </c>
      <c r="Y200">
        <v>-300000</v>
      </c>
      <c r="Z200">
        <v>-300450</v>
      </c>
      <c r="AB200">
        <f>-323528-AA200-Z200</f>
        <v>-23078</v>
      </c>
    </row>
    <row r="201" spans="1:41" x14ac:dyDescent="0.2">
      <c r="A201" t="s">
        <v>160</v>
      </c>
      <c r="X201">
        <f>-7451</f>
        <v>-7451</v>
      </c>
    </row>
    <row r="202" spans="1:41" s="2" customFormat="1" x14ac:dyDescent="0.2">
      <c r="A202" s="2" t="s">
        <v>87</v>
      </c>
      <c r="V202" s="2">
        <f>V195+V196+V197+V198+V199+V200</f>
        <v>867600</v>
      </c>
      <c r="W202" s="2">
        <f>W195+W196+W197+W198+W199+W200</f>
        <v>-77256</v>
      </c>
      <c r="X202" s="2">
        <f>X195+X196+X197+X198+X199+X200+X201</f>
        <v>-22045</v>
      </c>
      <c r="Y202" s="2">
        <f>Y195+Y196+Y197+Y198+Y199+Y200+Y201</f>
        <v>-301577</v>
      </c>
      <c r="Z202" s="2">
        <f>Z195+Z196+Z197+Z198+Z199+Z200</f>
        <v>-307461</v>
      </c>
      <c r="AA202" s="2">
        <f>AA195+AA196+AA197+AA198+AA199+AA200</f>
        <v>1348</v>
      </c>
      <c r="AB202" s="2">
        <f>AB195+AB196+AB197+AB198+AB199+AB200</f>
        <v>-426836</v>
      </c>
      <c r="AC202" s="2">
        <f>AC195+AC196+AC197+AC198+AC199+AC200</f>
        <v>-11854</v>
      </c>
      <c r="AD202" s="2">
        <f t="shared" ref="AD202:AO202" si="173">AD195+AD196+AD197+AD198+AD199+AD200</f>
        <v>0</v>
      </c>
      <c r="AE202" s="2">
        <f t="shared" si="173"/>
        <v>0</v>
      </c>
      <c r="AF202" s="2">
        <f t="shared" si="173"/>
        <v>0</v>
      </c>
      <c r="AG202" s="2">
        <f t="shared" si="173"/>
        <v>0</v>
      </c>
      <c r="AH202" s="2">
        <f t="shared" si="173"/>
        <v>0</v>
      </c>
      <c r="AI202" s="2">
        <f t="shared" si="173"/>
        <v>0</v>
      </c>
      <c r="AJ202" s="2">
        <f t="shared" si="173"/>
        <v>0</v>
      </c>
      <c r="AK202" s="2">
        <f t="shared" si="173"/>
        <v>0</v>
      </c>
      <c r="AL202" s="2">
        <f t="shared" si="173"/>
        <v>0</v>
      </c>
      <c r="AM202" s="2">
        <f t="shared" si="173"/>
        <v>0</v>
      </c>
      <c r="AN202" s="2">
        <f t="shared" si="173"/>
        <v>0</v>
      </c>
      <c r="AO202" s="2">
        <f t="shared" si="173"/>
        <v>0</v>
      </c>
    </row>
    <row r="204" spans="1:41" x14ac:dyDescent="0.2">
      <c r="A204" t="s">
        <v>146</v>
      </c>
      <c r="Z204">
        <v>4628</v>
      </c>
      <c r="AC204">
        <f>4137-Z204</f>
        <v>-491</v>
      </c>
    </row>
    <row r="205" spans="1:41" s="2" customFormat="1" x14ac:dyDescent="0.2">
      <c r="A205" s="2" t="s">
        <v>88</v>
      </c>
      <c r="V205" s="2">
        <f t="shared" ref="V205:AB205" si="174">V204+V202+V192+V181</f>
        <v>176221</v>
      </c>
      <c r="W205" s="2">
        <f t="shared" si="174"/>
        <v>183840</v>
      </c>
      <c r="X205" s="2">
        <f t="shared" si="174"/>
        <v>-126176</v>
      </c>
      <c r="Y205" s="2">
        <f t="shared" si="174"/>
        <v>140293</v>
      </c>
      <c r="Z205" s="2">
        <f t="shared" si="174"/>
        <v>-585870</v>
      </c>
      <c r="AA205" s="2">
        <f t="shared" si="174"/>
        <v>134321</v>
      </c>
      <c r="AB205" s="20">
        <f t="shared" si="174"/>
        <v>-332831</v>
      </c>
      <c r="AC205" s="20">
        <f t="shared" ref="AC205:AO205" si="175">AC204+AC202+AC192+AC181</f>
        <v>404341</v>
      </c>
      <c r="AD205" s="20">
        <f t="shared" si="175"/>
        <v>16982.97600809723</v>
      </c>
      <c r="AE205" s="20">
        <f t="shared" si="175"/>
        <v>15866.136509763881</v>
      </c>
      <c r="AF205" s="20">
        <f t="shared" si="175"/>
        <v>8049.2015510122183</v>
      </c>
      <c r="AG205" s="20">
        <f t="shared" si="175"/>
        <v>19904.973144951004</v>
      </c>
      <c r="AH205" s="20">
        <f t="shared" si="175"/>
        <v>-1051.2430287643983</v>
      </c>
      <c r="AI205" s="20">
        <f t="shared" si="175"/>
        <v>-1858.0406763618994</v>
      </c>
      <c r="AJ205" s="20">
        <f t="shared" si="175"/>
        <v>-8019.3269657467063</v>
      </c>
      <c r="AK205" s="20">
        <f t="shared" si="175"/>
        <v>1423.1028105926598</v>
      </c>
      <c r="AL205" s="20">
        <f t="shared" si="175"/>
        <v>-8870.3495148482471</v>
      </c>
      <c r="AM205" s="20">
        <f t="shared" si="175"/>
        <v>-9127.9951236305824</v>
      </c>
      <c r="AN205" s="20">
        <f t="shared" si="175"/>
        <v>-12651.621253532921</v>
      </c>
      <c r="AO205" s="20">
        <f t="shared" si="175"/>
        <v>-4813.9453872465783</v>
      </c>
    </row>
    <row r="206" spans="1:41" x14ac:dyDescent="0.2">
      <c r="A206" t="s">
        <v>90</v>
      </c>
      <c r="V206">
        <v>481715</v>
      </c>
      <c r="W206">
        <f t="shared" ref="W206:AB206" si="176">V207</f>
        <v>657936</v>
      </c>
      <c r="X206">
        <f t="shared" si="176"/>
        <v>841776</v>
      </c>
      <c r="Y206">
        <f t="shared" si="176"/>
        <v>715600</v>
      </c>
      <c r="Z206">
        <f t="shared" si="176"/>
        <v>855893</v>
      </c>
      <c r="AA206">
        <f t="shared" si="176"/>
        <v>270023</v>
      </c>
      <c r="AB206" s="6">
        <f t="shared" si="176"/>
        <v>404344</v>
      </c>
      <c r="AC206" s="6">
        <f t="shared" ref="AC206" si="177">AB207</f>
        <v>71513</v>
      </c>
      <c r="AD206" s="6">
        <f t="shared" ref="AD206" si="178">AC207</f>
        <v>475854</v>
      </c>
      <c r="AE206" s="6">
        <f t="shared" ref="AE206" si="179">AD207</f>
        <v>492836.97600809723</v>
      </c>
      <c r="AF206" s="6">
        <f t="shared" ref="AF206" si="180">AE207</f>
        <v>508703.11251786113</v>
      </c>
      <c r="AG206" s="6">
        <f t="shared" ref="AG206" si="181">AF207</f>
        <v>516752.31406887335</v>
      </c>
      <c r="AH206" s="6">
        <f t="shared" ref="AH206" si="182">AG207</f>
        <v>536657.28721382434</v>
      </c>
      <c r="AI206" s="6">
        <f t="shared" ref="AI206" si="183">AH207</f>
        <v>535606.04418505996</v>
      </c>
      <c r="AJ206" s="6">
        <f t="shared" ref="AJ206" si="184">AI207</f>
        <v>533748.00350869808</v>
      </c>
      <c r="AK206" s="6">
        <f t="shared" ref="AK206" si="185">AJ207</f>
        <v>525728.67654295138</v>
      </c>
      <c r="AL206" s="6">
        <f t="shared" ref="AL206" si="186">AK207</f>
        <v>527151.779353544</v>
      </c>
      <c r="AM206" s="6">
        <f t="shared" ref="AM206" si="187">AL207</f>
        <v>518281.42983869574</v>
      </c>
      <c r="AN206" s="6">
        <f t="shared" ref="AN206" si="188">AM207</f>
        <v>509153.43471506517</v>
      </c>
      <c r="AO206" s="6">
        <f t="shared" ref="AO206" si="189">AN207</f>
        <v>496501.81346153223</v>
      </c>
    </row>
    <row r="207" spans="1:41" x14ac:dyDescent="0.2">
      <c r="A207" t="s">
        <v>89</v>
      </c>
      <c r="V207">
        <f t="shared" ref="V207:AB207" si="190">V206+V205</f>
        <v>657936</v>
      </c>
      <c r="W207">
        <f t="shared" si="190"/>
        <v>841776</v>
      </c>
      <c r="X207">
        <f t="shared" si="190"/>
        <v>715600</v>
      </c>
      <c r="Y207">
        <f t="shared" si="190"/>
        <v>855893</v>
      </c>
      <c r="Z207">
        <f t="shared" si="190"/>
        <v>270023</v>
      </c>
      <c r="AA207">
        <f t="shared" si="190"/>
        <v>404344</v>
      </c>
      <c r="AB207" s="6">
        <f t="shared" si="190"/>
        <v>71513</v>
      </c>
      <c r="AC207" s="6">
        <f t="shared" ref="AC207:AO207" si="191">AC206+AC205</f>
        <v>475854</v>
      </c>
      <c r="AD207" s="6">
        <f t="shared" si="191"/>
        <v>492836.97600809723</v>
      </c>
      <c r="AE207" s="6">
        <f t="shared" si="191"/>
        <v>508703.11251786113</v>
      </c>
      <c r="AF207" s="6">
        <f t="shared" si="191"/>
        <v>516752.31406887335</v>
      </c>
      <c r="AG207" s="6">
        <f t="shared" si="191"/>
        <v>536657.28721382434</v>
      </c>
      <c r="AH207" s="6">
        <f t="shared" si="191"/>
        <v>535606.04418505996</v>
      </c>
      <c r="AI207" s="6">
        <f t="shared" si="191"/>
        <v>533748.00350869808</v>
      </c>
      <c r="AJ207" s="6">
        <f t="shared" si="191"/>
        <v>525728.67654295138</v>
      </c>
      <c r="AK207" s="6">
        <f t="shared" si="191"/>
        <v>527151.779353544</v>
      </c>
      <c r="AL207" s="6">
        <f t="shared" si="191"/>
        <v>518281.42983869574</v>
      </c>
      <c r="AM207" s="6">
        <f t="shared" si="191"/>
        <v>509153.43471506517</v>
      </c>
      <c r="AN207" s="6">
        <f t="shared" si="191"/>
        <v>496501.81346153223</v>
      </c>
      <c r="AO207" s="6">
        <f t="shared" si="191"/>
        <v>491687.86807428568</v>
      </c>
    </row>
    <row r="210" spans="1:34" x14ac:dyDescent="0.2">
      <c r="A210" s="2" t="s">
        <v>187</v>
      </c>
    </row>
    <row r="211" spans="1:34" x14ac:dyDescent="0.2">
      <c r="A211" t="s">
        <v>188</v>
      </c>
      <c r="V211">
        <f>V181</f>
        <v>73573</v>
      </c>
      <c r="W211">
        <f t="shared" ref="W211:AB211" si="192">W181</f>
        <v>70928</v>
      </c>
      <c r="X211">
        <f t="shared" si="192"/>
        <v>63622</v>
      </c>
      <c r="Y211">
        <f t="shared" si="192"/>
        <v>65101</v>
      </c>
      <c r="Z211">
        <f t="shared" si="192"/>
        <v>80035</v>
      </c>
      <c r="AA211">
        <f t="shared" si="192"/>
        <v>63720</v>
      </c>
      <c r="AB211">
        <f t="shared" si="192"/>
        <v>37961</v>
      </c>
      <c r="AC211">
        <f t="shared" ref="AC211" si="193">AC181</f>
        <v>74020</v>
      </c>
    </row>
    <row r="212" spans="1:34" x14ac:dyDescent="0.2">
      <c r="A212" t="s">
        <v>189</v>
      </c>
      <c r="V212">
        <f>V186+V185+V184</f>
        <v>-19473</v>
      </c>
      <c r="W212">
        <f t="shared" ref="W212:AB212" si="194">W186+W185+W184</f>
        <v>-25431</v>
      </c>
      <c r="X212">
        <f t="shared" si="194"/>
        <v>-25073</v>
      </c>
      <c r="Y212">
        <f t="shared" si="194"/>
        <v>-26420</v>
      </c>
      <c r="Z212">
        <f t="shared" si="194"/>
        <v>-30726</v>
      </c>
      <c r="AA212">
        <f t="shared" si="194"/>
        <v>-27881</v>
      </c>
      <c r="AB212">
        <f t="shared" si="194"/>
        <v>-21947</v>
      </c>
      <c r="AC212">
        <f t="shared" ref="AC212" si="195">AC186+AC185+AC184</f>
        <v>-20350</v>
      </c>
    </row>
    <row r="213" spans="1:34" x14ac:dyDescent="0.2">
      <c r="A213" t="s">
        <v>191</v>
      </c>
      <c r="V213">
        <f>V157</f>
        <v>23100</v>
      </c>
      <c r="W213">
        <f t="shared" ref="W213:AB213" si="196">W157</f>
        <v>28545</v>
      </c>
      <c r="X213">
        <f t="shared" si="196"/>
        <v>24512</v>
      </c>
      <c r="Y213">
        <f t="shared" si="196"/>
        <v>32689</v>
      </c>
      <c r="Z213">
        <f t="shared" si="196"/>
        <v>33084</v>
      </c>
      <c r="AA213">
        <f t="shared" si="196"/>
        <v>31087</v>
      </c>
      <c r="AB213">
        <f t="shared" si="196"/>
        <v>34170</v>
      </c>
      <c r="AC213">
        <f t="shared" ref="AC213" si="197">AC157</f>
        <v>35115</v>
      </c>
    </row>
    <row r="214" spans="1:34" x14ac:dyDescent="0.2">
      <c r="A214" t="s">
        <v>187</v>
      </c>
      <c r="V214">
        <f t="shared" ref="V214:AB214" si="198">V211+V212</f>
        <v>54100</v>
      </c>
      <c r="W214">
        <f t="shared" si="198"/>
        <v>45497</v>
      </c>
      <c r="X214">
        <f t="shared" si="198"/>
        <v>38549</v>
      </c>
      <c r="Y214">
        <f t="shared" si="198"/>
        <v>38681</v>
      </c>
      <c r="Z214">
        <f t="shared" si="198"/>
        <v>49309</v>
      </c>
      <c r="AA214">
        <f t="shared" si="198"/>
        <v>35839</v>
      </c>
      <c r="AB214">
        <f t="shared" si="198"/>
        <v>16014</v>
      </c>
      <c r="AC214">
        <f t="shared" ref="AC214" si="199">AC211+AC212</f>
        <v>53670</v>
      </c>
    </row>
    <row r="215" spans="1:34" x14ac:dyDescent="0.2">
      <c r="A215" t="s">
        <v>190</v>
      </c>
      <c r="V215">
        <f t="shared" ref="V215:AB215" si="200">V214-V213</f>
        <v>31000</v>
      </c>
      <c r="W215">
        <f t="shared" si="200"/>
        <v>16952</v>
      </c>
      <c r="X215">
        <f t="shared" si="200"/>
        <v>14037</v>
      </c>
      <c r="Y215">
        <f t="shared" si="200"/>
        <v>5992</v>
      </c>
      <c r="Z215">
        <f t="shared" si="200"/>
        <v>16225</v>
      </c>
      <c r="AA215">
        <f t="shared" si="200"/>
        <v>4752</v>
      </c>
      <c r="AB215">
        <f t="shared" si="200"/>
        <v>-18156</v>
      </c>
      <c r="AC215">
        <f t="shared" ref="AC215" si="201">AC214-AC213</f>
        <v>18555</v>
      </c>
    </row>
    <row r="217" spans="1:34" x14ac:dyDescent="0.2">
      <c r="A217" t="s">
        <v>192</v>
      </c>
      <c r="V217">
        <f>V78</f>
        <v>-65179</v>
      </c>
      <c r="W217">
        <f t="shared" ref="W217:AB217" si="202">W78</f>
        <v>32764</v>
      </c>
      <c r="X217">
        <f t="shared" si="202"/>
        <v>6651</v>
      </c>
      <c r="Y217">
        <f t="shared" si="202"/>
        <v>24306</v>
      </c>
      <c r="Z217">
        <f t="shared" si="202"/>
        <v>5742</v>
      </c>
      <c r="AA217">
        <f t="shared" si="202"/>
        <v>7476</v>
      </c>
      <c r="AB217">
        <f t="shared" si="202"/>
        <v>251562</v>
      </c>
      <c r="AC217">
        <f t="shared" ref="AC217:AH217" si="203">AC78</f>
        <v>1858</v>
      </c>
      <c r="AD217" s="6">
        <f t="shared" si="203"/>
        <v>-16526.898991902766</v>
      </c>
      <c r="AE217" s="6">
        <f t="shared" si="203"/>
        <v>-18901.587871902775</v>
      </c>
      <c r="AF217" s="6">
        <f t="shared" si="203"/>
        <v>-27988.634355102771</v>
      </c>
      <c r="AG217" s="6">
        <f t="shared" si="203"/>
        <v>-17415.358733470763</v>
      </c>
      <c r="AH217" s="6">
        <f t="shared" si="203"/>
        <v>-31853.091256055086</v>
      </c>
    </row>
    <row r="218" spans="1:34" x14ac:dyDescent="0.2">
      <c r="A218" t="s">
        <v>193</v>
      </c>
      <c r="V218">
        <f>V215</f>
        <v>31000</v>
      </c>
      <c r="W218">
        <f t="shared" ref="W218:AB218" si="204">W215</f>
        <v>16952</v>
      </c>
      <c r="X218">
        <f t="shared" si="204"/>
        <v>14037</v>
      </c>
      <c r="Y218">
        <f t="shared" si="204"/>
        <v>5992</v>
      </c>
      <c r="Z218">
        <f t="shared" si="204"/>
        <v>16225</v>
      </c>
      <c r="AA218">
        <f t="shared" si="204"/>
        <v>4752</v>
      </c>
      <c r="AB218">
        <f t="shared" si="204"/>
        <v>-18156</v>
      </c>
      <c r="AC218">
        <f t="shared" ref="AC218" si="205">AC215</f>
        <v>18555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81A0-B3E9-9344-B206-E0FB3B532E9E}">
  <dimension ref="A1:AI176"/>
  <sheetViews>
    <sheetView tabSelected="1" workbookViewId="0">
      <pane xSplit="1" ySplit="2" topLeftCell="G76" activePane="bottomRight" state="frozen"/>
      <selection pane="topRight" activeCell="B1" sqref="B1"/>
      <selection pane="bottomLeft" activeCell="A3" sqref="A3"/>
      <selection pane="bottomRight" activeCell="P84" sqref="P84"/>
    </sheetView>
  </sheetViews>
  <sheetFormatPr baseColWidth="10" defaultRowHeight="16" x14ac:dyDescent="0.2"/>
  <cols>
    <col min="1" max="1" width="28.6640625" customWidth="1"/>
  </cols>
  <sheetData>
    <row r="1" spans="1:34" x14ac:dyDescent="0.2">
      <c r="A1" t="s">
        <v>15</v>
      </c>
      <c r="B1" s="2" t="s">
        <v>155</v>
      </c>
      <c r="C1" s="2" t="s">
        <v>156</v>
      </c>
      <c r="D1" s="2" t="s">
        <v>157</v>
      </c>
      <c r="E1" s="2" t="s">
        <v>158</v>
      </c>
      <c r="F1" s="2" t="s">
        <v>8</v>
      </c>
      <c r="G1" s="2" t="s">
        <v>91</v>
      </c>
      <c r="H1" s="2" t="s">
        <v>92</v>
      </c>
      <c r="I1" s="2" t="s">
        <v>93</v>
      </c>
      <c r="J1" s="2" t="s">
        <v>9</v>
      </c>
      <c r="K1" s="2" t="s">
        <v>94</v>
      </c>
      <c r="L1" s="2" t="s">
        <v>306</v>
      </c>
      <c r="M1" s="2" t="s">
        <v>305</v>
      </c>
      <c r="N1" s="2" t="s">
        <v>219</v>
      </c>
      <c r="O1" s="2" t="s">
        <v>220</v>
      </c>
      <c r="P1" s="2" t="s">
        <v>221</v>
      </c>
      <c r="Q1" s="2" t="s">
        <v>222</v>
      </c>
      <c r="R1" s="2" t="s">
        <v>263</v>
      </c>
      <c r="S1" s="2" t="s">
        <v>264</v>
      </c>
      <c r="T1" s="2" t="s">
        <v>265</v>
      </c>
      <c r="U1" s="2" t="s">
        <v>266</v>
      </c>
      <c r="V1" s="2" t="s">
        <v>267</v>
      </c>
      <c r="W1" s="2" t="s">
        <v>268</v>
      </c>
      <c r="X1" s="2" t="s">
        <v>269</v>
      </c>
      <c r="Y1" s="2" t="s">
        <v>270</v>
      </c>
      <c r="Z1" s="2"/>
      <c r="AA1" s="2" t="s">
        <v>148</v>
      </c>
      <c r="AB1" s="2" t="s">
        <v>153</v>
      </c>
      <c r="AC1" s="2" t="s">
        <v>0</v>
      </c>
      <c r="AD1" s="2" t="s">
        <v>1</v>
      </c>
      <c r="AE1" s="2" t="s">
        <v>141</v>
      </c>
      <c r="AF1" t="s">
        <v>142</v>
      </c>
      <c r="AG1" t="s">
        <v>143</v>
      </c>
      <c r="AH1" t="s">
        <v>144</v>
      </c>
    </row>
    <row r="2" spans="1:34" x14ac:dyDescent="0.2">
      <c r="B2" s="1">
        <v>43921</v>
      </c>
      <c r="C2" s="1">
        <v>44012</v>
      </c>
      <c r="D2" s="1">
        <v>44104</v>
      </c>
      <c r="E2" s="1">
        <v>44196</v>
      </c>
      <c r="F2" s="1">
        <v>44286</v>
      </c>
      <c r="G2" s="1">
        <v>44377</v>
      </c>
      <c r="H2" s="1">
        <v>44469</v>
      </c>
      <c r="I2" s="1">
        <v>44561</v>
      </c>
      <c r="J2" s="1">
        <f t="shared" ref="J2:Q2" si="0">F2+365</f>
        <v>44651</v>
      </c>
      <c r="K2" s="1">
        <f t="shared" si="0"/>
        <v>44742</v>
      </c>
      <c r="L2" s="1">
        <f t="shared" si="0"/>
        <v>44834</v>
      </c>
      <c r="M2" s="1">
        <f t="shared" si="0"/>
        <v>44926</v>
      </c>
      <c r="N2" s="1">
        <f t="shared" si="0"/>
        <v>45016</v>
      </c>
      <c r="O2" s="1">
        <f t="shared" si="0"/>
        <v>45107</v>
      </c>
      <c r="P2" s="1">
        <f t="shared" si="0"/>
        <v>45199</v>
      </c>
      <c r="Q2" s="1">
        <f t="shared" si="0"/>
        <v>45291</v>
      </c>
      <c r="R2" s="1">
        <f>N2+366</f>
        <v>45382</v>
      </c>
      <c r="S2" s="1">
        <f>O2+366</f>
        <v>45473</v>
      </c>
      <c r="T2" s="1">
        <f>P2+366</f>
        <v>45565</v>
      </c>
      <c r="U2" s="1">
        <f>Q2+366</f>
        <v>45657</v>
      </c>
      <c r="V2" s="1">
        <f>R2+365</f>
        <v>45747</v>
      </c>
      <c r="W2" s="1">
        <f>S2+365</f>
        <v>45838</v>
      </c>
      <c r="X2" s="1">
        <f>T2+365</f>
        <v>45930</v>
      </c>
      <c r="Y2" s="1">
        <f>U2+365</f>
        <v>46022</v>
      </c>
      <c r="Z2" s="1"/>
      <c r="AA2" s="6">
        <v>2019</v>
      </c>
      <c r="AB2" s="6">
        <f>AA2+1</f>
        <v>2020</v>
      </c>
      <c r="AC2" s="6">
        <f t="shared" ref="AC2:AH2" si="1">AB2+1</f>
        <v>2021</v>
      </c>
      <c r="AD2" s="6">
        <f t="shared" si="1"/>
        <v>2022</v>
      </c>
      <c r="AE2" s="6">
        <f t="shared" si="1"/>
        <v>2023</v>
      </c>
      <c r="AF2" s="6">
        <f t="shared" si="1"/>
        <v>2024</v>
      </c>
      <c r="AG2" s="6">
        <f t="shared" si="1"/>
        <v>2025</v>
      </c>
      <c r="AH2" s="6">
        <f t="shared" si="1"/>
        <v>2026</v>
      </c>
    </row>
    <row r="5" spans="1:34" x14ac:dyDescent="0.2">
      <c r="A5" s="2" t="s">
        <v>7</v>
      </c>
      <c r="B5" s="2"/>
      <c r="C5" s="2"/>
      <c r="D5" s="2"/>
      <c r="E5" s="2"/>
    </row>
    <row r="6" spans="1:34" x14ac:dyDescent="0.2">
      <c r="A6" t="s">
        <v>61</v>
      </c>
    </row>
    <row r="7" spans="1:34" x14ac:dyDescent="0.2">
      <c r="A7" t="s">
        <v>62</v>
      </c>
    </row>
    <row r="8" spans="1:34" x14ac:dyDescent="0.2">
      <c r="A8" t="s">
        <v>95</v>
      </c>
    </row>
    <row r="9" spans="1:34" x14ac:dyDescent="0.2">
      <c r="A9" t="s">
        <v>96</v>
      </c>
      <c r="J9">
        <v>4628</v>
      </c>
    </row>
    <row r="10" spans="1:34" x14ac:dyDescent="0.2">
      <c r="A10" t="s">
        <v>97</v>
      </c>
      <c r="J10">
        <v>1477</v>
      </c>
    </row>
    <row r="11" spans="1:34" x14ac:dyDescent="0.2">
      <c r="A11" t="s">
        <v>7</v>
      </c>
      <c r="J11">
        <v>75</v>
      </c>
    </row>
    <row r="12" spans="1:34" s="2" customFormat="1" x14ac:dyDescent="0.2">
      <c r="A12" s="2" t="s">
        <v>98</v>
      </c>
      <c r="J12" s="2">
        <f>SUM(J6:J11)</f>
        <v>6180</v>
      </c>
    </row>
    <row r="14" spans="1:34" s="2" customFormat="1" x14ac:dyDescent="0.2">
      <c r="A14" s="2" t="s">
        <v>99</v>
      </c>
    </row>
    <row r="15" spans="1:34" x14ac:dyDescent="0.2">
      <c r="A15" t="s">
        <v>100</v>
      </c>
      <c r="F15">
        <v>162351</v>
      </c>
      <c r="J15">
        <v>184812</v>
      </c>
    </row>
    <row r="16" spans="1:34" x14ac:dyDescent="0.2">
      <c r="A16" t="s">
        <v>103</v>
      </c>
      <c r="F16">
        <v>29500</v>
      </c>
      <c r="J16">
        <v>30900</v>
      </c>
    </row>
    <row r="18" spans="1:10" x14ac:dyDescent="0.2">
      <c r="A18" t="s">
        <v>101</v>
      </c>
      <c r="F18">
        <v>36027</v>
      </c>
      <c r="J18">
        <v>17432</v>
      </c>
    </row>
    <row r="19" spans="1:10" x14ac:dyDescent="0.2">
      <c r="A19" t="s">
        <v>104</v>
      </c>
      <c r="F19">
        <v>10700</v>
      </c>
      <c r="J19">
        <v>4800</v>
      </c>
    </row>
    <row r="20" spans="1:10" s="2" customFormat="1" x14ac:dyDescent="0.2">
      <c r="A20" s="2" t="s">
        <v>102</v>
      </c>
      <c r="F20" s="2">
        <f>F15+F18</f>
        <v>198378</v>
      </c>
      <c r="J20" s="2">
        <f>J15+J18</f>
        <v>202244</v>
      </c>
    </row>
    <row r="22" spans="1:10" x14ac:dyDescent="0.2">
      <c r="A22" s="2" t="s">
        <v>19</v>
      </c>
      <c r="B22" s="2"/>
      <c r="C22" s="2"/>
      <c r="D22" s="2"/>
      <c r="E22" s="2"/>
    </row>
    <row r="23" spans="1:10" x14ac:dyDescent="0.2">
      <c r="A23" t="s">
        <v>105</v>
      </c>
      <c r="J23">
        <v>19918</v>
      </c>
    </row>
    <row r="24" spans="1:10" x14ac:dyDescent="0.2">
      <c r="A24" t="s">
        <v>106</v>
      </c>
      <c r="J24">
        <v>13670</v>
      </c>
    </row>
    <row r="25" spans="1:10" x14ac:dyDescent="0.2">
      <c r="A25" t="s">
        <v>34</v>
      </c>
      <c r="J25">
        <v>60458</v>
      </c>
    </row>
    <row r="27" spans="1:10" x14ac:dyDescent="0.2">
      <c r="A27" s="2" t="s">
        <v>107</v>
      </c>
      <c r="B27" s="2"/>
      <c r="C27" s="2"/>
      <c r="D27" s="2"/>
      <c r="E27" s="2"/>
    </row>
    <row r="28" spans="1:10" x14ac:dyDescent="0.2">
      <c r="A28" t="s">
        <v>108</v>
      </c>
      <c r="J28">
        <v>132162</v>
      </c>
    </row>
    <row r="29" spans="1:10" x14ac:dyDescent="0.2">
      <c r="A29" t="s">
        <v>109</v>
      </c>
      <c r="J29">
        <v>1108</v>
      </c>
    </row>
    <row r="30" spans="1:10" x14ac:dyDescent="0.2">
      <c r="A30" t="s">
        <v>110</v>
      </c>
      <c r="J30">
        <f>J28+J29</f>
        <v>133270</v>
      </c>
    </row>
    <row r="32" spans="1:10" x14ac:dyDescent="0.2">
      <c r="A32" t="s">
        <v>111</v>
      </c>
      <c r="J32">
        <v>2300</v>
      </c>
    </row>
    <row r="33" spans="1:31" x14ac:dyDescent="0.2">
      <c r="A33" t="s">
        <v>112</v>
      </c>
      <c r="J33">
        <v>22875</v>
      </c>
    </row>
    <row r="34" spans="1:31" x14ac:dyDescent="0.2">
      <c r="A34" t="s">
        <v>113</v>
      </c>
      <c r="J34">
        <f>J32+J33</f>
        <v>25175</v>
      </c>
    </row>
    <row r="37" spans="1:31" x14ac:dyDescent="0.2">
      <c r="A37" s="2" t="s">
        <v>322</v>
      </c>
    </row>
    <row r="38" spans="1:31" x14ac:dyDescent="0.2">
      <c r="A38" t="s">
        <v>323</v>
      </c>
      <c r="E38">
        <v>181938</v>
      </c>
      <c r="I38">
        <v>258005</v>
      </c>
    </row>
    <row r="39" spans="1:31" x14ac:dyDescent="0.2">
      <c r="A39" t="s">
        <v>324</v>
      </c>
      <c r="E39">
        <v>15646</v>
      </c>
      <c r="I39">
        <v>29711</v>
      </c>
    </row>
    <row r="40" spans="1:31" x14ac:dyDescent="0.2">
      <c r="A40" t="s">
        <v>325</v>
      </c>
      <c r="E40">
        <v>19574</v>
      </c>
      <c r="I40">
        <v>19913</v>
      </c>
    </row>
    <row r="41" spans="1:31" x14ac:dyDescent="0.2">
      <c r="A41" t="s">
        <v>326</v>
      </c>
      <c r="E41">
        <v>3891</v>
      </c>
      <c r="I41">
        <v>4352</v>
      </c>
    </row>
    <row r="42" spans="1:31" x14ac:dyDescent="0.2">
      <c r="A42" t="s">
        <v>327</v>
      </c>
      <c r="E42">
        <v>3368</v>
      </c>
      <c r="I42">
        <v>3370</v>
      </c>
    </row>
    <row r="43" spans="1:31" x14ac:dyDescent="0.2">
      <c r="A43" t="s">
        <v>328</v>
      </c>
      <c r="E43">
        <f>E38+E39+E40+E41+E42</f>
        <v>224417</v>
      </c>
      <c r="F43">
        <f>F49-F44</f>
        <v>251687</v>
      </c>
      <c r="G43">
        <f t="shared" ref="G43:H43" si="2">G49-G44</f>
        <v>294832</v>
      </c>
      <c r="H43">
        <f t="shared" si="2"/>
        <v>321857</v>
      </c>
      <c r="I43">
        <f>I38+I39+I40+I41+I42</f>
        <v>315351</v>
      </c>
      <c r="J43">
        <f>J49-J44</f>
        <v>362689</v>
      </c>
      <c r="K43">
        <f t="shared" ref="K43:L43" si="3">K49-K44</f>
        <v>398069</v>
      </c>
      <c r="L43">
        <f t="shared" si="3"/>
        <v>427017</v>
      </c>
      <c r="M43" s="6">
        <f>L43+M48</f>
        <v>453591</v>
      </c>
      <c r="N43" s="6">
        <f t="shared" ref="N43:Y43" si="4">M43+N48</f>
        <v>480430.74</v>
      </c>
      <c r="O43" s="6">
        <f t="shared" si="4"/>
        <v>507538.8774</v>
      </c>
      <c r="P43" s="6">
        <f t="shared" si="4"/>
        <v>534918.09617399995</v>
      </c>
      <c r="Q43" s="6">
        <f t="shared" si="4"/>
        <v>562571.10713573999</v>
      </c>
      <c r="R43" s="6">
        <f t="shared" si="4"/>
        <v>590500.64820709743</v>
      </c>
      <c r="S43" s="6">
        <f t="shared" si="4"/>
        <v>618709.4846891684</v>
      </c>
      <c r="T43" s="6">
        <f t="shared" si="4"/>
        <v>647200.40953606006</v>
      </c>
      <c r="U43" s="6">
        <f t="shared" si="4"/>
        <v>675976.24363142066</v>
      </c>
      <c r="V43" s="6">
        <f t="shared" si="4"/>
        <v>705039.83606773487</v>
      </c>
      <c r="W43" s="6">
        <f t="shared" si="4"/>
        <v>734394.06442841224</v>
      </c>
      <c r="X43" s="6">
        <f t="shared" si="4"/>
        <v>764041.83507269633</v>
      </c>
      <c r="Y43" s="6">
        <f t="shared" si="4"/>
        <v>793986.08342342335</v>
      </c>
    </row>
    <row r="44" spans="1:31" x14ac:dyDescent="0.2">
      <c r="A44" t="s">
        <v>329</v>
      </c>
      <c r="E44">
        <v>-98610</v>
      </c>
      <c r="F44">
        <f>E44-F48</f>
        <v>-117594</v>
      </c>
      <c r="G44">
        <f t="shared" ref="G44:H44" si="5">F44-G48</f>
        <v>-145205</v>
      </c>
      <c r="H44">
        <f t="shared" si="5"/>
        <v>-165736</v>
      </c>
      <c r="I44">
        <f>-145413</f>
        <v>-145413</v>
      </c>
      <c r="J44">
        <f>I44-J48</f>
        <v>-174946</v>
      </c>
      <c r="K44">
        <f t="shared" ref="K44:L44" si="6">J44-K48</f>
        <v>-202699</v>
      </c>
      <c r="L44">
        <f t="shared" si="6"/>
        <v>-224655</v>
      </c>
      <c r="M44" s="6">
        <f>L44+M45</f>
        <v>-251343.5625</v>
      </c>
      <c r="N44" s="6">
        <f t="shared" ref="N44:Y44" si="7">M44+N45</f>
        <v>-276543.0625</v>
      </c>
      <c r="O44" s="6">
        <f t="shared" si="7"/>
        <v>-303233.65916666668</v>
      </c>
      <c r="P44" s="6">
        <f t="shared" si="7"/>
        <v>-331430.26346666669</v>
      </c>
      <c r="Q44" s="6">
        <f t="shared" si="7"/>
        <v>-361147.93547633337</v>
      </c>
      <c r="R44" s="6">
        <f t="shared" si="7"/>
        <v>-384588.39827365585</v>
      </c>
      <c r="S44" s="6">
        <f t="shared" si="7"/>
        <v>-409192.59194895159</v>
      </c>
      <c r="T44" s="6">
        <f t="shared" si="7"/>
        <v>-434972.15381100029</v>
      </c>
      <c r="U44" s="6">
        <f t="shared" si="7"/>
        <v>-461938.83754166943</v>
      </c>
      <c r="V44" s="6">
        <f t="shared" si="7"/>
        <v>-490104.51435964531</v>
      </c>
      <c r="W44" s="6">
        <f t="shared" si="7"/>
        <v>-519481.17419580091</v>
      </c>
      <c r="X44" s="6">
        <f t="shared" si="7"/>
        <v>-550080.92688031809</v>
      </c>
      <c r="Y44" s="6">
        <f t="shared" si="7"/>
        <v>-581916.00334168039</v>
      </c>
    </row>
    <row r="45" spans="1:31" x14ac:dyDescent="0.2">
      <c r="A45" t="s">
        <v>332</v>
      </c>
      <c r="F45">
        <f>-Model!V156</f>
        <v>-14846</v>
      </c>
      <c r="G45">
        <f>-Model!W156</f>
        <v>-15341</v>
      </c>
      <c r="H45">
        <f>-Model!X156</f>
        <v>-16086</v>
      </c>
      <c r="I45">
        <f>-Model!Y156</f>
        <v>-17001</v>
      </c>
      <c r="J45">
        <f>-Model!Z156</f>
        <v>-20285</v>
      </c>
      <c r="K45">
        <f>-Model!AA156</f>
        <v>-21636</v>
      </c>
      <c r="L45">
        <f>-Model!AB156</f>
        <v>-22374</v>
      </c>
      <c r="M45" s="6">
        <f>-L43/(M46*4)</f>
        <v>-26688.5625</v>
      </c>
      <c r="N45" s="6">
        <f t="shared" ref="N45:Y45" si="8">-M43/(N46*4)</f>
        <v>-25199.5</v>
      </c>
      <c r="O45" s="6">
        <f t="shared" si="8"/>
        <v>-26690.596666666665</v>
      </c>
      <c r="P45" s="6">
        <f t="shared" si="8"/>
        <v>-28196.604299999999</v>
      </c>
      <c r="Q45" s="6">
        <f t="shared" si="8"/>
        <v>-29717.672009666665</v>
      </c>
      <c r="R45" s="6">
        <f t="shared" si="8"/>
        <v>-23440.4627973225</v>
      </c>
      <c r="S45" s="6">
        <f t="shared" si="8"/>
        <v>-24604.193675295726</v>
      </c>
      <c r="T45" s="6">
        <f t="shared" si="8"/>
        <v>-25779.561862048682</v>
      </c>
      <c r="U45" s="6">
        <f t="shared" si="8"/>
        <v>-26966.68373066917</v>
      </c>
      <c r="V45" s="6">
        <f t="shared" si="8"/>
        <v>-28165.676817975862</v>
      </c>
      <c r="W45" s="6">
        <f t="shared" si="8"/>
        <v>-29376.659836155621</v>
      </c>
      <c r="X45" s="6">
        <f t="shared" si="8"/>
        <v>-30599.752684517178</v>
      </c>
      <c r="Y45" s="6">
        <f t="shared" si="8"/>
        <v>-31835.076461362347</v>
      </c>
    </row>
    <row r="46" spans="1:31" x14ac:dyDescent="0.2">
      <c r="A46" t="s">
        <v>331</v>
      </c>
      <c r="F46" s="6">
        <f>-1/(F45/E43)/4</f>
        <v>3.7790819075845343</v>
      </c>
      <c r="G46" s="6">
        <f t="shared" ref="G46:I46" si="9">-1/(G45/F43)/4</f>
        <v>4.1015416204941006</v>
      </c>
      <c r="H46" s="6">
        <f t="shared" si="9"/>
        <v>4.5821210990923786</v>
      </c>
      <c r="I46" s="6">
        <f t="shared" si="9"/>
        <v>4.7329127698370685</v>
      </c>
      <c r="J46" s="6">
        <f>-1/(J45/I43)/4</f>
        <v>3.8865048065072716</v>
      </c>
      <c r="K46" s="6">
        <f t="shared" ref="K46:L46" si="10">-1/(K45/J43)/4</f>
        <v>4.1908046773895364</v>
      </c>
      <c r="L46" s="6">
        <f t="shared" si="10"/>
        <v>4.4478971127201214</v>
      </c>
      <c r="M46" s="6">
        <v>4</v>
      </c>
      <c r="N46" s="6">
        <v>4.5</v>
      </c>
      <c r="O46" s="6">
        <v>4.5</v>
      </c>
      <c r="P46" s="6">
        <v>4.5</v>
      </c>
      <c r="Q46" s="6">
        <v>4.5</v>
      </c>
      <c r="R46" s="6">
        <v>6</v>
      </c>
      <c r="S46" s="6">
        <v>6</v>
      </c>
      <c r="T46" s="6">
        <v>6</v>
      </c>
      <c r="U46" s="6">
        <v>6</v>
      </c>
      <c r="V46" s="6">
        <v>6</v>
      </c>
      <c r="W46" s="6">
        <v>6</v>
      </c>
      <c r="X46" s="6">
        <v>6</v>
      </c>
      <c r="Y46" s="6">
        <v>6</v>
      </c>
    </row>
    <row r="48" spans="1:31" x14ac:dyDescent="0.2">
      <c r="A48" t="s">
        <v>330</v>
      </c>
      <c r="F48">
        <f>-Model!V184</f>
        <v>18984</v>
      </c>
      <c r="G48">
        <f>-Model!W184</f>
        <v>27611</v>
      </c>
      <c r="H48">
        <f>-Model!X184</f>
        <v>20531</v>
      </c>
      <c r="I48">
        <f>-Model!Y184</f>
        <v>27054</v>
      </c>
      <c r="J48">
        <f>-Model!Z184</f>
        <v>29533</v>
      </c>
      <c r="K48">
        <f>-Model!AA184</f>
        <v>27753</v>
      </c>
      <c r="L48">
        <f>-Model!AB184</f>
        <v>21956</v>
      </c>
      <c r="M48">
        <f>AVERAGE(I48:L48)</f>
        <v>26574</v>
      </c>
      <c r="N48" s="6">
        <f>M48*1.01</f>
        <v>26839.74</v>
      </c>
      <c r="O48" s="6">
        <f t="shared" ref="O48:T48" si="11">N48*1.01</f>
        <v>27108.137400000003</v>
      </c>
      <c r="P48" s="6">
        <f t="shared" si="11"/>
        <v>27379.218774000004</v>
      </c>
      <c r="Q48" s="6">
        <f t="shared" si="11"/>
        <v>27653.010961740005</v>
      </c>
      <c r="R48" s="6">
        <f t="shared" si="11"/>
        <v>27929.541071357406</v>
      </c>
      <c r="S48" s="6">
        <f t="shared" si="11"/>
        <v>28208.836482070979</v>
      </c>
      <c r="T48" s="6">
        <f t="shared" si="11"/>
        <v>28490.924846891689</v>
      </c>
      <c r="U48" s="6">
        <f t="shared" ref="U48:Y48" si="12">T48*1.01</f>
        <v>28775.834095360606</v>
      </c>
      <c r="V48" s="6">
        <f t="shared" si="12"/>
        <v>29063.592436314211</v>
      </c>
      <c r="W48" s="6">
        <f t="shared" si="12"/>
        <v>29354.228360677353</v>
      </c>
      <c r="X48" s="6">
        <f t="shared" si="12"/>
        <v>29647.770644284126</v>
      </c>
      <c r="Y48" s="6">
        <f t="shared" si="12"/>
        <v>29944.248350726968</v>
      </c>
      <c r="Z48" s="6"/>
      <c r="AA48" s="6"/>
      <c r="AB48" s="6"/>
      <c r="AC48" s="6"/>
      <c r="AD48" s="6"/>
      <c r="AE48" s="6"/>
    </row>
    <row r="49" spans="1:25" x14ac:dyDescent="0.2">
      <c r="A49" t="s">
        <v>27</v>
      </c>
      <c r="E49">
        <f>Model!U107</f>
        <v>125807</v>
      </c>
      <c r="F49">
        <f>Model!V107</f>
        <v>134093</v>
      </c>
      <c r="G49">
        <f>Model!W107</f>
        <v>149627</v>
      </c>
      <c r="H49">
        <f>Model!X107</f>
        <v>156121</v>
      </c>
      <c r="I49">
        <f>Model!Y107</f>
        <v>169938</v>
      </c>
      <c r="J49">
        <f>Model!Z107</f>
        <v>187743</v>
      </c>
      <c r="K49">
        <f>Model!AA107</f>
        <v>195370</v>
      </c>
      <c r="L49">
        <f>Model!AB107</f>
        <v>202362</v>
      </c>
      <c r="M49" s="6">
        <f>M43+M44</f>
        <v>202247.4375</v>
      </c>
      <c r="N49" s="6">
        <f>N43+N44</f>
        <v>203887.67749999999</v>
      </c>
      <c r="O49" s="6">
        <f t="shared" ref="O49:Y49" si="13">O43+O44</f>
        <v>204305.21823333332</v>
      </c>
      <c r="P49" s="6">
        <f t="shared" si="13"/>
        <v>203487.83270733326</v>
      </c>
      <c r="Q49" s="6">
        <f t="shared" si="13"/>
        <v>201423.17165940662</v>
      </c>
      <c r="R49" s="6">
        <f t="shared" si="13"/>
        <v>205912.24993344158</v>
      </c>
      <c r="S49" s="6">
        <f t="shared" si="13"/>
        <v>209516.8927402168</v>
      </c>
      <c r="T49" s="6">
        <f t="shared" si="13"/>
        <v>212228.25572505977</v>
      </c>
      <c r="U49" s="6">
        <f t="shared" si="13"/>
        <v>214037.40608975122</v>
      </c>
      <c r="V49" s="6">
        <f t="shared" si="13"/>
        <v>214935.32170808956</v>
      </c>
      <c r="W49" s="6">
        <f t="shared" si="13"/>
        <v>214912.89023261133</v>
      </c>
      <c r="X49" s="6">
        <f t="shared" si="13"/>
        <v>213960.90819237824</v>
      </c>
      <c r="Y49" s="6">
        <f t="shared" si="13"/>
        <v>212070.08008174296</v>
      </c>
    </row>
    <row r="56" spans="1:25" x14ac:dyDescent="0.2">
      <c r="A56" t="s">
        <v>114</v>
      </c>
    </row>
    <row r="57" spans="1:25" x14ac:dyDescent="0.2">
      <c r="A57" t="s">
        <v>115</v>
      </c>
    </row>
    <row r="58" spans="1:25" x14ac:dyDescent="0.2">
      <c r="A58" s="2" t="s">
        <v>120</v>
      </c>
      <c r="B58" s="2"/>
      <c r="C58" s="2"/>
      <c r="D58" s="2"/>
      <c r="E58" s="2"/>
    </row>
    <row r="59" spans="1:25" x14ac:dyDescent="0.2">
      <c r="A59" t="s">
        <v>18</v>
      </c>
    </row>
    <row r="60" spans="1:25" x14ac:dyDescent="0.2">
      <c r="A60" t="s">
        <v>121</v>
      </c>
    </row>
    <row r="61" spans="1:25" x14ac:dyDescent="0.2">
      <c r="A61" t="s">
        <v>116</v>
      </c>
    </row>
    <row r="62" spans="1:25" x14ac:dyDescent="0.2">
      <c r="A62" t="s">
        <v>117</v>
      </c>
    </row>
    <row r="63" spans="1:25" x14ac:dyDescent="0.2">
      <c r="A63" t="s">
        <v>118</v>
      </c>
    </row>
    <row r="64" spans="1:25" x14ac:dyDescent="0.2">
      <c r="A64" s="2" t="s">
        <v>119</v>
      </c>
      <c r="B64" s="2"/>
      <c r="C64" s="2"/>
      <c r="D64" s="2"/>
      <c r="E64" s="2"/>
    </row>
    <row r="65" spans="1:10" x14ac:dyDescent="0.2">
      <c r="A65" s="2" t="s">
        <v>26</v>
      </c>
      <c r="B65" s="2"/>
      <c r="C65" s="2"/>
      <c r="D65" s="2"/>
      <c r="E65" s="2"/>
    </row>
    <row r="66" spans="1:10" x14ac:dyDescent="0.2">
      <c r="A66" t="s">
        <v>116</v>
      </c>
    </row>
    <row r="67" spans="1:10" x14ac:dyDescent="0.2">
      <c r="A67" t="s">
        <v>117</v>
      </c>
    </row>
    <row r="68" spans="1:10" x14ac:dyDescent="0.2">
      <c r="A68" s="2" t="s">
        <v>122</v>
      </c>
      <c r="B68" s="2"/>
      <c r="C68" s="2"/>
      <c r="D68" s="2"/>
      <c r="E68" s="2"/>
    </row>
    <row r="71" spans="1:10" x14ac:dyDescent="0.2">
      <c r="A71" t="s">
        <v>127</v>
      </c>
    </row>
    <row r="72" spans="1:10" x14ac:dyDescent="0.2">
      <c r="A72" t="s">
        <v>123</v>
      </c>
      <c r="J72">
        <v>289763</v>
      </c>
    </row>
    <row r="73" spans="1:10" x14ac:dyDescent="0.2">
      <c r="A73" t="s">
        <v>124</v>
      </c>
      <c r="J73">
        <v>367376</v>
      </c>
    </row>
    <row r="74" spans="1:10" x14ac:dyDescent="0.2">
      <c r="A74" t="s">
        <v>125</v>
      </c>
      <c r="J74">
        <v>-15855</v>
      </c>
    </row>
    <row r="75" spans="1:10" x14ac:dyDescent="0.2">
      <c r="A75" t="s">
        <v>126</v>
      </c>
      <c r="J75">
        <f>J72+J73+J74</f>
        <v>641284</v>
      </c>
    </row>
    <row r="77" spans="1:10" x14ac:dyDescent="0.2">
      <c r="A77" s="2" t="s">
        <v>128</v>
      </c>
      <c r="B77" s="2"/>
      <c r="C77" s="2"/>
      <c r="D77" s="2"/>
      <c r="E77" s="2"/>
    </row>
    <row r="78" spans="1:10" x14ac:dyDescent="0.2">
      <c r="A78" t="s">
        <v>134</v>
      </c>
    </row>
    <row r="79" spans="1:10" x14ac:dyDescent="0.2">
      <c r="A79" t="s">
        <v>129</v>
      </c>
      <c r="I79">
        <v>76</v>
      </c>
      <c r="J79">
        <v>80</v>
      </c>
    </row>
    <row r="80" spans="1:10" x14ac:dyDescent="0.2">
      <c r="A80" t="s">
        <v>130</v>
      </c>
      <c r="I80">
        <v>60</v>
      </c>
      <c r="J80">
        <v>60</v>
      </c>
    </row>
    <row r="81" spans="1:10" x14ac:dyDescent="0.2">
      <c r="A81" t="s">
        <v>131</v>
      </c>
      <c r="I81">
        <v>47</v>
      </c>
      <c r="J81">
        <v>35</v>
      </c>
    </row>
    <row r="82" spans="1:10" x14ac:dyDescent="0.2">
      <c r="A82" t="s">
        <v>132</v>
      </c>
      <c r="I82">
        <v>44</v>
      </c>
      <c r="J82">
        <v>52</v>
      </c>
    </row>
    <row r="83" spans="1:10" x14ac:dyDescent="0.2">
      <c r="A83" t="s">
        <v>133</v>
      </c>
    </row>
    <row r="84" spans="1:10" x14ac:dyDescent="0.2">
      <c r="A84" t="s">
        <v>135</v>
      </c>
      <c r="I84">
        <v>65</v>
      </c>
      <c r="J84">
        <v>67</v>
      </c>
    </row>
    <row r="86" spans="1:10" x14ac:dyDescent="0.2">
      <c r="A86" s="2" t="s">
        <v>136</v>
      </c>
      <c r="B86" s="2"/>
      <c r="C86" s="2"/>
      <c r="D86" s="2"/>
      <c r="E86" s="2"/>
    </row>
    <row r="87" spans="1:10" x14ac:dyDescent="0.2">
      <c r="A87" t="s">
        <v>129</v>
      </c>
      <c r="I87">
        <v>57521</v>
      </c>
      <c r="J87">
        <v>106703</v>
      </c>
    </row>
    <row r="88" spans="1:10" x14ac:dyDescent="0.2">
      <c r="A88" t="s">
        <v>130</v>
      </c>
      <c r="I88">
        <v>12230</v>
      </c>
      <c r="J88">
        <v>12230</v>
      </c>
    </row>
    <row r="89" spans="1:10" x14ac:dyDescent="0.2">
      <c r="A89" t="s">
        <v>131</v>
      </c>
      <c r="I89">
        <v>16190</v>
      </c>
      <c r="J89">
        <v>34190</v>
      </c>
    </row>
    <row r="90" spans="1:10" x14ac:dyDescent="0.2">
      <c r="A90" t="s">
        <v>132</v>
      </c>
      <c r="I90">
        <v>11613</v>
      </c>
      <c r="J90">
        <v>16213</v>
      </c>
    </row>
    <row r="91" spans="1:10" x14ac:dyDescent="0.2">
      <c r="A91" t="s">
        <v>133</v>
      </c>
      <c r="I91">
        <v>3600</v>
      </c>
      <c r="J91">
        <v>3600</v>
      </c>
    </row>
    <row r="92" spans="1:10" x14ac:dyDescent="0.2">
      <c r="A92" t="s">
        <v>135</v>
      </c>
      <c r="I92">
        <f>SUM(I87:I91)</f>
        <v>101154</v>
      </c>
      <c r="J92">
        <f>SUM(J87:J91)</f>
        <v>172936</v>
      </c>
    </row>
    <row r="94" spans="1:10" x14ac:dyDescent="0.2">
      <c r="A94" s="2" t="s">
        <v>137</v>
      </c>
      <c r="B94" s="2"/>
      <c r="C94" s="2"/>
      <c r="D94" s="2"/>
      <c r="E94" s="2"/>
    </row>
    <row r="95" spans="1:10" x14ac:dyDescent="0.2">
      <c r="A95" t="s">
        <v>129</v>
      </c>
      <c r="I95">
        <v>-31790</v>
      </c>
      <c r="J95">
        <v>-34921</v>
      </c>
    </row>
    <row r="96" spans="1:10" x14ac:dyDescent="0.2">
      <c r="A96" t="s">
        <v>130</v>
      </c>
      <c r="I96">
        <v>-6836</v>
      </c>
      <c r="J96">
        <v>-7447</v>
      </c>
    </row>
    <row r="97" spans="1:10" x14ac:dyDescent="0.2">
      <c r="A97" t="s">
        <v>131</v>
      </c>
      <c r="I97">
        <v>-12432</v>
      </c>
      <c r="J97">
        <v>-14756</v>
      </c>
    </row>
    <row r="98" spans="1:10" x14ac:dyDescent="0.2">
      <c r="A98" t="s">
        <v>132</v>
      </c>
      <c r="I98">
        <v>-9530</v>
      </c>
      <c r="J98">
        <v>-9993</v>
      </c>
    </row>
    <row r="99" spans="1:10" x14ac:dyDescent="0.2">
      <c r="A99" t="s">
        <v>133</v>
      </c>
    </row>
    <row r="100" spans="1:10" x14ac:dyDescent="0.2">
      <c r="A100" t="s">
        <v>135</v>
      </c>
      <c r="I100">
        <f>SUM(I95:I99)</f>
        <v>-60588</v>
      </c>
      <c r="J100">
        <f>SUM(J95:J99)</f>
        <v>-67117</v>
      </c>
    </row>
    <row r="102" spans="1:10" x14ac:dyDescent="0.2">
      <c r="A102" s="2" t="s">
        <v>138</v>
      </c>
      <c r="B102" s="2"/>
      <c r="C102" s="2"/>
      <c r="D102" s="2"/>
      <c r="E102" s="2"/>
    </row>
    <row r="103" spans="1:10" x14ac:dyDescent="0.2">
      <c r="A103" t="s">
        <v>129</v>
      </c>
      <c r="J103">
        <v>-2165</v>
      </c>
    </row>
    <row r="104" spans="1:10" x14ac:dyDescent="0.2">
      <c r="A104" t="s">
        <v>130</v>
      </c>
    </row>
    <row r="105" spans="1:10" x14ac:dyDescent="0.2">
      <c r="A105" t="s">
        <v>131</v>
      </c>
      <c r="J105">
        <v>-772</v>
      </c>
    </row>
    <row r="106" spans="1:10" x14ac:dyDescent="0.2">
      <c r="A106" t="s">
        <v>132</v>
      </c>
      <c r="J106">
        <v>-197</v>
      </c>
    </row>
    <row r="107" spans="1:10" x14ac:dyDescent="0.2">
      <c r="A107" t="s">
        <v>133</v>
      </c>
    </row>
    <row r="108" spans="1:10" x14ac:dyDescent="0.2">
      <c r="A108" t="s">
        <v>135</v>
      </c>
      <c r="J108">
        <f>SUM(J103:J107)</f>
        <v>-3134</v>
      </c>
    </row>
    <row r="110" spans="1:10" x14ac:dyDescent="0.2">
      <c r="A110" s="2" t="s">
        <v>139</v>
      </c>
      <c r="B110" s="2"/>
      <c r="C110" s="2"/>
      <c r="D110" s="2"/>
      <c r="E110" s="2"/>
    </row>
    <row r="111" spans="1:10" x14ac:dyDescent="0.2">
      <c r="A111" t="s">
        <v>129</v>
      </c>
      <c r="I111">
        <f>I87+I95+I103</f>
        <v>25731</v>
      </c>
      <c r="J111">
        <f>J87+J95+J103</f>
        <v>69617</v>
      </c>
    </row>
    <row r="112" spans="1:10" x14ac:dyDescent="0.2">
      <c r="A112" t="s">
        <v>130</v>
      </c>
      <c r="I112">
        <f t="shared" ref="I112:J115" si="14">I88+I96+I104</f>
        <v>5394</v>
      </c>
      <c r="J112">
        <f t="shared" si="14"/>
        <v>4783</v>
      </c>
    </row>
    <row r="113" spans="1:35" x14ac:dyDescent="0.2">
      <c r="A113" t="s">
        <v>131</v>
      </c>
      <c r="I113">
        <f>I89+I97+I105</f>
        <v>3758</v>
      </c>
      <c r="J113">
        <f t="shared" si="14"/>
        <v>18662</v>
      </c>
    </row>
    <row r="114" spans="1:35" x14ac:dyDescent="0.2">
      <c r="A114" t="s">
        <v>132</v>
      </c>
      <c r="I114">
        <f t="shared" si="14"/>
        <v>2083</v>
      </c>
      <c r="J114">
        <f t="shared" si="14"/>
        <v>6023</v>
      </c>
    </row>
    <row r="115" spans="1:35" x14ac:dyDescent="0.2">
      <c r="A115" t="s">
        <v>133</v>
      </c>
      <c r="I115">
        <f t="shared" si="14"/>
        <v>3600</v>
      </c>
      <c r="J115">
        <f t="shared" si="14"/>
        <v>3600</v>
      </c>
    </row>
    <row r="116" spans="1:35" x14ac:dyDescent="0.2">
      <c r="A116" s="2" t="s">
        <v>135</v>
      </c>
      <c r="B116" s="2"/>
      <c r="C116" s="2"/>
      <c r="D116" s="2"/>
      <c r="E116" s="2"/>
      <c r="I116">
        <f>SUM(I111:I115)</f>
        <v>40566</v>
      </c>
      <c r="J116">
        <f>SUM(J111:J115)</f>
        <v>102685</v>
      </c>
    </row>
    <row r="118" spans="1:35" x14ac:dyDescent="0.2">
      <c r="A118" t="s">
        <v>140</v>
      </c>
      <c r="S118">
        <v>20402</v>
      </c>
      <c r="Y118">
        <v>25203</v>
      </c>
      <c r="AF118">
        <v>13858</v>
      </c>
      <c r="AG118">
        <v>11744</v>
      </c>
      <c r="AH118">
        <v>11396</v>
      </c>
      <c r="AI118">
        <v>16482</v>
      </c>
    </row>
    <row r="120" spans="1:35" x14ac:dyDescent="0.2">
      <c r="A120" t="s">
        <v>172</v>
      </c>
    </row>
    <row r="121" spans="1:35" x14ac:dyDescent="0.2">
      <c r="A121" t="s">
        <v>173</v>
      </c>
      <c r="I121" s="9">
        <v>0.21</v>
      </c>
    </row>
    <row r="122" spans="1:35" x14ac:dyDescent="0.2">
      <c r="A122" t="s">
        <v>174</v>
      </c>
      <c r="I122">
        <v>-232</v>
      </c>
    </row>
    <row r="124" spans="1:35" x14ac:dyDescent="0.2">
      <c r="A124" t="s">
        <v>168</v>
      </c>
    </row>
    <row r="125" spans="1:35" x14ac:dyDescent="0.2">
      <c r="A125" t="s">
        <v>175</v>
      </c>
      <c r="E125">
        <v>6365</v>
      </c>
      <c r="I125">
        <v>6402</v>
      </c>
    </row>
    <row r="126" spans="1:35" x14ac:dyDescent="0.2">
      <c r="A126" t="s">
        <v>58</v>
      </c>
      <c r="E126">
        <v>6473</v>
      </c>
      <c r="I126">
        <v>8979</v>
      </c>
    </row>
    <row r="127" spans="1:35" x14ac:dyDescent="0.2">
      <c r="A127" t="s">
        <v>176</v>
      </c>
      <c r="E127">
        <v>2402</v>
      </c>
    </row>
    <row r="128" spans="1:35" x14ac:dyDescent="0.2">
      <c r="A128" t="s">
        <v>177</v>
      </c>
      <c r="E128">
        <v>190904</v>
      </c>
      <c r="I128">
        <v>188329</v>
      </c>
    </row>
    <row r="129" spans="1:9" x14ac:dyDescent="0.2">
      <c r="A129" t="s">
        <v>178</v>
      </c>
      <c r="I129">
        <v>1849</v>
      </c>
    </row>
    <row r="130" spans="1:9" x14ac:dyDescent="0.2">
      <c r="A130" t="s">
        <v>145</v>
      </c>
      <c r="I130">
        <v>32254</v>
      </c>
    </row>
    <row r="131" spans="1:9" x14ac:dyDescent="0.2">
      <c r="A131" t="s">
        <v>179</v>
      </c>
      <c r="E131">
        <v>5734</v>
      </c>
      <c r="I131">
        <v>7221</v>
      </c>
    </row>
    <row r="132" spans="1:9" x14ac:dyDescent="0.2">
      <c r="A132" t="s">
        <v>180</v>
      </c>
      <c r="E132">
        <f>E125+E126+E127+E128+E129+E130+E131</f>
        <v>211878</v>
      </c>
      <c r="I132">
        <f>I125+I126+I127+I128+I129+I130+I131</f>
        <v>245034</v>
      </c>
    </row>
    <row r="133" spans="1:9" x14ac:dyDescent="0.2">
      <c r="A133" t="s">
        <v>181</v>
      </c>
      <c r="E133">
        <v>-151825</v>
      </c>
      <c r="I133">
        <v>-238317</v>
      </c>
    </row>
    <row r="134" spans="1:9" x14ac:dyDescent="0.2">
      <c r="A134" t="s">
        <v>182</v>
      </c>
      <c r="E134">
        <f>E132+E133</f>
        <v>60053</v>
      </c>
      <c r="I134">
        <f>I132+I133</f>
        <v>6717</v>
      </c>
    </row>
    <row r="136" spans="1:9" x14ac:dyDescent="0.2">
      <c r="A136" t="s">
        <v>183</v>
      </c>
    </row>
    <row r="137" spans="1:9" x14ac:dyDescent="0.2">
      <c r="A137" t="s">
        <v>178</v>
      </c>
      <c r="E137">
        <v>-4066</v>
      </c>
    </row>
    <row r="138" spans="1:9" x14ac:dyDescent="0.2">
      <c r="A138" t="s">
        <v>145</v>
      </c>
      <c r="E138">
        <v>-51607</v>
      </c>
    </row>
    <row r="139" spans="1:9" x14ac:dyDescent="0.2">
      <c r="A139" t="s">
        <v>184</v>
      </c>
      <c r="E139">
        <v>-5890</v>
      </c>
      <c r="I139">
        <v>-7878</v>
      </c>
    </row>
    <row r="140" spans="1:9" x14ac:dyDescent="0.2">
      <c r="A140" t="s">
        <v>185</v>
      </c>
      <c r="E140">
        <f>E139+E138+E137</f>
        <v>-61563</v>
      </c>
      <c r="I140">
        <f>I139+I138+I137</f>
        <v>-7878</v>
      </c>
    </row>
    <row r="142" spans="1:9" x14ac:dyDescent="0.2">
      <c r="A142" t="s">
        <v>186</v>
      </c>
      <c r="E142">
        <f>E140+E134</f>
        <v>-1510</v>
      </c>
      <c r="I142">
        <f>I140+I134</f>
        <v>-1161</v>
      </c>
    </row>
    <row r="146" spans="1:23" x14ac:dyDescent="0.2">
      <c r="A146" t="s">
        <v>238</v>
      </c>
      <c r="F146">
        <f>E147</f>
        <v>1145420</v>
      </c>
      <c r="G146">
        <f t="shared" ref="G146:L146" si="15">F147</f>
        <v>1872112</v>
      </c>
      <c r="H146">
        <f t="shared" si="15"/>
        <v>2061722</v>
      </c>
      <c r="I146">
        <f t="shared" si="15"/>
        <v>1752182</v>
      </c>
      <c r="J146">
        <f t="shared" si="15"/>
        <v>1545859</v>
      </c>
      <c r="K146">
        <f t="shared" si="15"/>
        <v>1183162</v>
      </c>
      <c r="L146">
        <f t="shared" si="15"/>
        <v>1383377</v>
      </c>
    </row>
    <row r="147" spans="1:23" x14ac:dyDescent="0.2">
      <c r="A147" t="s">
        <v>239</v>
      </c>
      <c r="E147">
        <f>Model!U96+Model!U97</f>
        <v>1145420</v>
      </c>
      <c r="F147">
        <f>Model!V96+Model!V97</f>
        <v>1872112</v>
      </c>
      <c r="G147">
        <f>Model!W96+Model!W97</f>
        <v>2061722</v>
      </c>
      <c r="H147">
        <f>Model!X96+Model!X97</f>
        <v>1752182</v>
      </c>
      <c r="I147">
        <f>Model!Y96+Model!Y97</f>
        <v>1545859</v>
      </c>
      <c r="J147">
        <f>Model!Z96+Model!Z97</f>
        <v>1183162</v>
      </c>
      <c r="K147">
        <f>Model!AA96+Model!AA97</f>
        <v>1383377</v>
      </c>
      <c r="L147">
        <f>Model!AB96+Model!AB97</f>
        <v>940757</v>
      </c>
    </row>
    <row r="148" spans="1:23" x14ac:dyDescent="0.2">
      <c r="A148" t="s">
        <v>240</v>
      </c>
      <c r="E148">
        <f>E147-90000</f>
        <v>1055420</v>
      </c>
      <c r="F148">
        <f t="shared" ref="F148:L148" si="16">F147-90000</f>
        <v>1782112</v>
      </c>
      <c r="G148">
        <f t="shared" si="16"/>
        <v>1971722</v>
      </c>
      <c r="H148">
        <f t="shared" si="16"/>
        <v>1662182</v>
      </c>
      <c r="I148">
        <f t="shared" si="16"/>
        <v>1455859</v>
      </c>
      <c r="J148">
        <f t="shared" si="16"/>
        <v>1093162</v>
      </c>
      <c r="K148">
        <f t="shared" si="16"/>
        <v>1293377</v>
      </c>
      <c r="L148">
        <f t="shared" si="16"/>
        <v>850757</v>
      </c>
    </row>
    <row r="150" spans="1:23" x14ac:dyDescent="0.2">
      <c r="A150" t="s">
        <v>241</v>
      </c>
    </row>
    <row r="152" spans="1:23" x14ac:dyDescent="0.2">
      <c r="A152" t="s">
        <v>242</v>
      </c>
    </row>
    <row r="153" spans="1:23" x14ac:dyDescent="0.2">
      <c r="A153" t="s">
        <v>123</v>
      </c>
      <c r="F153">
        <f>Model!U124</f>
        <v>1506922</v>
      </c>
      <c r="G153">
        <f>Model!V124</f>
        <v>1673946</v>
      </c>
      <c r="H153">
        <f>Model!W124</f>
        <v>1675340</v>
      </c>
      <c r="I153">
        <f>Model!X124</f>
        <v>1676749</v>
      </c>
      <c r="J153">
        <f>Model!Y124</f>
        <v>1678155</v>
      </c>
      <c r="K153">
        <f>Model!Z124</f>
        <v>1679534</v>
      </c>
      <c r="L153">
        <f>Model!AA124</f>
        <v>1680931</v>
      </c>
      <c r="M153">
        <f t="shared" ref="M153:W153" si="17">L155</f>
        <v>1187513</v>
      </c>
      <c r="N153">
        <f t="shared" si="17"/>
        <v>1187513</v>
      </c>
      <c r="O153">
        <f t="shared" si="17"/>
        <v>1187513</v>
      </c>
      <c r="P153">
        <f t="shared" si="17"/>
        <v>1187513</v>
      </c>
      <c r="Q153">
        <f t="shared" si="17"/>
        <v>1187513</v>
      </c>
      <c r="R153">
        <f t="shared" si="17"/>
        <v>1187513</v>
      </c>
      <c r="S153">
        <f t="shared" si="17"/>
        <v>1187513</v>
      </c>
      <c r="T153">
        <f t="shared" si="17"/>
        <v>1187513</v>
      </c>
      <c r="U153">
        <f t="shared" si="17"/>
        <v>1187513</v>
      </c>
      <c r="V153">
        <f t="shared" si="17"/>
        <v>1187513</v>
      </c>
      <c r="W153">
        <f t="shared" si="17"/>
        <v>1187513</v>
      </c>
    </row>
    <row r="154" spans="1:23" x14ac:dyDescent="0.2">
      <c r="A154" t="s">
        <v>244</v>
      </c>
      <c r="F154">
        <f>F155-F153</f>
        <v>167024</v>
      </c>
      <c r="G154">
        <f t="shared" ref="G154:L154" si="18">G155-G153</f>
        <v>1394</v>
      </c>
      <c r="H154">
        <f t="shared" si="18"/>
        <v>1409</v>
      </c>
      <c r="I154">
        <f t="shared" si="18"/>
        <v>1406</v>
      </c>
      <c r="J154">
        <f t="shared" si="18"/>
        <v>1379</v>
      </c>
      <c r="K154">
        <f t="shared" si="18"/>
        <v>1397</v>
      </c>
      <c r="L154">
        <f t="shared" si="18"/>
        <v>-493418</v>
      </c>
    </row>
    <row r="155" spans="1:23" x14ac:dyDescent="0.2">
      <c r="A155" t="s">
        <v>126</v>
      </c>
      <c r="F155">
        <f>Model!V124</f>
        <v>1673946</v>
      </c>
      <c r="G155">
        <f>Model!W124</f>
        <v>1675340</v>
      </c>
      <c r="H155">
        <f>Model!X124</f>
        <v>1676749</v>
      </c>
      <c r="I155">
        <f>Model!Y124</f>
        <v>1678155</v>
      </c>
      <c r="J155">
        <f>Model!Z124</f>
        <v>1679534</v>
      </c>
      <c r="K155">
        <f>Model!AA124</f>
        <v>1680931</v>
      </c>
      <c r="L155">
        <f>Model!AB124</f>
        <v>1187513</v>
      </c>
      <c r="M155">
        <f>M153+M154</f>
        <v>1187513</v>
      </c>
      <c r="N155">
        <f t="shared" ref="N155:W155" si="19">N153+N154</f>
        <v>1187513</v>
      </c>
      <c r="O155">
        <f t="shared" si="19"/>
        <v>1187513</v>
      </c>
      <c r="P155">
        <f t="shared" si="19"/>
        <v>1187513</v>
      </c>
      <c r="Q155">
        <f t="shared" si="19"/>
        <v>1187513</v>
      </c>
      <c r="R155">
        <f t="shared" si="19"/>
        <v>1187513</v>
      </c>
      <c r="S155">
        <f t="shared" si="19"/>
        <v>1187513</v>
      </c>
      <c r="T155">
        <f t="shared" si="19"/>
        <v>1187513</v>
      </c>
      <c r="U155">
        <f t="shared" si="19"/>
        <v>1187513</v>
      </c>
      <c r="V155">
        <f t="shared" si="19"/>
        <v>1187513</v>
      </c>
      <c r="W155">
        <f t="shared" si="19"/>
        <v>1187513</v>
      </c>
    </row>
    <row r="156" spans="1:23" x14ac:dyDescent="0.2">
      <c r="A156" t="s">
        <v>282</v>
      </c>
      <c r="F156">
        <f>(F153+F155)/2</f>
        <v>1590434</v>
      </c>
      <c r="G156">
        <f t="shared" ref="G156:L156" si="20">(G153+G155)/2</f>
        <v>1674643</v>
      </c>
      <c r="H156">
        <f t="shared" si="20"/>
        <v>1676044.5</v>
      </c>
      <c r="I156">
        <f t="shared" si="20"/>
        <v>1677452</v>
      </c>
      <c r="J156">
        <f t="shared" si="20"/>
        <v>1678844.5</v>
      </c>
      <c r="K156">
        <f t="shared" si="20"/>
        <v>1680232.5</v>
      </c>
      <c r="L156">
        <f t="shared" si="20"/>
        <v>1434222</v>
      </c>
      <c r="M156">
        <f t="shared" ref="M156" si="21">(M153+M155)/2</f>
        <v>1187513</v>
      </c>
      <c r="N156">
        <f t="shared" ref="N156" si="22">(N153+N155)/2</f>
        <v>1187513</v>
      </c>
      <c r="O156">
        <f t="shared" ref="O156" si="23">(O153+O155)/2</f>
        <v>1187513</v>
      </c>
      <c r="P156">
        <f t="shared" ref="P156" si="24">(P153+P155)/2</f>
        <v>1187513</v>
      </c>
      <c r="Q156">
        <f t="shared" ref="Q156" si="25">(Q153+Q155)/2</f>
        <v>1187513</v>
      </c>
      <c r="R156">
        <f t="shared" ref="R156" si="26">(R153+R155)/2</f>
        <v>1187513</v>
      </c>
      <c r="S156">
        <f t="shared" ref="S156" si="27">(S153+S155)/2</f>
        <v>1187513</v>
      </c>
      <c r="T156">
        <f t="shared" ref="T156" si="28">(T153+T155)/2</f>
        <v>1187513</v>
      </c>
      <c r="U156">
        <f t="shared" ref="U156" si="29">(U153+U155)/2</f>
        <v>1187513</v>
      </c>
      <c r="V156">
        <f t="shared" ref="V156" si="30">(V153+V155)/2</f>
        <v>1187513</v>
      </c>
      <c r="W156">
        <f t="shared" ref="W156" si="31">(W153+W155)/2</f>
        <v>1187513</v>
      </c>
    </row>
    <row r="157" spans="1:23" x14ac:dyDescent="0.2">
      <c r="A157" t="s">
        <v>283</v>
      </c>
    </row>
    <row r="158" spans="1:23" x14ac:dyDescent="0.2">
      <c r="A158" t="s">
        <v>284</v>
      </c>
    </row>
    <row r="159" spans="1:23" x14ac:dyDescent="0.2">
      <c r="A159" t="s">
        <v>285</v>
      </c>
    </row>
    <row r="160" spans="1:23" x14ac:dyDescent="0.2">
      <c r="A160" t="s">
        <v>286</v>
      </c>
    </row>
    <row r="161" spans="1:25" x14ac:dyDescent="0.2">
      <c r="A161" t="s">
        <v>247</v>
      </c>
    </row>
    <row r="163" spans="1:25" x14ac:dyDescent="0.2">
      <c r="A163" t="s">
        <v>248</v>
      </c>
      <c r="F163">
        <f>Model!V67</f>
        <v>-1929</v>
      </c>
      <c r="G163">
        <f>Model!W67</f>
        <v>-1701</v>
      </c>
      <c r="H163">
        <f>Model!X67</f>
        <v>-1633</v>
      </c>
      <c r="I163">
        <f>Model!Y67</f>
        <v>-1633</v>
      </c>
      <c r="J163">
        <f>Model!Z67</f>
        <v>-1597</v>
      </c>
      <c r="K163">
        <f>Model!AA67</f>
        <v>-1616</v>
      </c>
      <c r="L163">
        <f>Model!AB67</f>
        <v>-1525</v>
      </c>
      <c r="M163" s="6">
        <f>M164*M156</f>
        <v>-1262.6757398784846</v>
      </c>
      <c r="N163" s="6">
        <f t="shared" ref="N163:W163" si="32">N164*N156</f>
        <v>-1262.6757398784846</v>
      </c>
      <c r="O163" s="6">
        <f t="shared" si="32"/>
        <v>-1262.6757398784846</v>
      </c>
      <c r="P163" s="6">
        <f t="shared" si="32"/>
        <v>-1262.6757398784846</v>
      </c>
      <c r="Q163" s="6">
        <f t="shared" si="32"/>
        <v>-1262.6757398784846</v>
      </c>
      <c r="R163" s="6">
        <f t="shared" si="32"/>
        <v>-1262.6757398784846</v>
      </c>
      <c r="S163" s="6">
        <f t="shared" si="32"/>
        <v>-1262.6757398784846</v>
      </c>
      <c r="T163" s="6">
        <f t="shared" si="32"/>
        <v>-1262.6757398784846</v>
      </c>
      <c r="U163" s="6">
        <f t="shared" si="32"/>
        <v>-1262.6757398784846</v>
      </c>
      <c r="V163" s="6">
        <f t="shared" si="32"/>
        <v>-1262.6757398784846</v>
      </c>
      <c r="W163" s="6">
        <f t="shared" si="32"/>
        <v>-1262.6757398784846</v>
      </c>
    </row>
    <row r="164" spans="1:25" x14ac:dyDescent="0.2">
      <c r="F164" s="32">
        <f>F163/F156</f>
        <v>-1.212876485286406E-3</v>
      </c>
      <c r="G164" s="32">
        <f t="shared" ref="G164:L164" si="33">G163/G156</f>
        <v>-1.0157388768830132E-3</v>
      </c>
      <c r="H164" s="32">
        <f t="shared" si="33"/>
        <v>-9.7431780600097434E-4</v>
      </c>
      <c r="I164" s="32">
        <f t="shared" si="33"/>
        <v>-9.735002849559928E-4</v>
      </c>
      <c r="J164" s="32">
        <f t="shared" si="33"/>
        <v>-9.5124950524006239E-4</v>
      </c>
      <c r="K164" s="32">
        <f t="shared" si="33"/>
        <v>-9.6177165957687407E-4</v>
      </c>
      <c r="L164" s="32">
        <f t="shared" si="33"/>
        <v>-1.0632942459396105E-3</v>
      </c>
      <c r="M164" s="33">
        <f>L164</f>
        <v>-1.0632942459396105E-3</v>
      </c>
      <c r="N164" s="33">
        <f t="shared" ref="N164:W164" si="34">M164</f>
        <v>-1.0632942459396105E-3</v>
      </c>
      <c r="O164" s="33">
        <f t="shared" si="34"/>
        <v>-1.0632942459396105E-3</v>
      </c>
      <c r="P164" s="33">
        <f t="shared" si="34"/>
        <v>-1.0632942459396105E-3</v>
      </c>
      <c r="Q164" s="33">
        <f t="shared" si="34"/>
        <v>-1.0632942459396105E-3</v>
      </c>
      <c r="R164" s="33">
        <f t="shared" si="34"/>
        <v>-1.0632942459396105E-3</v>
      </c>
      <c r="S164" s="33">
        <f t="shared" si="34"/>
        <v>-1.0632942459396105E-3</v>
      </c>
      <c r="T164" s="33">
        <f t="shared" si="34"/>
        <v>-1.0632942459396105E-3</v>
      </c>
      <c r="U164" s="33">
        <f t="shared" si="34"/>
        <v>-1.0632942459396105E-3</v>
      </c>
      <c r="V164" s="33">
        <f t="shared" si="34"/>
        <v>-1.0632942459396105E-3</v>
      </c>
      <c r="W164" s="33">
        <f t="shared" si="34"/>
        <v>-1.0632942459396105E-3</v>
      </c>
    </row>
    <row r="167" spans="1:25" x14ac:dyDescent="0.2">
      <c r="A167" t="s">
        <v>249</v>
      </c>
      <c r="E167">
        <f>Model!U96+Model!U97</f>
        <v>1145420</v>
      </c>
      <c r="F167">
        <f>Model!V96+Model!V97</f>
        <v>1872112</v>
      </c>
      <c r="G167">
        <f>Model!W96+Model!W97</f>
        <v>2061722</v>
      </c>
      <c r="H167">
        <f>Model!X96+Model!X97</f>
        <v>1752182</v>
      </c>
      <c r="I167">
        <f>Model!Y96+Model!Y97</f>
        <v>1545859</v>
      </c>
      <c r="J167">
        <f>Model!Z96+Model!Z97</f>
        <v>1183162</v>
      </c>
      <c r="K167">
        <f>Model!AA96+Model!AA97</f>
        <v>1383377</v>
      </c>
      <c r="L167">
        <f>Model!AB96+Model!AB97</f>
        <v>940757</v>
      </c>
    </row>
    <row r="169" spans="1:25" x14ac:dyDescent="0.2">
      <c r="A169" t="s">
        <v>243</v>
      </c>
      <c r="F169">
        <f>E167</f>
        <v>1145420</v>
      </c>
      <c r="G169">
        <f t="shared" ref="G169:L169" si="35">F167</f>
        <v>1872112</v>
      </c>
      <c r="H169">
        <f t="shared" si="35"/>
        <v>2061722</v>
      </c>
      <c r="I169">
        <f t="shared" si="35"/>
        <v>1752182</v>
      </c>
      <c r="J169">
        <f t="shared" si="35"/>
        <v>1545859</v>
      </c>
      <c r="K169">
        <f t="shared" si="35"/>
        <v>1183162</v>
      </c>
      <c r="L169">
        <f t="shared" si="35"/>
        <v>1383377</v>
      </c>
      <c r="M169">
        <f>L167</f>
        <v>940757</v>
      </c>
    </row>
    <row r="170" spans="1:25" x14ac:dyDescent="0.2">
      <c r="A170" t="s">
        <v>250</v>
      </c>
      <c r="F170">
        <f t="shared" ref="F170:L170" si="36">F167-F169</f>
        <v>726692</v>
      </c>
      <c r="G170">
        <f t="shared" si="36"/>
        <v>189610</v>
      </c>
      <c r="H170">
        <f t="shared" si="36"/>
        <v>-309540</v>
      </c>
      <c r="I170">
        <f t="shared" si="36"/>
        <v>-206323</v>
      </c>
      <c r="J170">
        <f t="shared" si="36"/>
        <v>-362697</v>
      </c>
      <c r="K170">
        <f t="shared" si="36"/>
        <v>200215</v>
      </c>
      <c r="L170">
        <f t="shared" si="36"/>
        <v>-442620</v>
      </c>
      <c r="M170">
        <f>M167-M169</f>
        <v>-940757</v>
      </c>
    </row>
    <row r="171" spans="1:25" x14ac:dyDescent="0.2">
      <c r="A171" t="s">
        <v>245</v>
      </c>
      <c r="F171">
        <f t="shared" ref="F171:L171" si="37">F167</f>
        <v>1872112</v>
      </c>
      <c r="G171">
        <f t="shared" si="37"/>
        <v>2061722</v>
      </c>
      <c r="H171">
        <f t="shared" si="37"/>
        <v>1752182</v>
      </c>
      <c r="I171">
        <f t="shared" si="37"/>
        <v>1545859</v>
      </c>
      <c r="J171">
        <f t="shared" si="37"/>
        <v>1183162</v>
      </c>
      <c r="K171">
        <f t="shared" si="37"/>
        <v>1383377</v>
      </c>
      <c r="L171">
        <f t="shared" si="37"/>
        <v>940757</v>
      </c>
      <c r="M171">
        <f>M167</f>
        <v>0</v>
      </c>
    </row>
    <row r="172" spans="1:25" x14ac:dyDescent="0.2">
      <c r="A172" t="s">
        <v>246</v>
      </c>
      <c r="F172">
        <f t="shared" ref="F172:L172" si="38">(F171+F169)/2</f>
        <v>1508766</v>
      </c>
      <c r="G172">
        <f t="shared" si="38"/>
        <v>1966917</v>
      </c>
      <c r="H172">
        <f t="shared" si="38"/>
        <v>1906952</v>
      </c>
      <c r="I172">
        <f t="shared" si="38"/>
        <v>1649020.5</v>
      </c>
      <c r="J172">
        <f t="shared" si="38"/>
        <v>1364510.5</v>
      </c>
      <c r="K172">
        <f t="shared" si="38"/>
        <v>1283269.5</v>
      </c>
      <c r="L172">
        <f t="shared" si="38"/>
        <v>1162067</v>
      </c>
      <c r="M172">
        <f t="shared" ref="M172" si="39">(M171+M169)/2</f>
        <v>470378.5</v>
      </c>
    </row>
    <row r="173" spans="1:25" x14ac:dyDescent="0.2">
      <c r="A173" t="s">
        <v>251</v>
      </c>
      <c r="F173" s="28">
        <f t="shared" ref="F173:L173" si="40">F174/F172</f>
        <v>1.3580634770401772E-3</v>
      </c>
      <c r="G173" s="28">
        <f t="shared" si="40"/>
        <v>9.4106665405810212E-4</v>
      </c>
      <c r="H173" s="28">
        <f t="shared" si="40"/>
        <v>7.7872961668673361E-4</v>
      </c>
      <c r="I173" s="28">
        <f t="shared" si="40"/>
        <v>7.9744308818477394E-4</v>
      </c>
      <c r="J173" s="28">
        <f t="shared" si="40"/>
        <v>1.0824394535622849E-3</v>
      </c>
      <c r="K173" s="28">
        <f t="shared" si="40"/>
        <v>1.5834553848587533E-3</v>
      </c>
      <c r="L173" s="28">
        <f t="shared" si="40"/>
        <v>3.2158214629621185E-3</v>
      </c>
      <c r="M173" s="28">
        <f>0.2%</f>
        <v>2E-3</v>
      </c>
      <c r="N173" s="28">
        <f t="shared" ref="N173:Y173" si="41">0.2%</f>
        <v>2E-3</v>
      </c>
      <c r="O173" s="28">
        <f t="shared" si="41"/>
        <v>2E-3</v>
      </c>
      <c r="P173" s="28">
        <f t="shared" si="41"/>
        <v>2E-3</v>
      </c>
      <c r="Q173" s="28">
        <f t="shared" si="41"/>
        <v>2E-3</v>
      </c>
      <c r="R173" s="28">
        <f t="shared" si="41"/>
        <v>2E-3</v>
      </c>
      <c r="S173" s="28">
        <f t="shared" si="41"/>
        <v>2E-3</v>
      </c>
      <c r="T173" s="28">
        <f t="shared" si="41"/>
        <v>2E-3</v>
      </c>
      <c r="U173" s="28">
        <f t="shared" si="41"/>
        <v>2E-3</v>
      </c>
      <c r="V173" s="28">
        <f t="shared" si="41"/>
        <v>2E-3</v>
      </c>
      <c r="W173" s="28">
        <f t="shared" si="41"/>
        <v>2E-3</v>
      </c>
      <c r="X173" s="28">
        <f t="shared" si="41"/>
        <v>2E-3</v>
      </c>
      <c r="Y173" s="28">
        <f t="shared" si="41"/>
        <v>2E-3</v>
      </c>
    </row>
    <row r="174" spans="1:25" x14ac:dyDescent="0.2">
      <c r="A174" t="s">
        <v>252</v>
      </c>
      <c r="F174">
        <f>Model!V72</f>
        <v>2049</v>
      </c>
      <c r="G174">
        <f>Model!W72</f>
        <v>1851</v>
      </c>
      <c r="H174">
        <f>Model!X72</f>
        <v>1485</v>
      </c>
      <c r="I174">
        <f>Model!Y72</f>
        <v>1315</v>
      </c>
      <c r="J174">
        <f>Model!Z72</f>
        <v>1477</v>
      </c>
      <c r="K174">
        <f>Model!AA72</f>
        <v>2032</v>
      </c>
      <c r="L174">
        <f>Model!AB72</f>
        <v>3737</v>
      </c>
      <c r="M174" s="6">
        <f>M173*L171</f>
        <v>1881.5140000000001</v>
      </c>
      <c r="N174" s="6">
        <f t="shared" ref="N174:R174" si="42">N173*M171</f>
        <v>0</v>
      </c>
      <c r="O174" s="6">
        <f t="shared" si="42"/>
        <v>0</v>
      </c>
      <c r="P174" s="6">
        <f t="shared" si="42"/>
        <v>0</v>
      </c>
      <c r="Q174" s="6">
        <f t="shared" si="42"/>
        <v>0</v>
      </c>
      <c r="R174" s="6">
        <f t="shared" si="42"/>
        <v>0</v>
      </c>
      <c r="S174" s="6">
        <f t="shared" ref="S174" si="43">S173*R171</f>
        <v>0</v>
      </c>
      <c r="T174" s="6">
        <f t="shared" ref="T174" si="44">T173*S171</f>
        <v>0</v>
      </c>
      <c r="U174" s="6">
        <f t="shared" ref="U174" si="45">U173*T171</f>
        <v>0</v>
      </c>
      <c r="V174" s="6">
        <f t="shared" ref="V174" si="46">V173*U171</f>
        <v>0</v>
      </c>
      <c r="W174" s="6">
        <f t="shared" ref="W174" si="47">W173*V171</f>
        <v>0</v>
      </c>
      <c r="X174" s="6">
        <f t="shared" ref="X174" si="48">X173*W171</f>
        <v>0</v>
      </c>
      <c r="Y174" s="6">
        <f t="shared" ref="Y174" si="49">Y173*X171</f>
        <v>0</v>
      </c>
    </row>
    <row r="176" spans="1:25" x14ac:dyDescent="0.2">
      <c r="A176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2022-11-30T17:13:42Z</dcterms:created>
  <dcterms:modified xsi:type="dcterms:W3CDTF">2023-02-15T15:27:50Z</dcterms:modified>
</cp:coreProperties>
</file>