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esktop/WhiteSky/Models/"/>
    </mc:Choice>
  </mc:AlternateContent>
  <xr:revisionPtr revIDLastSave="0" documentId="8_{B295924A-D8B2-AC43-8297-CD1ED0683A79}" xr6:coauthVersionLast="47" xr6:coauthVersionMax="47" xr10:uidLastSave="{00000000-0000-0000-0000-000000000000}"/>
  <bookViews>
    <workbookView xWindow="1780" yWindow="2660" windowWidth="28460" windowHeight="16720" activeTab="1" xr2:uid="{A1C1684E-FBEC-4D33-A009-053BECC740F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9" i="2" l="1"/>
  <c r="AG38" i="2"/>
  <c r="AG37" i="2"/>
  <c r="X26" i="2"/>
  <c r="AD35" i="2"/>
  <c r="AC35" i="2"/>
  <c r="AB35" i="2"/>
  <c r="AA35" i="2"/>
  <c r="Z35" i="2"/>
  <c r="Y35" i="2"/>
  <c r="X35" i="2"/>
  <c r="AD34" i="2"/>
  <c r="AC34" i="2"/>
  <c r="AB34" i="2"/>
  <c r="AA34" i="2"/>
  <c r="Z34" i="2"/>
  <c r="Y34" i="2"/>
  <c r="X34" i="2"/>
  <c r="AD33" i="2"/>
  <c r="AC33" i="2"/>
  <c r="AB33" i="2"/>
  <c r="AA33" i="2"/>
  <c r="Z33" i="2"/>
  <c r="Y33" i="2"/>
  <c r="X33" i="2"/>
  <c r="W37" i="2"/>
  <c r="N37" i="2"/>
  <c r="M37" i="2"/>
  <c r="L37" i="2"/>
  <c r="N19" i="2"/>
  <c r="M19" i="2"/>
  <c r="L19" i="2"/>
  <c r="N23" i="2"/>
  <c r="M23" i="2"/>
  <c r="L23" i="2"/>
  <c r="N22" i="2"/>
  <c r="M22" i="2"/>
  <c r="L22" i="2"/>
  <c r="L24" i="2" s="1"/>
  <c r="L25" i="2" s="1"/>
  <c r="L27" i="2" s="1"/>
  <c r="N21" i="2"/>
  <c r="N24" i="2" s="1"/>
  <c r="N25" i="2" s="1"/>
  <c r="N27" i="2" s="1"/>
  <c r="M21" i="2"/>
  <c r="M24" i="2" s="1"/>
  <c r="M25" i="2" s="1"/>
  <c r="M27" i="2" s="1"/>
  <c r="L21" i="2"/>
  <c r="N31" i="2"/>
  <c r="M31" i="2"/>
  <c r="L31" i="2"/>
  <c r="N20" i="2"/>
  <c r="M20" i="2"/>
  <c r="G35" i="2"/>
  <c r="G34" i="2"/>
  <c r="H35" i="2"/>
  <c r="H34" i="2"/>
  <c r="I35" i="2"/>
  <c r="I34" i="2"/>
  <c r="J35" i="2"/>
  <c r="J34" i="2"/>
  <c r="K34" i="2"/>
  <c r="L20" i="2"/>
  <c r="N18" i="2"/>
  <c r="M18" i="2"/>
  <c r="K37" i="2"/>
  <c r="J37" i="2"/>
  <c r="I37" i="2"/>
  <c r="H37" i="2"/>
  <c r="G37" i="2"/>
  <c r="X20" i="2"/>
  <c r="X18" i="2"/>
  <c r="Y18" i="2" s="1"/>
  <c r="W31" i="2"/>
  <c r="X31" i="2" s="1"/>
  <c r="Y31" i="2" s="1"/>
  <c r="W26" i="2"/>
  <c r="W23" i="2"/>
  <c r="W22" i="2"/>
  <c r="X22" i="2" s="1"/>
  <c r="Y22" i="2" s="1"/>
  <c r="Z22" i="2" s="1"/>
  <c r="AA22" i="2" s="1"/>
  <c r="AB22" i="2" s="1"/>
  <c r="AC22" i="2" s="1"/>
  <c r="AD22" i="2" s="1"/>
  <c r="W21" i="2"/>
  <c r="X21" i="2" s="1"/>
  <c r="W20" i="2"/>
  <c r="W34" i="2" s="1"/>
  <c r="P80" i="2"/>
  <c r="Q80" i="2"/>
  <c r="Q33" i="2"/>
  <c r="P24" i="2"/>
  <c r="P20" i="2"/>
  <c r="P34" i="2" s="1"/>
  <c r="S80" i="2"/>
  <c r="R80" i="2"/>
  <c r="R81" i="2" s="1"/>
  <c r="U80" i="2"/>
  <c r="T80" i="2"/>
  <c r="T81" i="2" s="1"/>
  <c r="I77" i="2"/>
  <c r="J77" i="2" s="1"/>
  <c r="I75" i="2"/>
  <c r="J75" i="2" s="1"/>
  <c r="I74" i="2"/>
  <c r="J74" i="2" s="1"/>
  <c r="E24" i="2"/>
  <c r="E20" i="2"/>
  <c r="I24" i="2"/>
  <c r="I20" i="2"/>
  <c r="I51" i="2"/>
  <c r="I54" i="2" s="1"/>
  <c r="I42" i="2"/>
  <c r="I38" i="2"/>
  <c r="G18" i="2"/>
  <c r="G33" i="2" s="1"/>
  <c r="D16" i="2"/>
  <c r="D18" i="2" s="1"/>
  <c r="D20" i="2" s="1"/>
  <c r="H16" i="2"/>
  <c r="H18" i="2" s="1"/>
  <c r="H20" i="2" s="1"/>
  <c r="H77" i="2"/>
  <c r="H75" i="2"/>
  <c r="H74" i="2"/>
  <c r="H73" i="2"/>
  <c r="H76" i="2" s="1"/>
  <c r="H70" i="2"/>
  <c r="I70" i="2" s="1"/>
  <c r="J70" i="2" s="1"/>
  <c r="H68" i="2"/>
  <c r="I68" i="2" s="1"/>
  <c r="H65" i="2"/>
  <c r="I65" i="2" s="1"/>
  <c r="J65" i="2" s="1"/>
  <c r="H64" i="2"/>
  <c r="I64" i="2" s="1"/>
  <c r="J64" i="2" s="1"/>
  <c r="H63" i="2"/>
  <c r="I63" i="2" s="1"/>
  <c r="J63" i="2" s="1"/>
  <c r="H62" i="2"/>
  <c r="I62" i="2" s="1"/>
  <c r="J62" i="2" s="1"/>
  <c r="H61" i="2"/>
  <c r="I61" i="2" s="1"/>
  <c r="J61" i="2" s="1"/>
  <c r="H60" i="2"/>
  <c r="I60" i="2" s="1"/>
  <c r="J60" i="2" s="1"/>
  <c r="H59" i="2"/>
  <c r="I59" i="2" s="1"/>
  <c r="J59" i="2" s="1"/>
  <c r="H58" i="2"/>
  <c r="I58" i="2" s="1"/>
  <c r="J58" i="2" s="1"/>
  <c r="H57" i="2"/>
  <c r="I33" i="2"/>
  <c r="D24" i="2"/>
  <c r="H24" i="2"/>
  <c r="J20" i="2"/>
  <c r="J24" i="2"/>
  <c r="H51" i="2"/>
  <c r="H54" i="2" s="1"/>
  <c r="H42" i="2"/>
  <c r="H38" i="2"/>
  <c r="H45" i="2"/>
  <c r="G76" i="2"/>
  <c r="G69" i="2"/>
  <c r="H69" i="2" s="1"/>
  <c r="I69" i="2" s="1"/>
  <c r="J69" i="2" s="1"/>
  <c r="G66" i="2"/>
  <c r="C24" i="2"/>
  <c r="C20" i="2"/>
  <c r="G51" i="2"/>
  <c r="G54" i="2" s="1"/>
  <c r="G42" i="2"/>
  <c r="G38" i="2"/>
  <c r="G45" i="2" s="1"/>
  <c r="J51" i="2"/>
  <c r="J54" i="2" s="1"/>
  <c r="J42" i="2"/>
  <c r="J38" i="2"/>
  <c r="J45" i="2" s="1"/>
  <c r="V16" i="2"/>
  <c r="V18" i="2" s="1"/>
  <c r="U16" i="2"/>
  <c r="U18" i="2" s="1"/>
  <c r="V33" i="2" s="1"/>
  <c r="T16" i="2"/>
  <c r="T18" i="2" s="1"/>
  <c r="G16" i="2"/>
  <c r="K16" i="2"/>
  <c r="K18" i="2" s="1"/>
  <c r="K20" i="2" s="1"/>
  <c r="K73" i="2"/>
  <c r="K76" i="2" s="1"/>
  <c r="K69" i="2"/>
  <c r="K71" i="2" s="1"/>
  <c r="K66" i="2"/>
  <c r="K51" i="2"/>
  <c r="K54" i="2" s="1"/>
  <c r="K42" i="2"/>
  <c r="K38" i="2"/>
  <c r="R33" i="2"/>
  <c r="Q24" i="2"/>
  <c r="Q20" i="2"/>
  <c r="Q34" i="2" s="1"/>
  <c r="S33" i="2"/>
  <c r="R24" i="2"/>
  <c r="R20" i="2"/>
  <c r="R34" i="2" s="1"/>
  <c r="S24" i="2"/>
  <c r="S20" i="2"/>
  <c r="S34" i="2" s="1"/>
  <c r="T24" i="2"/>
  <c r="J33" i="2"/>
  <c r="V24" i="2"/>
  <c r="U24" i="2"/>
  <c r="F24" i="2"/>
  <c r="F20" i="2"/>
  <c r="N5" i="1"/>
  <c r="N4" i="1"/>
  <c r="G24" i="2"/>
  <c r="K24" i="2"/>
  <c r="M28" i="2" l="1"/>
  <c r="M29" i="2" s="1"/>
  <c r="M30" i="2" s="1"/>
  <c r="N28" i="2"/>
  <c r="N29" i="2" s="1"/>
  <c r="N30" i="2" s="1"/>
  <c r="L28" i="2"/>
  <c r="L29" i="2" s="1"/>
  <c r="L30" i="2" s="1"/>
  <c r="Y21" i="2"/>
  <c r="Z18" i="2"/>
  <c r="Y20" i="2"/>
  <c r="W19" i="2"/>
  <c r="Q81" i="2"/>
  <c r="W24" i="2"/>
  <c r="W25" i="2" s="1"/>
  <c r="W27" i="2" s="1"/>
  <c r="H66" i="2"/>
  <c r="X23" i="2"/>
  <c r="Y23" i="2" s="1"/>
  <c r="Z23" i="2" s="1"/>
  <c r="AA23" i="2" s="1"/>
  <c r="AB23" i="2" s="1"/>
  <c r="AC23" i="2" s="1"/>
  <c r="AD23" i="2" s="1"/>
  <c r="I73" i="2"/>
  <c r="J73" i="2" s="1"/>
  <c r="Z31" i="2"/>
  <c r="W28" i="2"/>
  <c r="W29" i="2"/>
  <c r="W30" i="2" s="1"/>
  <c r="W35" i="2"/>
  <c r="J76" i="2"/>
  <c r="I76" i="2"/>
  <c r="U81" i="2"/>
  <c r="S81" i="2"/>
  <c r="J25" i="2"/>
  <c r="J27" i="2" s="1"/>
  <c r="J29" i="2" s="1"/>
  <c r="J30" i="2" s="1"/>
  <c r="I71" i="2"/>
  <c r="J68" i="2"/>
  <c r="J71" i="2" s="1"/>
  <c r="V68" i="2"/>
  <c r="H25" i="2"/>
  <c r="H27" i="2" s="1"/>
  <c r="H29" i="2" s="1"/>
  <c r="G71" i="2"/>
  <c r="G78" i="2" s="1"/>
  <c r="I57" i="2"/>
  <c r="H71" i="2"/>
  <c r="I45" i="2"/>
  <c r="G20" i="2"/>
  <c r="G25" i="2" s="1"/>
  <c r="G27" i="2" s="1"/>
  <c r="G29" i="2" s="1"/>
  <c r="P25" i="2"/>
  <c r="E25" i="2"/>
  <c r="E27" i="2" s="1"/>
  <c r="E29" i="2" s="1"/>
  <c r="E30" i="2" s="1"/>
  <c r="I25" i="2"/>
  <c r="I27" i="2" s="1"/>
  <c r="I29" i="2" s="1"/>
  <c r="I30" i="2" s="1"/>
  <c r="H33" i="2"/>
  <c r="D25" i="2"/>
  <c r="D27" i="2" s="1"/>
  <c r="D29" i="2" s="1"/>
  <c r="D30" i="2" s="1"/>
  <c r="H30" i="2"/>
  <c r="H56" i="2"/>
  <c r="C25" i="2"/>
  <c r="C27" i="2" s="1"/>
  <c r="C29" i="2" s="1"/>
  <c r="C30" i="2" s="1"/>
  <c r="T33" i="2"/>
  <c r="T20" i="2"/>
  <c r="T34" i="2" s="1"/>
  <c r="V20" i="2"/>
  <c r="V34" i="2" s="1"/>
  <c r="W33" i="2"/>
  <c r="U33" i="2"/>
  <c r="U20" i="2"/>
  <c r="U34" i="2" s="1"/>
  <c r="N7" i="1"/>
  <c r="K78" i="2"/>
  <c r="K45" i="2"/>
  <c r="Q25" i="2"/>
  <c r="R25" i="2"/>
  <c r="S25" i="2"/>
  <c r="K33" i="2"/>
  <c r="K25" i="2"/>
  <c r="F25" i="2"/>
  <c r="F27" i="2" s="1"/>
  <c r="F29" i="2" s="1"/>
  <c r="F30" i="2" s="1"/>
  <c r="K27" i="2" l="1"/>
  <c r="K29" i="2" s="1"/>
  <c r="K35" i="2"/>
  <c r="V25" i="2"/>
  <c r="P27" i="2"/>
  <c r="P29" i="2" s="1"/>
  <c r="P30" i="2" s="1"/>
  <c r="P35" i="2"/>
  <c r="U25" i="2"/>
  <c r="T25" i="2"/>
  <c r="H78" i="2"/>
  <c r="S27" i="2"/>
  <c r="S29" i="2" s="1"/>
  <c r="S30" i="2" s="1"/>
  <c r="S35" i="2"/>
  <c r="R27" i="2"/>
  <c r="R29" i="2" s="1"/>
  <c r="R30" i="2" s="1"/>
  <c r="R35" i="2"/>
  <c r="AA18" i="2"/>
  <c r="Z20" i="2"/>
  <c r="Q27" i="2"/>
  <c r="Q29" i="2" s="1"/>
  <c r="Q30" i="2" s="1"/>
  <c r="Q35" i="2"/>
  <c r="J56" i="2"/>
  <c r="Z21" i="2"/>
  <c r="Y24" i="2"/>
  <c r="Y25" i="2" s="1"/>
  <c r="X24" i="2"/>
  <c r="X25" i="2" s="1"/>
  <c r="X27" i="2" s="1"/>
  <c r="X28" i="2" s="1"/>
  <c r="X29" i="2" s="1"/>
  <c r="AA31" i="2"/>
  <c r="J57" i="2"/>
  <c r="J66" i="2" s="1"/>
  <c r="J78" i="2" s="1"/>
  <c r="I66" i="2"/>
  <c r="I56" i="2"/>
  <c r="G30" i="2"/>
  <c r="G56" i="2"/>
  <c r="K30" i="2"/>
  <c r="K56" i="2"/>
  <c r="X30" i="2" l="1"/>
  <c r="X37" i="2"/>
  <c r="AA21" i="2"/>
  <c r="Z24" i="2"/>
  <c r="Z25" i="2" s="1"/>
  <c r="AB18" i="2"/>
  <c r="AA20" i="2"/>
  <c r="T27" i="2"/>
  <c r="T29" i="2" s="1"/>
  <c r="T30" i="2" s="1"/>
  <c r="T35" i="2"/>
  <c r="U27" i="2"/>
  <c r="U29" i="2" s="1"/>
  <c r="U30" i="2" s="1"/>
  <c r="U35" i="2"/>
  <c r="V27" i="2"/>
  <c r="V29" i="2" s="1"/>
  <c r="V30" i="2" s="1"/>
  <c r="V35" i="2"/>
  <c r="AB31" i="2"/>
  <c r="V66" i="2"/>
  <c r="V80" i="2" s="1"/>
  <c r="I78" i="2"/>
  <c r="Y26" i="2" l="1"/>
  <c r="Y27" i="2" s="1"/>
  <c r="Y28" i="2" s="1"/>
  <c r="Y29" i="2" s="1"/>
  <c r="Y30" i="2" s="1"/>
  <c r="AC18" i="2"/>
  <c r="AB20" i="2"/>
  <c r="AB21" i="2"/>
  <c r="AA24" i="2"/>
  <c r="AA25" i="2" s="1"/>
  <c r="AC31" i="2"/>
  <c r="V81" i="2"/>
  <c r="V82" i="2"/>
  <c r="Y37" i="2" l="1"/>
  <c r="AC21" i="2"/>
  <c r="AB24" i="2"/>
  <c r="AB25" i="2" s="1"/>
  <c r="AD18" i="2"/>
  <c r="AD20" i="2" s="1"/>
  <c r="AC20" i="2"/>
  <c r="AD31" i="2"/>
  <c r="Z26" i="2" l="1"/>
  <c r="Z27" i="2" s="1"/>
  <c r="Z28" i="2" s="1"/>
  <c r="Z29" i="2" s="1"/>
  <c r="Z30" i="2" s="1"/>
  <c r="AD21" i="2"/>
  <c r="AD24" i="2" s="1"/>
  <c r="AD25" i="2" s="1"/>
  <c r="AC24" i="2"/>
  <c r="AC25" i="2" s="1"/>
  <c r="Z37" i="2" l="1"/>
  <c r="AA26" i="2" l="1"/>
  <c r="AA27" i="2" s="1"/>
  <c r="AA28" i="2" s="1"/>
  <c r="AA29" i="2" s="1"/>
  <c r="AA30" i="2" l="1"/>
  <c r="AA37" i="2"/>
  <c r="AB26" i="2" l="1"/>
  <c r="AB27" i="2" s="1"/>
  <c r="AB28" i="2" s="1"/>
  <c r="AB29" i="2" s="1"/>
  <c r="AB30" i="2" l="1"/>
  <c r="AB37" i="2"/>
  <c r="AC26" i="2" l="1"/>
  <c r="AC27" i="2" s="1"/>
  <c r="AC28" i="2" s="1"/>
  <c r="AC29" i="2" s="1"/>
  <c r="AC30" i="2" l="1"/>
  <c r="AC37" i="2"/>
  <c r="AD26" i="2" l="1"/>
  <c r="AD27" i="2" s="1"/>
  <c r="AD28" i="2" s="1"/>
  <c r="AD29" i="2" s="1"/>
  <c r="AE29" i="2" l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 s="1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AD30" i="2"/>
  <c r="AD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tc={224997F1-8691-45DC-AC2C-D139424C2DD4}</author>
  </authors>
  <commentList>
    <comment ref="W66" authorId="0" shapeId="0" xr:uid="{224997F1-8691-45DC-AC2C-D139424C2DD4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1600-1650m</t>
      </text>
    </comment>
  </commentList>
</comments>
</file>

<file path=xl/sharedStrings.xml><?xml version="1.0" encoding="utf-8"?>
<sst xmlns="http://schemas.openxmlformats.org/spreadsheetml/2006/main" count="139" uniqueCount="127">
  <si>
    <t>Price</t>
  </si>
  <si>
    <t>Shares</t>
  </si>
  <si>
    <t>MC</t>
  </si>
  <si>
    <t>Cash</t>
  </si>
  <si>
    <t>Debt</t>
  </si>
  <si>
    <t>EV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</si>
  <si>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</si>
  <si>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</si>
  <si>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</si>
  <si>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</si>
  <si>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</si>
  <si>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</si>
  <si>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</si>
  <si>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</si>
  <si>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</si>
  <si>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</si>
  <si>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</si>
  <si>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</si>
  <si>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</si>
  <si>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</si>
  <si>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Live Services</t>
  </si>
  <si>
    <t>Full Game</t>
  </si>
  <si>
    <t>OpInc</t>
  </si>
  <si>
    <t>OpEx</t>
  </si>
  <si>
    <t>COGS</t>
  </si>
  <si>
    <t>Gross profit</t>
  </si>
  <si>
    <t>R&amp;D</t>
  </si>
  <si>
    <t>M&amp;S</t>
  </si>
  <si>
    <t>G&amp;A</t>
  </si>
  <si>
    <t>EPS</t>
  </si>
  <si>
    <t>Net Income</t>
  </si>
  <si>
    <t>Taxes</t>
  </si>
  <si>
    <t>Pretax</t>
  </si>
  <si>
    <t>Interest</t>
  </si>
  <si>
    <t>Q222</t>
  </si>
  <si>
    <t>Model NI</t>
  </si>
  <si>
    <t>FY2020</t>
  </si>
  <si>
    <t>FY2021</t>
  </si>
  <si>
    <t>FY2022</t>
  </si>
  <si>
    <t>FY2023</t>
  </si>
  <si>
    <t>Revenue y/y</t>
  </si>
  <si>
    <t>FY2019</t>
  </si>
  <si>
    <t>FY2018</t>
  </si>
  <si>
    <t>FY2017</t>
  </si>
  <si>
    <t>Battlefield</t>
  </si>
  <si>
    <t>FIFA</t>
  </si>
  <si>
    <t>Madden</t>
  </si>
  <si>
    <t>Formula 1</t>
  </si>
  <si>
    <t>Apex Legends</t>
  </si>
  <si>
    <t>The Sims</t>
  </si>
  <si>
    <t>Grid Legends</t>
  </si>
  <si>
    <t>NHL</t>
  </si>
  <si>
    <t>Lost in Random</t>
  </si>
  <si>
    <t>Mass Effect</t>
  </si>
  <si>
    <t>It Takes Two</t>
  </si>
  <si>
    <t>Medal of Honor</t>
  </si>
  <si>
    <t>Need for Speed Hot Pursuit</t>
  </si>
  <si>
    <t>Star Wars Squadrons</t>
  </si>
  <si>
    <t>UFC 4</t>
  </si>
  <si>
    <t>Rocket Arena</t>
  </si>
  <si>
    <t>Command and Conquer</t>
  </si>
  <si>
    <t>Assets</t>
  </si>
  <si>
    <t>AR</t>
  </si>
  <si>
    <t>OCA</t>
  </si>
  <si>
    <t>PP&amp;E</t>
  </si>
  <si>
    <t>Goodwill</t>
  </si>
  <si>
    <t>DT</t>
  </si>
  <si>
    <t>Other</t>
  </si>
  <si>
    <t>AP</t>
  </si>
  <si>
    <t>DR</t>
  </si>
  <si>
    <t>AL</t>
  </si>
  <si>
    <t>SE</t>
  </si>
  <si>
    <t>L+SE</t>
  </si>
  <si>
    <t>Reported NI</t>
  </si>
  <si>
    <t>CFFO</t>
  </si>
  <si>
    <t>SBC</t>
  </si>
  <si>
    <t>D&amp;A</t>
  </si>
  <si>
    <t>OA</t>
  </si>
  <si>
    <t>CapEx</t>
  </si>
  <si>
    <t>Investments</t>
  </si>
  <si>
    <t>Acquisitions</t>
  </si>
  <si>
    <t>CFFI</t>
  </si>
  <si>
    <t>Buybacks</t>
  </si>
  <si>
    <t>Dividend</t>
  </si>
  <si>
    <t>ESOP</t>
  </si>
  <si>
    <t>CFFF</t>
  </si>
  <si>
    <t>FX</t>
  </si>
  <si>
    <t>CIC</t>
  </si>
  <si>
    <t>Console</t>
  </si>
  <si>
    <t>PC</t>
  </si>
  <si>
    <t>Mobile</t>
  </si>
  <si>
    <t>Download</t>
  </si>
  <si>
    <t>Packaged</t>
  </si>
  <si>
    <t>Moving to EA FC in FY2024</t>
  </si>
  <si>
    <t>Ultimate Team revenue substantial portion</t>
  </si>
  <si>
    <t>Extra content substantial revenue</t>
  </si>
  <si>
    <t>Golf Clash</t>
  </si>
  <si>
    <t>FIFA Mobile, FIFA Online</t>
  </si>
  <si>
    <t>Extra Content</t>
  </si>
  <si>
    <t>Net Bookings</t>
  </si>
  <si>
    <t>Glu Mobile - 2.0B</t>
  </si>
  <si>
    <t>Playdemic - 1.4B</t>
  </si>
  <si>
    <t>The Sims 4</t>
  </si>
  <si>
    <t>Substantial live services revenue</t>
  </si>
  <si>
    <t>North America</t>
  </si>
  <si>
    <t>International</t>
  </si>
  <si>
    <t>FCF</t>
  </si>
  <si>
    <t>FY2016</t>
  </si>
  <si>
    <t>Gross Margin</t>
  </si>
  <si>
    <t>Operating Margin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</si>
  <si>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</si>
  <si>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</si>
  <si>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</si>
  <si>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</si>
  <si>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</si>
  <si>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</si>
  <si>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</si>
  <si>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</si>
  <si>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</si>
  <si>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</si>
  <si>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Terminal</t>
  </si>
  <si>
    <t>Discount</t>
  </si>
  <si>
    <t>NPV</t>
  </si>
  <si>
    <t>Net Cash</t>
  </si>
  <si>
    <t>ROIC</t>
  </si>
  <si>
    <t>Share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</si>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</sst>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0" fillId="0" borderId="0" xfId="0" applyNumberFormat="1"/>
    <xf numFmtId="9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66675</xdr:rowOff>
    </xdr:from>
    <xdr:to>
      <xdr:col>11</xdr:col>
      <xdr:colOff>19050</xdr:colOff>
      <xdr:row>84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915DCDC-C89C-FBB1-1474-C49AE33F0F9B}"/>
            </a:ext>
          </a:extLst>
        </xdr:cNvPr>
        <xdr:cNvCxnSpPr/>
      </xdr:nvCxnSpPr>
      <xdr:spPr>
        <a:xfrm>
          <a:off x="6619875" y="66675"/>
          <a:ext cx="0" cy="802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0</xdr:row>
      <xdr:rowOff>0</xdr:rowOff>
    </xdr:from>
    <xdr:to>
      <xdr:col>22</xdr:col>
      <xdr:colOff>9525</xdr:colOff>
      <xdr:row>84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B24A3D5-A85A-4FF6-97B4-64F765F1B463}"/>
            </a:ext>
          </a:extLst>
        </xdr:cNvPr>
        <xdr:cNvCxnSpPr/>
      </xdr:nvCxnSpPr>
      <xdr:spPr>
        <a:xfrm>
          <a:off x="13315950" y="0"/>
          <a:ext cx="0" cy="8505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554114F-9955-4037-9A40-BBF4786DF90A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66" dT="2022-08-26T15:11:05.61" personId="{6554114F-9955-4037-9A40-BBF4786DF90A}" id="{224997F1-8691-45DC-AC2C-D139424C2DD4}">
    <text>Q123 guidance: 1600-1650m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520D-D2E8-4875-AF37-2643C5BED407}">
  <dimension ref="B2:O28"/>
  <sheetViews>
    <sheetView workbookViewId="0">
      <selection activeCell="M9" sqref="M9"/>
    </sheetView>
  </sheetViews>
  <sheetFormatPr baseColWidth="10" defaultColWidth="8.83203125" defaultRowHeight="13" x14ac:dyDescent="0.15"/>
  <sheetData>
    <row r="2" spans="2:15" x14ac:dyDescent="0.15">
      <c r="B2" t="s">
        <v>48</v>
      </c>
      <c r="M2" t="s">
        <v>0</v>
      </c>
      <c r="N2">
        <v>133.69</v>
      </c>
    </row>
    <row r="3" spans="2:15" x14ac:dyDescent="0.15">
      <c r="C3" t="s">
        <v>95</v>
      </c>
      <c r="M3" t="s">
        <v>1</v>
      </c>
      <c r="N3">
        <v>281</v>
      </c>
      <c r="O3" s="1" t="s">
        <v>34</v>
      </c>
    </row>
    <row r="4" spans="2:15" x14ac:dyDescent="0.15">
      <c r="B4" t="s">
        <v>44</v>
      </c>
      <c r="M4" t="s">
        <v>2</v>
      </c>
      <c r="N4" s="4">
        <f>+N2*N3</f>
        <v>37566.89</v>
      </c>
    </row>
    <row r="5" spans="2:15" x14ac:dyDescent="0.15">
      <c r="B5" t="s">
        <v>60</v>
      </c>
      <c r="M5" t="s">
        <v>3</v>
      </c>
      <c r="N5" s="4">
        <f>2082+334</f>
        <v>2416</v>
      </c>
      <c r="O5" s="1" t="s">
        <v>34</v>
      </c>
    </row>
    <row r="6" spans="2:15" x14ac:dyDescent="0.15">
      <c r="B6" t="s">
        <v>45</v>
      </c>
      <c r="M6" t="s">
        <v>4</v>
      </c>
      <c r="N6" s="4">
        <v>1878</v>
      </c>
      <c r="O6" s="1" t="s">
        <v>34</v>
      </c>
    </row>
    <row r="7" spans="2:15" x14ac:dyDescent="0.15">
      <c r="C7" t="s">
        <v>93</v>
      </c>
      <c r="M7" t="s">
        <v>5</v>
      </c>
      <c r="N7" s="4">
        <f>+N4-N5+N6</f>
        <v>37028.89</v>
      </c>
    </row>
    <row r="8" spans="2:15" x14ac:dyDescent="0.15">
      <c r="C8" t="s">
        <v>94</v>
      </c>
    </row>
    <row r="9" spans="2:15" x14ac:dyDescent="0.15">
      <c r="C9" t="s">
        <v>97</v>
      </c>
    </row>
    <row r="10" spans="2:15" x14ac:dyDescent="0.15">
      <c r="B10" t="s">
        <v>47</v>
      </c>
    </row>
    <row r="11" spans="2:15" x14ac:dyDescent="0.15">
      <c r="B11" t="s">
        <v>50</v>
      </c>
    </row>
    <row r="12" spans="2:15" x14ac:dyDescent="0.15">
      <c r="B12" t="s">
        <v>54</v>
      </c>
    </row>
    <row r="13" spans="2:15" x14ac:dyDescent="0.15">
      <c r="B13" t="s">
        <v>52</v>
      </c>
    </row>
    <row r="14" spans="2:15" x14ac:dyDescent="0.15">
      <c r="B14" t="s">
        <v>46</v>
      </c>
    </row>
    <row r="15" spans="2:15" x14ac:dyDescent="0.15">
      <c r="B15" t="s">
        <v>53</v>
      </c>
    </row>
    <row r="16" spans="2:15" x14ac:dyDescent="0.15">
      <c r="B16" t="s">
        <v>55</v>
      </c>
    </row>
    <row r="17" spans="2:3" x14ac:dyDescent="0.15">
      <c r="B17" t="s">
        <v>56</v>
      </c>
    </row>
    <row r="18" spans="2:3" x14ac:dyDescent="0.15">
      <c r="B18" t="s">
        <v>51</v>
      </c>
    </row>
    <row r="19" spans="2:3" x14ac:dyDescent="0.15">
      <c r="B19" t="s">
        <v>59</v>
      </c>
    </row>
    <row r="20" spans="2:3" x14ac:dyDescent="0.15">
      <c r="B20" t="s">
        <v>49</v>
      </c>
    </row>
    <row r="21" spans="2:3" x14ac:dyDescent="0.15">
      <c r="C21" t="s">
        <v>102</v>
      </c>
    </row>
    <row r="22" spans="2:3" x14ac:dyDescent="0.15">
      <c r="C22" t="s">
        <v>103</v>
      </c>
    </row>
    <row r="23" spans="2:3" x14ac:dyDescent="0.15">
      <c r="B23" t="s">
        <v>57</v>
      </c>
    </row>
    <row r="24" spans="2:3" x14ac:dyDescent="0.15">
      <c r="B24" t="s">
        <v>58</v>
      </c>
    </row>
    <row r="26" spans="2:3" x14ac:dyDescent="0.15">
      <c r="B26" t="s">
        <v>100</v>
      </c>
    </row>
    <row r="27" spans="2:3" x14ac:dyDescent="0.15">
      <c r="B27" t="s">
        <v>101</v>
      </c>
    </row>
    <row r="28" spans="2:3" x14ac:dyDescent="0.15">
      <c r="C28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A67E-6005-4915-82FF-FB0BB8A3D32C}">
  <dimension ref="A1:FU82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G33" sqref="AG33"/>
    </sheetView>
  </sheetViews>
  <sheetFormatPr baseColWidth="10" defaultColWidth="8.83203125" defaultRowHeight="13" x14ac:dyDescent="0.15"/>
  <cols>
    <col min="1" max="1" width="5" bestFit="1" customWidth="1"/>
    <col min="2" max="2" width="13" customWidth="1"/>
    <col min="3" max="14" width="9.1640625" style="1"/>
    <col min="33" max="33" width="11.1640625" bestFit="1" customWidth="1"/>
  </cols>
  <sheetData>
    <row r="1" spans="1:33" x14ac:dyDescent="0.15">
      <c r="A1" s="8" t="s">
        <v>6</v>
      </c>
    </row>
    <row r="2" spans="1:33" s="11" customFormat="1" x14ac:dyDescent="0.15">
      <c r="C2" s="2">
        <v>44012</v>
      </c>
      <c r="D2" s="2">
        <v>44104</v>
      </c>
      <c r="E2" s="2">
        <v>44196</v>
      </c>
      <c r="F2" s="2">
        <v>44286</v>
      </c>
      <c r="G2" s="2">
        <v>44377</v>
      </c>
      <c r="H2" s="2">
        <v>44469</v>
      </c>
      <c r="I2" s="2">
        <v>44561</v>
      </c>
      <c r="J2" s="2">
        <v>44651</v>
      </c>
      <c r="K2" s="2">
        <v>44742</v>
      </c>
      <c r="L2" s="2"/>
      <c r="M2" s="2"/>
      <c r="N2" s="2"/>
      <c r="P2" s="11">
        <v>42460</v>
      </c>
      <c r="Q2" s="11">
        <v>42825</v>
      </c>
      <c r="R2" s="11">
        <v>43190</v>
      </c>
      <c r="S2" s="11">
        <v>43555</v>
      </c>
      <c r="T2" s="11">
        <v>43921</v>
      </c>
      <c r="U2" s="11">
        <v>44286</v>
      </c>
      <c r="V2" s="11">
        <v>44651</v>
      </c>
      <c r="W2" s="11">
        <v>45016</v>
      </c>
    </row>
    <row r="3" spans="1:33" x14ac:dyDescent="0.15"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P3" s="1" t="s">
        <v>107</v>
      </c>
      <c r="Q3" s="1" t="s">
        <v>43</v>
      </c>
      <c r="R3" s="1" t="s">
        <v>42</v>
      </c>
      <c r="S3" s="1" t="s">
        <v>41</v>
      </c>
      <c r="T3" s="1" t="s">
        <v>36</v>
      </c>
      <c r="U3" s="1" t="s">
        <v>37</v>
      </c>
      <c r="V3" s="1" t="s">
        <v>38</v>
      </c>
      <c r="W3" s="1" t="s">
        <v>39</v>
      </c>
      <c r="X3" s="1" t="s">
        <v>110</v>
      </c>
      <c r="Y3" s="1" t="s">
        <v>111</v>
      </c>
      <c r="Z3" s="1" t="s">
        <v>112</v>
      </c>
      <c r="AA3" s="1" t="s">
        <v>113</v>
      </c>
      <c r="AB3" s="1" t="s">
        <v>114</v>
      </c>
      <c r="AC3" s="1" t="s">
        <v>115</v>
      </c>
      <c r="AD3" s="1" t="s">
        <v>116</v>
      </c>
      <c r="AE3" s="1" t="s">
        <v>117</v>
      </c>
      <c r="AF3" s="1" t="s">
        <v>118</v>
      </c>
      <c r="AG3" s="1" t="s">
        <v>119</v>
      </c>
    </row>
    <row r="4" spans="1:33" s="4" customFormat="1" x14ac:dyDescent="0.15">
      <c r="B4" s="4" t="s">
        <v>99</v>
      </c>
      <c r="C4" s="5"/>
      <c r="D4" s="5">
        <v>910</v>
      </c>
      <c r="E4" s="5"/>
      <c r="F4" s="5"/>
      <c r="G4" s="5">
        <v>1336</v>
      </c>
      <c r="H4" s="5">
        <v>1851</v>
      </c>
      <c r="I4" s="5"/>
      <c r="J4" s="5"/>
      <c r="K4" s="5">
        <v>1299</v>
      </c>
      <c r="L4" s="5"/>
      <c r="M4" s="5"/>
      <c r="N4" s="5"/>
      <c r="Q4" s="5"/>
      <c r="R4" s="5"/>
      <c r="S4" s="5"/>
      <c r="T4" s="5"/>
      <c r="U4" s="5"/>
      <c r="V4" s="5"/>
      <c r="W4" s="5"/>
    </row>
    <row r="5" spans="1:33" x14ac:dyDescent="0.15">
      <c r="Q5" s="1"/>
      <c r="R5" s="1"/>
      <c r="S5" s="1"/>
      <c r="T5" s="1"/>
      <c r="U5" s="1"/>
      <c r="V5" s="1"/>
      <c r="W5" s="1"/>
    </row>
    <row r="6" spans="1:33" s="4" customFormat="1" x14ac:dyDescent="0.15">
      <c r="B6" s="4" t="s">
        <v>88</v>
      </c>
      <c r="C6" s="5"/>
      <c r="D6" s="5">
        <v>714</v>
      </c>
      <c r="E6" s="5"/>
      <c r="F6" s="5"/>
      <c r="G6" s="5">
        <v>972</v>
      </c>
      <c r="H6" s="5">
        <v>1198</v>
      </c>
      <c r="I6" s="5"/>
      <c r="J6" s="5"/>
      <c r="K6" s="5">
        <v>1042</v>
      </c>
      <c r="L6" s="5"/>
      <c r="M6" s="5"/>
      <c r="N6" s="5"/>
      <c r="Q6" s="5"/>
      <c r="R6" s="5"/>
      <c r="S6" s="5"/>
      <c r="T6" s="5">
        <v>3774</v>
      </c>
      <c r="U6" s="5">
        <v>3716</v>
      </c>
      <c r="V6" s="5">
        <v>4400</v>
      </c>
      <c r="W6" s="5"/>
    </row>
    <row r="7" spans="1:33" s="4" customFormat="1" x14ac:dyDescent="0.15">
      <c r="B7" s="4" t="s">
        <v>89</v>
      </c>
      <c r="C7" s="5"/>
      <c r="D7" s="5">
        <v>249</v>
      </c>
      <c r="E7" s="5"/>
      <c r="F7" s="5"/>
      <c r="G7" s="5">
        <v>361</v>
      </c>
      <c r="H7" s="5">
        <v>377</v>
      </c>
      <c r="I7" s="5"/>
      <c r="J7" s="5"/>
      <c r="K7" s="5">
        <v>402</v>
      </c>
      <c r="L7" s="5"/>
      <c r="M7" s="5"/>
      <c r="N7" s="5"/>
      <c r="Q7" s="5"/>
      <c r="R7" s="5"/>
      <c r="S7" s="5"/>
      <c r="T7" s="5">
        <v>1036</v>
      </c>
      <c r="U7" s="5">
        <v>1195</v>
      </c>
      <c r="V7" s="5">
        <v>1532</v>
      </c>
      <c r="W7" s="5"/>
    </row>
    <row r="8" spans="1:33" s="4" customFormat="1" x14ac:dyDescent="0.15">
      <c r="B8" s="4" t="s">
        <v>90</v>
      </c>
      <c r="C8" s="5"/>
      <c r="D8" s="5">
        <v>188</v>
      </c>
      <c r="E8" s="5"/>
      <c r="F8" s="5"/>
      <c r="G8" s="5">
        <v>218</v>
      </c>
      <c r="H8" s="5">
        <v>251</v>
      </c>
      <c r="I8" s="5"/>
      <c r="J8" s="5"/>
      <c r="K8" s="5">
        <v>323</v>
      </c>
      <c r="L8" s="5"/>
      <c r="M8" s="5"/>
      <c r="N8" s="5"/>
      <c r="Q8" s="5"/>
      <c r="R8" s="5"/>
      <c r="S8" s="5"/>
      <c r="T8" s="5">
        <v>727</v>
      </c>
      <c r="U8" s="5">
        <v>718</v>
      </c>
      <c r="V8" s="5">
        <v>1059</v>
      </c>
      <c r="W8" s="5"/>
    </row>
    <row r="9" spans="1:33" s="4" customFormat="1" x14ac:dyDescent="0.1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Q9" s="5"/>
      <c r="R9" s="5"/>
      <c r="S9" s="5"/>
      <c r="T9" s="5"/>
      <c r="U9" s="5"/>
      <c r="V9" s="5"/>
      <c r="W9" s="5"/>
    </row>
    <row r="10" spans="1:33" s="4" customFormat="1" x14ac:dyDescent="0.15">
      <c r="B10" s="4" t="s">
        <v>98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Q10" s="5"/>
      <c r="R10" s="5"/>
      <c r="S10" s="5"/>
      <c r="T10" s="5">
        <v>2826</v>
      </c>
      <c r="U10" s="5">
        <v>3068</v>
      </c>
      <c r="V10" s="5">
        <v>3910</v>
      </c>
      <c r="W10" s="5"/>
    </row>
    <row r="11" spans="1:33" s="4" customFormat="1" x14ac:dyDescent="0.15">
      <c r="B11" s="4" t="s">
        <v>104</v>
      </c>
      <c r="C11" s="5"/>
      <c r="D11" s="5">
        <v>578</v>
      </c>
      <c r="E11" s="5"/>
      <c r="F11" s="5"/>
      <c r="G11" s="5"/>
      <c r="H11" s="5">
        <v>778</v>
      </c>
      <c r="I11" s="5"/>
      <c r="J11" s="5"/>
      <c r="K11" s="5"/>
      <c r="L11" s="5"/>
      <c r="M11" s="5"/>
      <c r="N11" s="5"/>
      <c r="Q11" s="5"/>
      <c r="R11" s="5"/>
      <c r="S11" s="5"/>
      <c r="T11" s="5">
        <v>2270</v>
      </c>
      <c r="U11" s="5">
        <v>2474</v>
      </c>
      <c r="V11" s="5">
        <v>3039</v>
      </c>
      <c r="W11" s="5"/>
    </row>
    <row r="12" spans="1:33" s="4" customFormat="1" x14ac:dyDescent="0.15">
      <c r="B12" s="4" t="s">
        <v>105</v>
      </c>
      <c r="C12" s="5"/>
      <c r="D12" s="5">
        <v>573</v>
      </c>
      <c r="E12" s="5"/>
      <c r="F12" s="5"/>
      <c r="G12" s="5"/>
      <c r="H12" s="5">
        <v>1048</v>
      </c>
      <c r="I12" s="5"/>
      <c r="J12" s="5"/>
      <c r="K12" s="5"/>
      <c r="L12" s="5"/>
      <c r="M12" s="5"/>
      <c r="N12" s="5"/>
      <c r="Q12" s="5"/>
      <c r="R12" s="5"/>
      <c r="S12" s="5"/>
      <c r="T12" s="5">
        <v>3267</v>
      </c>
      <c r="U12" s="5">
        <v>3155</v>
      </c>
      <c r="V12" s="5">
        <v>3952</v>
      </c>
      <c r="W12" s="5"/>
    </row>
    <row r="13" spans="1:33" x14ac:dyDescent="0.15">
      <c r="Q13" s="1"/>
      <c r="R13" s="1"/>
      <c r="S13" s="1"/>
      <c r="T13" s="1"/>
      <c r="U13" s="1"/>
      <c r="V13" s="1"/>
      <c r="W13" s="1"/>
    </row>
    <row r="14" spans="1:33" x14ac:dyDescent="0.15">
      <c r="B14" s="4" t="s">
        <v>91</v>
      </c>
      <c r="D14" s="1">
        <v>163</v>
      </c>
      <c r="G14" s="1">
        <v>233</v>
      </c>
      <c r="H14" s="1">
        <v>337</v>
      </c>
      <c r="K14" s="1">
        <v>237</v>
      </c>
      <c r="Q14" s="1"/>
      <c r="R14" s="1"/>
      <c r="S14" s="1"/>
      <c r="T14" s="4">
        <v>811</v>
      </c>
      <c r="U14" s="4">
        <v>918</v>
      </c>
      <c r="V14" s="4">
        <v>1282</v>
      </c>
      <c r="W14" s="1"/>
    </row>
    <row r="15" spans="1:33" s="4" customFormat="1" x14ac:dyDescent="0.15">
      <c r="B15" s="4" t="s">
        <v>92</v>
      </c>
      <c r="C15" s="5"/>
      <c r="D15" s="5">
        <v>119</v>
      </c>
      <c r="E15" s="5"/>
      <c r="F15" s="5"/>
      <c r="G15" s="5">
        <v>89</v>
      </c>
      <c r="H15" s="5">
        <v>280</v>
      </c>
      <c r="I15" s="5"/>
      <c r="J15" s="5"/>
      <c r="K15" s="5">
        <v>104</v>
      </c>
      <c r="L15" s="5"/>
      <c r="M15" s="5"/>
      <c r="N15" s="5"/>
      <c r="Q15" s="5"/>
      <c r="R15" s="5"/>
      <c r="S15" s="5"/>
      <c r="T15" s="5">
        <v>1076</v>
      </c>
      <c r="U15" s="5">
        <v>695</v>
      </c>
      <c r="V15" s="5">
        <v>711</v>
      </c>
      <c r="W15" s="5"/>
    </row>
    <row r="16" spans="1:33" s="4" customFormat="1" x14ac:dyDescent="0.15">
      <c r="B16" s="4" t="s">
        <v>21</v>
      </c>
      <c r="C16" s="5"/>
      <c r="D16" s="5">
        <f>+D15+D14</f>
        <v>282</v>
      </c>
      <c r="E16" s="5"/>
      <c r="F16" s="5"/>
      <c r="G16" s="5">
        <f>+G15+G14</f>
        <v>322</v>
      </c>
      <c r="H16" s="5">
        <f>+H15+H14</f>
        <v>617</v>
      </c>
      <c r="I16" s="5"/>
      <c r="J16" s="5"/>
      <c r="K16" s="5">
        <f>+K15+K14</f>
        <v>341</v>
      </c>
      <c r="L16" s="5"/>
      <c r="M16" s="5"/>
      <c r="N16" s="5"/>
      <c r="T16" s="4">
        <f>+T15+T14</f>
        <v>1887</v>
      </c>
      <c r="U16" s="4">
        <f t="shared" ref="U16:V16" si="0">+U15+U14</f>
        <v>1613</v>
      </c>
      <c r="V16" s="4">
        <f t="shared" si="0"/>
        <v>1993</v>
      </c>
    </row>
    <row r="17" spans="2:177" s="4" customFormat="1" x14ac:dyDescent="0.15">
      <c r="B17" s="4" t="s">
        <v>20</v>
      </c>
      <c r="C17" s="5"/>
      <c r="D17" s="5">
        <v>869</v>
      </c>
      <c r="E17" s="5"/>
      <c r="F17" s="5">
        <v>1096</v>
      </c>
      <c r="G17" s="5">
        <v>1229</v>
      </c>
      <c r="H17" s="5">
        <v>1209</v>
      </c>
      <c r="I17" s="5">
        <v>1173</v>
      </c>
      <c r="J17" s="5">
        <v>1387</v>
      </c>
      <c r="K17" s="5">
        <v>1426</v>
      </c>
      <c r="L17" s="5"/>
      <c r="M17" s="5"/>
      <c r="N17" s="5"/>
      <c r="T17" s="4">
        <v>3650</v>
      </c>
      <c r="U17" s="4">
        <v>4016</v>
      </c>
      <c r="V17" s="4">
        <v>4998</v>
      </c>
    </row>
    <row r="18" spans="2:177" s="6" customFormat="1" x14ac:dyDescent="0.15">
      <c r="B18" s="6" t="s">
        <v>7</v>
      </c>
      <c r="C18" s="7">
        <v>1459</v>
      </c>
      <c r="D18" s="7">
        <f>+D16+D17</f>
        <v>1151</v>
      </c>
      <c r="E18" s="7">
        <v>1673</v>
      </c>
      <c r="F18" s="7">
        <v>1346</v>
      </c>
      <c r="G18" s="7">
        <f>+G16+G17</f>
        <v>1551</v>
      </c>
      <c r="H18" s="7">
        <f>+H16+H17</f>
        <v>1826</v>
      </c>
      <c r="I18" s="7">
        <v>1789</v>
      </c>
      <c r="J18" s="7">
        <v>1825</v>
      </c>
      <c r="K18" s="7">
        <f>+K16+K17</f>
        <v>1767</v>
      </c>
      <c r="L18" s="7">
        <v>1850</v>
      </c>
      <c r="M18" s="7">
        <f>+I18*1.1</f>
        <v>1967.9</v>
      </c>
      <c r="N18" s="7">
        <f>+J18*1.1</f>
        <v>2007.5000000000002</v>
      </c>
      <c r="P18" s="7">
        <v>4396</v>
      </c>
      <c r="Q18" s="7">
        <v>4845</v>
      </c>
      <c r="R18" s="7">
        <v>5150</v>
      </c>
      <c r="S18" s="7">
        <v>4950</v>
      </c>
      <c r="T18" s="7">
        <f>+T17+T16</f>
        <v>5537</v>
      </c>
      <c r="U18" s="7">
        <f>+U17+U16</f>
        <v>5629</v>
      </c>
      <c r="V18" s="7">
        <f>+V17+V16</f>
        <v>6991</v>
      </c>
      <c r="W18" s="6">
        <v>7800</v>
      </c>
      <c r="X18" s="6">
        <f>+W18*1.03</f>
        <v>8034</v>
      </c>
      <c r="Y18" s="6">
        <f t="shared" ref="Y18:AD18" si="1">+X18*1.03</f>
        <v>8275.02</v>
      </c>
      <c r="Z18" s="6">
        <f t="shared" si="1"/>
        <v>8523.2705999999998</v>
      </c>
      <c r="AA18" s="6">
        <f t="shared" si="1"/>
        <v>8778.9687180000001</v>
      </c>
      <c r="AB18" s="6">
        <f t="shared" si="1"/>
        <v>9042.3377795400011</v>
      </c>
      <c r="AC18" s="6">
        <f t="shared" si="1"/>
        <v>9313.6079129262016</v>
      </c>
      <c r="AD18" s="6">
        <f t="shared" si="1"/>
        <v>9593.016150313988</v>
      </c>
    </row>
    <row r="19" spans="2:177" s="4" customFormat="1" x14ac:dyDescent="0.15">
      <c r="B19" s="4" t="s">
        <v>24</v>
      </c>
      <c r="C19" s="5">
        <v>288</v>
      </c>
      <c r="D19" s="5">
        <v>286</v>
      </c>
      <c r="E19" s="5">
        <v>601</v>
      </c>
      <c r="F19" s="5">
        <v>319</v>
      </c>
      <c r="G19" s="5">
        <v>315</v>
      </c>
      <c r="H19" s="5">
        <v>494</v>
      </c>
      <c r="I19" s="5">
        <v>631</v>
      </c>
      <c r="J19" s="5">
        <v>419</v>
      </c>
      <c r="K19" s="5">
        <v>314</v>
      </c>
      <c r="L19" s="5">
        <f>+L18-L20</f>
        <v>499.5</v>
      </c>
      <c r="M19" s="5">
        <f>+M18-M20</f>
        <v>531.33300000000008</v>
      </c>
      <c r="N19" s="5">
        <f>+N18-N20</f>
        <v>542.02500000000009</v>
      </c>
      <c r="P19" s="5">
        <v>1354</v>
      </c>
      <c r="Q19" s="5">
        <v>1298</v>
      </c>
      <c r="R19" s="5">
        <v>1277</v>
      </c>
      <c r="S19" s="5">
        <v>1322</v>
      </c>
      <c r="T19" s="5">
        <v>1369</v>
      </c>
      <c r="U19" s="5">
        <v>1494</v>
      </c>
      <c r="V19" s="5">
        <v>1859</v>
      </c>
      <c r="W19" s="4">
        <f>+W18-W20</f>
        <v>2106</v>
      </c>
    </row>
    <row r="20" spans="2:177" s="4" customFormat="1" x14ac:dyDescent="0.15">
      <c r="B20" s="4" t="s">
        <v>25</v>
      </c>
      <c r="C20" s="5">
        <f t="shared" ref="C20:K20" si="2">+C18-C19</f>
        <v>1171</v>
      </c>
      <c r="D20" s="5">
        <f t="shared" si="2"/>
        <v>865</v>
      </c>
      <c r="E20" s="5">
        <f t="shared" si="2"/>
        <v>1072</v>
      </c>
      <c r="F20" s="5">
        <f t="shared" si="2"/>
        <v>1027</v>
      </c>
      <c r="G20" s="5">
        <f t="shared" si="2"/>
        <v>1236</v>
      </c>
      <c r="H20" s="5">
        <f t="shared" si="2"/>
        <v>1332</v>
      </c>
      <c r="I20" s="5">
        <f t="shared" si="2"/>
        <v>1158</v>
      </c>
      <c r="J20" s="5">
        <f t="shared" si="2"/>
        <v>1406</v>
      </c>
      <c r="K20" s="5">
        <f t="shared" si="2"/>
        <v>1453</v>
      </c>
      <c r="L20" s="5">
        <f>+L18*0.73</f>
        <v>1350.5</v>
      </c>
      <c r="M20" s="5">
        <f t="shared" ref="M20:N20" si="3">+M18*0.73</f>
        <v>1436.567</v>
      </c>
      <c r="N20" s="5">
        <f t="shared" si="3"/>
        <v>1465.4750000000001</v>
      </c>
      <c r="P20" s="5">
        <f t="shared" ref="P20" si="4">+P18-P19</f>
        <v>3042</v>
      </c>
      <c r="Q20" s="5">
        <f t="shared" ref="Q20" si="5">+Q18-Q19</f>
        <v>3547</v>
      </c>
      <c r="R20" s="5">
        <f>+R18-R19</f>
        <v>3873</v>
      </c>
      <c r="S20" s="5">
        <f>+S18-S19</f>
        <v>3628</v>
      </c>
      <c r="T20" s="5">
        <f>+T18-T19</f>
        <v>4168</v>
      </c>
      <c r="U20" s="5">
        <f>+U18-U19</f>
        <v>4135</v>
      </c>
      <c r="V20" s="5">
        <f>+V18-V19</f>
        <v>5132</v>
      </c>
      <c r="W20" s="4">
        <f>+W18*0.73</f>
        <v>5694</v>
      </c>
      <c r="X20" s="4">
        <f>+X18*0.735</f>
        <v>5904.99</v>
      </c>
      <c r="Y20" s="4">
        <f>+Y18*0.74</f>
        <v>6123.5147999999999</v>
      </c>
      <c r="Z20" s="4">
        <f>+Z18*0.745</f>
        <v>6349.8365969999995</v>
      </c>
      <c r="AA20" s="4">
        <f>+AA18*0.75</f>
        <v>6584.2265385000001</v>
      </c>
      <c r="AB20" s="4">
        <f t="shared" ref="AB20:AD20" si="6">+AB18*0.75</f>
        <v>6781.7533346550008</v>
      </c>
      <c r="AC20" s="4">
        <f t="shared" si="6"/>
        <v>6985.2059346946517</v>
      </c>
      <c r="AD20" s="4">
        <f t="shared" si="6"/>
        <v>7194.7621127354905</v>
      </c>
    </row>
    <row r="21" spans="2:177" s="4" customFormat="1" x14ac:dyDescent="0.15">
      <c r="B21" s="4" t="s">
        <v>26</v>
      </c>
      <c r="C21" s="5">
        <v>438</v>
      </c>
      <c r="D21" s="5">
        <v>421</v>
      </c>
      <c r="E21" s="5">
        <v>451</v>
      </c>
      <c r="F21" s="5">
        <v>468</v>
      </c>
      <c r="G21" s="5">
        <v>515</v>
      </c>
      <c r="H21" s="5">
        <v>553</v>
      </c>
      <c r="I21" s="5">
        <v>539</v>
      </c>
      <c r="J21" s="5">
        <v>579</v>
      </c>
      <c r="K21" s="5">
        <v>572</v>
      </c>
      <c r="L21" s="5">
        <f>+H21*1.01</f>
        <v>558.53</v>
      </c>
      <c r="M21" s="5">
        <f t="shared" ref="M21:M23" si="7">+I21*1.01</f>
        <v>544.39</v>
      </c>
      <c r="N21" s="5">
        <f t="shared" ref="N21:N23" si="8">+J21*1.01</f>
        <v>584.79</v>
      </c>
      <c r="P21" s="5">
        <v>1109</v>
      </c>
      <c r="Q21" s="5">
        <v>1205</v>
      </c>
      <c r="R21" s="5">
        <v>1320</v>
      </c>
      <c r="S21" s="5">
        <v>1433</v>
      </c>
      <c r="T21" s="5">
        <v>1559</v>
      </c>
      <c r="U21" s="5">
        <v>1778</v>
      </c>
      <c r="V21" s="5">
        <v>2186</v>
      </c>
      <c r="W21" s="4">
        <f>+V21*1.1</f>
        <v>2404.6000000000004</v>
      </c>
      <c r="X21" s="4">
        <f>+W21*1.01</f>
        <v>2428.6460000000002</v>
      </c>
      <c r="Y21" s="4">
        <f t="shared" ref="Y21:AD21" si="9">+X21*1.01</f>
        <v>2452.93246</v>
      </c>
      <c r="Z21" s="4">
        <f t="shared" si="9"/>
        <v>2477.4617846000001</v>
      </c>
      <c r="AA21" s="4">
        <f t="shared" si="9"/>
        <v>2502.2364024460003</v>
      </c>
      <c r="AB21" s="4">
        <f t="shared" si="9"/>
        <v>2527.2587664704602</v>
      </c>
      <c r="AC21" s="4">
        <f t="shared" si="9"/>
        <v>2552.5313541351647</v>
      </c>
      <c r="AD21" s="4">
        <f t="shared" si="9"/>
        <v>2578.0566676765166</v>
      </c>
    </row>
    <row r="22" spans="2:177" s="4" customFormat="1" x14ac:dyDescent="0.15">
      <c r="B22" s="4" t="s">
        <v>27</v>
      </c>
      <c r="C22" s="5">
        <v>121</v>
      </c>
      <c r="D22" s="5">
        <v>156</v>
      </c>
      <c r="E22" s="5">
        <v>216</v>
      </c>
      <c r="F22" s="5">
        <v>196</v>
      </c>
      <c r="G22" s="5">
        <v>190</v>
      </c>
      <c r="H22" s="5">
        <v>233</v>
      </c>
      <c r="I22" s="5">
        <v>293</v>
      </c>
      <c r="J22" s="5">
        <v>245</v>
      </c>
      <c r="K22" s="5">
        <v>234</v>
      </c>
      <c r="L22" s="5">
        <f t="shared" ref="L22:L23" si="10">+H22*1.01</f>
        <v>235.33</v>
      </c>
      <c r="M22" s="5">
        <f t="shared" si="7"/>
        <v>295.93</v>
      </c>
      <c r="N22" s="5">
        <f t="shared" si="8"/>
        <v>247.45</v>
      </c>
      <c r="P22" s="5">
        <v>622</v>
      </c>
      <c r="Q22" s="5">
        <v>673</v>
      </c>
      <c r="R22" s="5">
        <v>641</v>
      </c>
      <c r="S22" s="5">
        <v>702</v>
      </c>
      <c r="T22" s="5">
        <v>631</v>
      </c>
      <c r="U22" s="5">
        <v>689</v>
      </c>
      <c r="V22" s="5">
        <v>961</v>
      </c>
      <c r="W22" s="4">
        <f>+V22*1.1</f>
        <v>1057.1000000000001</v>
      </c>
      <c r="X22" s="4">
        <f t="shared" ref="X22:AD22" si="11">+W22*1.01</f>
        <v>1067.671</v>
      </c>
      <c r="Y22" s="4">
        <f t="shared" si="11"/>
        <v>1078.34771</v>
      </c>
      <c r="Z22" s="4">
        <f t="shared" si="11"/>
        <v>1089.1311871</v>
      </c>
      <c r="AA22" s="4">
        <f t="shared" si="11"/>
        <v>1100.022498971</v>
      </c>
      <c r="AB22" s="4">
        <f t="shared" si="11"/>
        <v>1111.02272396071</v>
      </c>
      <c r="AC22" s="4">
        <f t="shared" si="11"/>
        <v>1122.1329512003172</v>
      </c>
      <c r="AD22" s="4">
        <f t="shared" si="11"/>
        <v>1133.3542807123204</v>
      </c>
    </row>
    <row r="23" spans="2:177" s="4" customFormat="1" x14ac:dyDescent="0.15">
      <c r="B23" s="4" t="s">
        <v>28</v>
      </c>
      <c r="C23" s="5">
        <v>136</v>
      </c>
      <c r="D23" s="5">
        <v>133</v>
      </c>
      <c r="E23" s="5">
        <v>149</v>
      </c>
      <c r="F23" s="5">
        <v>174</v>
      </c>
      <c r="G23" s="5">
        <v>169</v>
      </c>
      <c r="H23" s="5">
        <v>176</v>
      </c>
      <c r="I23" s="5">
        <v>163</v>
      </c>
      <c r="J23" s="5">
        <v>165</v>
      </c>
      <c r="K23" s="5">
        <v>167</v>
      </c>
      <c r="L23" s="5">
        <f t="shared" si="10"/>
        <v>177.76</v>
      </c>
      <c r="M23" s="5">
        <f t="shared" si="7"/>
        <v>164.63</v>
      </c>
      <c r="N23" s="5">
        <f t="shared" si="8"/>
        <v>166.65</v>
      </c>
      <c r="P23" s="5">
        <v>406</v>
      </c>
      <c r="Q23" s="5">
        <v>439</v>
      </c>
      <c r="R23" s="5">
        <v>469</v>
      </c>
      <c r="S23" s="5">
        <v>460</v>
      </c>
      <c r="T23" s="5">
        <v>506</v>
      </c>
      <c r="U23" s="5">
        <v>592</v>
      </c>
      <c r="V23" s="5">
        <v>673</v>
      </c>
      <c r="W23" s="4">
        <f>+V23*1.1</f>
        <v>740.30000000000007</v>
      </c>
      <c r="X23" s="4">
        <f t="shared" ref="X23:AD23" si="12">+W23*1.01</f>
        <v>747.70300000000009</v>
      </c>
      <c r="Y23" s="4">
        <f t="shared" si="12"/>
        <v>755.1800300000001</v>
      </c>
      <c r="Z23" s="4">
        <f t="shared" si="12"/>
        <v>762.73183030000007</v>
      </c>
      <c r="AA23" s="4">
        <f t="shared" si="12"/>
        <v>770.35914860300011</v>
      </c>
      <c r="AB23" s="4">
        <f t="shared" si="12"/>
        <v>778.06274008903017</v>
      </c>
      <c r="AC23" s="4">
        <f t="shared" si="12"/>
        <v>785.84336748992052</v>
      </c>
      <c r="AD23" s="4">
        <f t="shared" si="12"/>
        <v>793.7018011648197</v>
      </c>
    </row>
    <row r="24" spans="2:177" s="4" customFormat="1" x14ac:dyDescent="0.15">
      <c r="B24" s="4" t="s">
        <v>23</v>
      </c>
      <c r="C24" s="5">
        <f t="shared" ref="C24:K24" si="13">SUM(C21:C23)</f>
        <v>695</v>
      </c>
      <c r="D24" s="5">
        <f t="shared" si="13"/>
        <v>710</v>
      </c>
      <c r="E24" s="5">
        <f t="shared" si="13"/>
        <v>816</v>
      </c>
      <c r="F24" s="5">
        <f t="shared" si="13"/>
        <v>838</v>
      </c>
      <c r="G24" s="5">
        <f t="shared" si="13"/>
        <v>874</v>
      </c>
      <c r="H24" s="5">
        <f t="shared" si="13"/>
        <v>962</v>
      </c>
      <c r="I24" s="5">
        <f t="shared" si="13"/>
        <v>995</v>
      </c>
      <c r="J24" s="5">
        <f t="shared" si="13"/>
        <v>989</v>
      </c>
      <c r="K24" s="5">
        <f t="shared" si="13"/>
        <v>973</v>
      </c>
      <c r="L24" s="5">
        <f t="shared" ref="L24:N24" si="14">SUM(L21:L23)</f>
        <v>971.62</v>
      </c>
      <c r="M24" s="5">
        <f t="shared" si="14"/>
        <v>1004.9499999999999</v>
      </c>
      <c r="N24" s="5">
        <f t="shared" si="14"/>
        <v>998.89</v>
      </c>
      <c r="P24" s="5">
        <f t="shared" ref="P24" si="15">SUM(P21:P23)</f>
        <v>2137</v>
      </c>
      <c r="Q24" s="5">
        <f t="shared" ref="Q24" si="16">SUM(Q21:Q23)</f>
        <v>2317</v>
      </c>
      <c r="R24" s="5">
        <f t="shared" ref="R24:W24" si="17">SUM(R21:R23)</f>
        <v>2430</v>
      </c>
      <c r="S24" s="5">
        <f t="shared" si="17"/>
        <v>2595</v>
      </c>
      <c r="T24" s="5">
        <f t="shared" si="17"/>
        <v>2696</v>
      </c>
      <c r="U24" s="5">
        <f t="shared" si="17"/>
        <v>3059</v>
      </c>
      <c r="V24" s="5">
        <f t="shared" si="17"/>
        <v>3820</v>
      </c>
      <c r="W24" s="5">
        <f t="shared" si="17"/>
        <v>4202.0000000000009</v>
      </c>
      <c r="X24" s="5">
        <f t="shared" ref="X24:AD24" si="18">SUM(X21:X23)</f>
        <v>4244.0200000000004</v>
      </c>
      <c r="Y24" s="5">
        <f t="shared" si="18"/>
        <v>4286.4602000000004</v>
      </c>
      <c r="Z24" s="5">
        <f t="shared" si="18"/>
        <v>4329.3248020000001</v>
      </c>
      <c r="AA24" s="5">
        <f t="shared" si="18"/>
        <v>4372.6180500200007</v>
      </c>
      <c r="AB24" s="5">
        <f t="shared" si="18"/>
        <v>4416.3442305201997</v>
      </c>
      <c r="AC24" s="5">
        <f t="shared" si="18"/>
        <v>4460.5076728254026</v>
      </c>
      <c r="AD24" s="5">
        <f t="shared" si="18"/>
        <v>4505.1127495536566</v>
      </c>
    </row>
    <row r="25" spans="2:177" s="4" customFormat="1" x14ac:dyDescent="0.15">
      <c r="B25" s="4" t="s">
        <v>22</v>
      </c>
      <c r="C25" s="5">
        <f t="shared" ref="C25:K25" si="19">C20-C24</f>
        <v>476</v>
      </c>
      <c r="D25" s="5">
        <f t="shared" si="19"/>
        <v>155</v>
      </c>
      <c r="E25" s="5">
        <f t="shared" si="19"/>
        <v>256</v>
      </c>
      <c r="F25" s="5">
        <f t="shared" si="19"/>
        <v>189</v>
      </c>
      <c r="G25" s="5">
        <f t="shared" si="19"/>
        <v>362</v>
      </c>
      <c r="H25" s="5">
        <f t="shared" si="19"/>
        <v>370</v>
      </c>
      <c r="I25" s="5">
        <f t="shared" si="19"/>
        <v>163</v>
      </c>
      <c r="J25" s="5">
        <f t="shared" si="19"/>
        <v>417</v>
      </c>
      <c r="K25" s="5">
        <f t="shared" si="19"/>
        <v>480</v>
      </c>
      <c r="L25" s="5">
        <f t="shared" ref="L25:N25" si="20">L20-L24</f>
        <v>378.88</v>
      </c>
      <c r="M25" s="5">
        <f t="shared" si="20"/>
        <v>431.61700000000008</v>
      </c>
      <c r="N25" s="5">
        <f t="shared" si="20"/>
        <v>466.58500000000015</v>
      </c>
      <c r="P25" s="5">
        <f t="shared" ref="P25" si="21">P20-P24</f>
        <v>905</v>
      </c>
      <c r="Q25" s="5">
        <f t="shared" ref="Q25" si="22">Q20-Q24</f>
        <v>1230</v>
      </c>
      <c r="R25" s="5">
        <f t="shared" ref="R25:W25" si="23">R20-R24</f>
        <v>1443</v>
      </c>
      <c r="S25" s="5">
        <f t="shared" si="23"/>
        <v>1033</v>
      </c>
      <c r="T25" s="5">
        <f t="shared" si="23"/>
        <v>1472</v>
      </c>
      <c r="U25" s="5">
        <f t="shared" si="23"/>
        <v>1076</v>
      </c>
      <c r="V25" s="5">
        <f t="shared" si="23"/>
        <v>1312</v>
      </c>
      <c r="W25" s="5">
        <f t="shared" si="23"/>
        <v>1491.9999999999991</v>
      </c>
      <c r="X25" s="5">
        <f t="shared" ref="X25:AD25" si="24">X20-X24</f>
        <v>1660.9699999999993</v>
      </c>
      <c r="Y25" s="5">
        <f t="shared" si="24"/>
        <v>1837.0545999999995</v>
      </c>
      <c r="Z25" s="5">
        <f t="shared" si="24"/>
        <v>2020.5117949999994</v>
      </c>
      <c r="AA25" s="5">
        <f t="shared" si="24"/>
        <v>2211.6084884799993</v>
      </c>
      <c r="AB25" s="5">
        <f t="shared" si="24"/>
        <v>2365.4091041348011</v>
      </c>
      <c r="AC25" s="5">
        <f t="shared" si="24"/>
        <v>2524.6982618692491</v>
      </c>
      <c r="AD25" s="5">
        <f t="shared" si="24"/>
        <v>2689.6493631818339</v>
      </c>
    </row>
    <row r="26" spans="2:177" s="4" customFormat="1" x14ac:dyDescent="0.15">
      <c r="B26" s="4" t="s">
        <v>33</v>
      </c>
      <c r="C26" s="5">
        <v>-3</v>
      </c>
      <c r="D26" s="5">
        <v>-10</v>
      </c>
      <c r="E26" s="5">
        <v>-6</v>
      </c>
      <c r="F26" s="5">
        <v>-10</v>
      </c>
      <c r="G26" s="5">
        <v>-14</v>
      </c>
      <c r="H26" s="5">
        <v>-14</v>
      </c>
      <c r="I26" s="5">
        <v>-11</v>
      </c>
      <c r="J26" s="5">
        <v>-9</v>
      </c>
      <c r="K26" s="5">
        <v>-5</v>
      </c>
      <c r="L26" s="5"/>
      <c r="M26" s="5"/>
      <c r="N26" s="5"/>
      <c r="P26" s="5">
        <v>-21</v>
      </c>
      <c r="Q26" s="5">
        <v>-14</v>
      </c>
      <c r="R26" s="5">
        <v>15</v>
      </c>
      <c r="S26" s="5">
        <v>83</v>
      </c>
      <c r="T26" s="5">
        <v>63</v>
      </c>
      <c r="U26" s="5">
        <v>-29</v>
      </c>
      <c r="V26" s="5">
        <v>-48</v>
      </c>
      <c r="W26" s="4">
        <f>+V26</f>
        <v>-48</v>
      </c>
      <c r="X26" s="4">
        <f>+W37*$AG$36</f>
        <v>15.596656000000003</v>
      </c>
      <c r="Y26" s="4">
        <f t="shared" ref="Y26:AD26" si="25">+X37*$AG$36</f>
        <v>29.009189247999998</v>
      </c>
      <c r="Z26" s="4">
        <f t="shared" si="25"/>
        <v>43.93769956198399</v>
      </c>
      <c r="AA26" s="4">
        <f t="shared" si="25"/>
        <v>60.453295518479862</v>
      </c>
      <c r="AB26" s="4">
        <f t="shared" si="25"/>
        <v>78.629789790467697</v>
      </c>
      <c r="AC26" s="4">
        <f t="shared" si="25"/>
        <v>98.182100941869848</v>
      </c>
      <c r="AD26" s="4">
        <f t="shared" si="25"/>
        <v>119.16514384435879</v>
      </c>
    </row>
    <row r="27" spans="2:177" s="4" customFormat="1" x14ac:dyDescent="0.15">
      <c r="B27" s="4" t="s">
        <v>32</v>
      </c>
      <c r="C27" s="5">
        <f t="shared" ref="C27:K27" si="26">+C25+C26</f>
        <v>473</v>
      </c>
      <c r="D27" s="5">
        <f t="shared" si="26"/>
        <v>145</v>
      </c>
      <c r="E27" s="5">
        <f t="shared" si="26"/>
        <v>250</v>
      </c>
      <c r="F27" s="5">
        <f t="shared" si="26"/>
        <v>179</v>
      </c>
      <c r="G27" s="5">
        <f t="shared" si="26"/>
        <v>348</v>
      </c>
      <c r="H27" s="5">
        <f t="shared" si="26"/>
        <v>356</v>
      </c>
      <c r="I27" s="5">
        <f t="shared" si="26"/>
        <v>152</v>
      </c>
      <c r="J27" s="5">
        <f t="shared" si="26"/>
        <v>408</v>
      </c>
      <c r="K27" s="5">
        <f t="shared" si="26"/>
        <v>475</v>
      </c>
      <c r="L27" s="5">
        <f t="shared" ref="L27:N27" si="27">+L25+L26</f>
        <v>378.88</v>
      </c>
      <c r="M27" s="5">
        <f t="shared" si="27"/>
        <v>431.61700000000008</v>
      </c>
      <c r="N27" s="5">
        <f t="shared" si="27"/>
        <v>466.58500000000015</v>
      </c>
      <c r="P27" s="5">
        <f t="shared" ref="P27" si="28">+P25+P26</f>
        <v>884</v>
      </c>
      <c r="Q27" s="5">
        <f t="shared" ref="Q27" si="29">+Q25+Q26</f>
        <v>1216</v>
      </c>
      <c r="R27" s="5">
        <f t="shared" ref="R27:W27" si="30">+R25+R26</f>
        <v>1458</v>
      </c>
      <c r="S27" s="5">
        <f t="shared" si="30"/>
        <v>1116</v>
      </c>
      <c r="T27" s="5">
        <f t="shared" si="30"/>
        <v>1535</v>
      </c>
      <c r="U27" s="5">
        <f t="shared" si="30"/>
        <v>1047</v>
      </c>
      <c r="V27" s="5">
        <f t="shared" si="30"/>
        <v>1264</v>
      </c>
      <c r="W27" s="5">
        <f t="shared" si="30"/>
        <v>1443.9999999999991</v>
      </c>
      <c r="X27" s="5">
        <f t="shared" ref="X27:AD27" si="31">+X25+X26</f>
        <v>1676.5666559999993</v>
      </c>
      <c r="Y27" s="5">
        <f t="shared" si="31"/>
        <v>1866.0637892479995</v>
      </c>
      <c r="Z27" s="5">
        <f t="shared" si="31"/>
        <v>2064.4494945619836</v>
      </c>
      <c r="AA27" s="5">
        <f t="shared" si="31"/>
        <v>2272.0617839984793</v>
      </c>
      <c r="AB27" s="5">
        <f t="shared" si="31"/>
        <v>2444.0388939252689</v>
      </c>
      <c r="AC27" s="5">
        <f t="shared" si="31"/>
        <v>2622.8803628111191</v>
      </c>
      <c r="AD27" s="5">
        <f t="shared" si="31"/>
        <v>2808.8145070261926</v>
      </c>
    </row>
    <row r="28" spans="2:177" s="4" customFormat="1" x14ac:dyDescent="0.15">
      <c r="B28" s="4" t="s">
        <v>31</v>
      </c>
      <c r="C28" s="5">
        <v>103</v>
      </c>
      <c r="D28" s="5">
        <v>-46</v>
      </c>
      <c r="E28" s="5">
        <v>34</v>
      </c>
      <c r="F28" s="5">
        <v>89</v>
      </c>
      <c r="G28" s="5">
        <v>104</v>
      </c>
      <c r="H28" s="5">
        <v>32</v>
      </c>
      <c r="I28" s="5">
        <v>25</v>
      </c>
      <c r="J28" s="5">
        <v>131</v>
      </c>
      <c r="K28" s="5">
        <v>125</v>
      </c>
      <c r="L28" s="5">
        <f>+L27*0.2</f>
        <v>75.775999999999996</v>
      </c>
      <c r="M28" s="5">
        <f>+M27*0.2</f>
        <v>86.323400000000021</v>
      </c>
      <c r="N28" s="5">
        <f>+N27*0.2</f>
        <v>93.317000000000036</v>
      </c>
      <c r="P28" s="5">
        <v>0</v>
      </c>
      <c r="Q28" s="5">
        <v>243</v>
      </c>
      <c r="R28" s="5">
        <v>406</v>
      </c>
      <c r="S28" s="5">
        <v>60</v>
      </c>
      <c r="T28" s="5">
        <v>0</v>
      </c>
      <c r="U28" s="5">
        <v>180</v>
      </c>
      <c r="V28" s="5">
        <v>292</v>
      </c>
      <c r="W28" s="4">
        <f>+W27*0.2</f>
        <v>288.79999999999984</v>
      </c>
      <c r="X28" s="4">
        <f t="shared" ref="X28:AD28" si="32">+X27*0.2</f>
        <v>335.31333119999988</v>
      </c>
      <c r="Y28" s="4">
        <f t="shared" si="32"/>
        <v>373.21275784959994</v>
      </c>
      <c r="Z28" s="4">
        <f t="shared" si="32"/>
        <v>412.88989891239675</v>
      </c>
      <c r="AA28" s="4">
        <f t="shared" si="32"/>
        <v>454.41235679969589</v>
      </c>
      <c r="AB28" s="4">
        <f t="shared" si="32"/>
        <v>488.80777878505381</v>
      </c>
      <c r="AC28" s="4">
        <f t="shared" si="32"/>
        <v>524.57607256222389</v>
      </c>
      <c r="AD28" s="4">
        <f t="shared" si="32"/>
        <v>561.76290140523849</v>
      </c>
    </row>
    <row r="29" spans="2:177" s="4" customFormat="1" x14ac:dyDescent="0.15">
      <c r="B29" s="4" t="s">
        <v>30</v>
      </c>
      <c r="C29" s="5">
        <f t="shared" ref="C29:N29" si="33">+C27-C28</f>
        <v>370</v>
      </c>
      <c r="D29" s="5">
        <f t="shared" si="33"/>
        <v>191</v>
      </c>
      <c r="E29" s="5">
        <f t="shared" si="33"/>
        <v>216</v>
      </c>
      <c r="F29" s="5">
        <f t="shared" si="33"/>
        <v>90</v>
      </c>
      <c r="G29" s="5">
        <f t="shared" si="33"/>
        <v>244</v>
      </c>
      <c r="H29" s="5">
        <f t="shared" si="33"/>
        <v>324</v>
      </c>
      <c r="I29" s="5">
        <f t="shared" si="33"/>
        <v>127</v>
      </c>
      <c r="J29" s="5">
        <f t="shared" si="33"/>
        <v>277</v>
      </c>
      <c r="K29" s="5">
        <f t="shared" si="33"/>
        <v>350</v>
      </c>
      <c r="L29" s="5">
        <f t="shared" si="33"/>
        <v>303.10399999999998</v>
      </c>
      <c r="M29" s="5">
        <f t="shared" si="33"/>
        <v>345.29360000000008</v>
      </c>
      <c r="N29" s="5">
        <f t="shared" si="33"/>
        <v>373.26800000000014</v>
      </c>
      <c r="P29" s="5">
        <f t="shared" ref="P29" si="34">+P27-P28</f>
        <v>884</v>
      </c>
      <c r="Q29" s="5">
        <f t="shared" ref="Q29" si="35">+Q27-Q28</f>
        <v>973</v>
      </c>
      <c r="R29" s="5">
        <f t="shared" ref="R29:W29" si="36">+R27-R28</f>
        <v>1052</v>
      </c>
      <c r="S29" s="5">
        <f t="shared" si="36"/>
        <v>1056</v>
      </c>
      <c r="T29" s="5">
        <f t="shared" si="36"/>
        <v>1535</v>
      </c>
      <c r="U29" s="5">
        <f t="shared" si="36"/>
        <v>867</v>
      </c>
      <c r="V29" s="5">
        <f t="shared" si="36"/>
        <v>972</v>
      </c>
      <c r="W29" s="5">
        <f t="shared" si="36"/>
        <v>1155.1999999999994</v>
      </c>
      <c r="X29" s="5">
        <f t="shared" ref="X29:AD29" si="37">+X27-X28</f>
        <v>1341.2533247999995</v>
      </c>
      <c r="Y29" s="5">
        <f t="shared" si="37"/>
        <v>1492.8510313983995</v>
      </c>
      <c r="Z29" s="5">
        <f t="shared" si="37"/>
        <v>1651.5595956495868</v>
      </c>
      <c r="AA29" s="5">
        <f t="shared" si="37"/>
        <v>1817.6494271987835</v>
      </c>
      <c r="AB29" s="5">
        <f t="shared" si="37"/>
        <v>1955.231115140215</v>
      </c>
      <c r="AC29" s="5">
        <f t="shared" si="37"/>
        <v>2098.3042902488951</v>
      </c>
      <c r="AD29" s="5">
        <f t="shared" si="37"/>
        <v>2247.051605620954</v>
      </c>
      <c r="AE29" s="4">
        <f>+AD29*(1+$AG$34)</f>
        <v>2224.5810895647446</v>
      </c>
      <c r="AF29" s="4">
        <f t="shared" ref="AF29:CQ29" si="38">+AE29*(1+$AG$34)</f>
        <v>2202.3352786690971</v>
      </c>
      <c r="AG29" s="4">
        <f t="shared" si="38"/>
        <v>2180.3119258824063</v>
      </c>
      <c r="AH29" s="4">
        <f t="shared" si="38"/>
        <v>2158.5088066235821</v>
      </c>
      <c r="AI29" s="4">
        <f t="shared" si="38"/>
        <v>2136.9237185573461</v>
      </c>
      <c r="AJ29" s="4">
        <f t="shared" si="38"/>
        <v>2115.5544813717725</v>
      </c>
      <c r="AK29" s="4">
        <f t="shared" si="38"/>
        <v>2094.3989365580546</v>
      </c>
      <c r="AL29" s="4">
        <f t="shared" si="38"/>
        <v>2073.4549471924743</v>
      </c>
      <c r="AM29" s="4">
        <f t="shared" si="38"/>
        <v>2052.7203977205495</v>
      </c>
      <c r="AN29" s="4">
        <f t="shared" si="38"/>
        <v>2032.193193743344</v>
      </c>
      <c r="AO29" s="4">
        <f t="shared" si="38"/>
        <v>2011.8712618059105</v>
      </c>
      <c r="AP29" s="4">
        <f t="shared" si="38"/>
        <v>1991.7525491878514</v>
      </c>
      <c r="AQ29" s="4">
        <f t="shared" si="38"/>
        <v>1971.835023695973</v>
      </c>
      <c r="AR29" s="4">
        <f t="shared" si="38"/>
        <v>1952.1166734590131</v>
      </c>
      <c r="AS29" s="4">
        <f t="shared" si="38"/>
        <v>1932.5955067244229</v>
      </c>
      <c r="AT29" s="4">
        <f t="shared" si="38"/>
        <v>1913.2695516571787</v>
      </c>
      <c r="AU29" s="4">
        <f t="shared" si="38"/>
        <v>1894.1368561406068</v>
      </c>
      <c r="AV29" s="4">
        <f t="shared" si="38"/>
        <v>1875.1954875792007</v>
      </c>
      <c r="AW29" s="4">
        <f t="shared" si="38"/>
        <v>1856.4435327034087</v>
      </c>
      <c r="AX29" s="4">
        <f t="shared" si="38"/>
        <v>1837.8790973763746</v>
      </c>
      <c r="AY29" s="4">
        <f t="shared" si="38"/>
        <v>1819.5003064026109</v>
      </c>
      <c r="AZ29" s="4">
        <f t="shared" si="38"/>
        <v>1801.3053033385847</v>
      </c>
      <c r="BA29" s="4">
        <f t="shared" si="38"/>
        <v>1783.2922503051989</v>
      </c>
      <c r="BB29" s="4">
        <f t="shared" si="38"/>
        <v>1765.4593278021468</v>
      </c>
      <c r="BC29" s="4">
        <f t="shared" si="38"/>
        <v>1747.8047345241253</v>
      </c>
      <c r="BD29" s="4">
        <f t="shared" si="38"/>
        <v>1730.326687178884</v>
      </c>
      <c r="BE29" s="4">
        <f t="shared" si="38"/>
        <v>1713.0234203070952</v>
      </c>
      <c r="BF29" s="4">
        <f t="shared" si="38"/>
        <v>1695.8931861040242</v>
      </c>
      <c r="BG29" s="4">
        <f t="shared" si="38"/>
        <v>1678.9342542429838</v>
      </c>
      <c r="BH29" s="4">
        <f t="shared" si="38"/>
        <v>1662.1449117005538</v>
      </c>
      <c r="BI29" s="4">
        <f t="shared" si="38"/>
        <v>1645.5234625835483</v>
      </c>
      <c r="BJ29" s="4">
        <f t="shared" si="38"/>
        <v>1629.0682279577127</v>
      </c>
      <c r="BK29" s="4">
        <f t="shared" si="38"/>
        <v>1612.7775456781355</v>
      </c>
      <c r="BL29" s="4">
        <f t="shared" si="38"/>
        <v>1596.6497702213542</v>
      </c>
      <c r="BM29" s="4">
        <f t="shared" si="38"/>
        <v>1580.6832725191407</v>
      </c>
      <c r="BN29" s="4">
        <f t="shared" si="38"/>
        <v>1564.8764397939492</v>
      </c>
      <c r="BO29" s="4">
        <f t="shared" si="38"/>
        <v>1549.2276753960098</v>
      </c>
      <c r="BP29" s="4">
        <f t="shared" si="38"/>
        <v>1533.7353986420496</v>
      </c>
      <c r="BQ29" s="4">
        <f t="shared" si="38"/>
        <v>1518.3980446556291</v>
      </c>
      <c r="BR29" s="4">
        <f t="shared" si="38"/>
        <v>1503.2140642090728</v>
      </c>
      <c r="BS29" s="4">
        <f t="shared" si="38"/>
        <v>1488.1819235669821</v>
      </c>
      <c r="BT29" s="4">
        <f t="shared" si="38"/>
        <v>1473.3001043313122</v>
      </c>
      <c r="BU29" s="4">
        <f t="shared" si="38"/>
        <v>1458.5671032879991</v>
      </c>
      <c r="BV29" s="4">
        <f t="shared" si="38"/>
        <v>1443.981432255119</v>
      </c>
      <c r="BW29" s="4">
        <f t="shared" si="38"/>
        <v>1429.5416179325678</v>
      </c>
      <c r="BX29" s="4">
        <f t="shared" si="38"/>
        <v>1415.2462017532421</v>
      </c>
      <c r="BY29" s="4">
        <f t="shared" si="38"/>
        <v>1401.0937397357097</v>
      </c>
      <c r="BZ29" s="4">
        <f t="shared" si="38"/>
        <v>1387.0828023383526</v>
      </c>
      <c r="CA29" s="4">
        <f t="shared" si="38"/>
        <v>1373.211974314969</v>
      </c>
      <c r="CB29" s="4">
        <f t="shared" si="38"/>
        <v>1359.4798545718193</v>
      </c>
      <c r="CC29" s="4">
        <f t="shared" si="38"/>
        <v>1345.885056026101</v>
      </c>
      <c r="CD29" s="4">
        <f t="shared" si="38"/>
        <v>1332.42620546584</v>
      </c>
      <c r="CE29" s="4">
        <f t="shared" si="38"/>
        <v>1319.1019434111815</v>
      </c>
      <c r="CF29" s="4">
        <f t="shared" si="38"/>
        <v>1305.9109239770696</v>
      </c>
      <c r="CG29" s="4">
        <f t="shared" si="38"/>
        <v>1292.8518147372988</v>
      </c>
      <c r="CH29" s="4">
        <f t="shared" si="38"/>
        <v>1279.9232965899257</v>
      </c>
      <c r="CI29" s="4">
        <f t="shared" si="38"/>
        <v>1267.1240636240263</v>
      </c>
      <c r="CJ29" s="4">
        <f t="shared" si="38"/>
        <v>1254.452822987786</v>
      </c>
      <c r="CK29" s="4">
        <f t="shared" si="38"/>
        <v>1241.9082947579082</v>
      </c>
      <c r="CL29" s="4">
        <f t="shared" si="38"/>
        <v>1229.4892118103292</v>
      </c>
      <c r="CM29" s="4">
        <f t="shared" si="38"/>
        <v>1217.1943196922259</v>
      </c>
      <c r="CN29" s="4">
        <f t="shared" si="38"/>
        <v>1205.0223764953037</v>
      </c>
      <c r="CO29" s="4">
        <f t="shared" si="38"/>
        <v>1192.9721527303507</v>
      </c>
      <c r="CP29" s="4">
        <f t="shared" si="38"/>
        <v>1181.042431203047</v>
      </c>
      <c r="CQ29" s="4">
        <f t="shared" si="38"/>
        <v>1169.2320068910165</v>
      </c>
      <c r="CR29" s="4">
        <f t="shared" ref="CR29:FC29" si="39">+CQ29*(1+$AG$34)</f>
        <v>1157.5396868221062</v>
      </c>
      <c r="CS29" s="4">
        <f t="shared" si="39"/>
        <v>1145.9642899538851</v>
      </c>
      <c r="CT29" s="4">
        <f t="shared" si="39"/>
        <v>1134.5046470543462</v>
      </c>
      <c r="CU29" s="4">
        <f t="shared" si="39"/>
        <v>1123.1596005838028</v>
      </c>
      <c r="CV29" s="4">
        <f t="shared" si="39"/>
        <v>1111.9280045779647</v>
      </c>
      <c r="CW29" s="4">
        <f t="shared" si="39"/>
        <v>1100.8087245321849</v>
      </c>
      <c r="CX29" s="4">
        <f t="shared" si="39"/>
        <v>1089.8006372868631</v>
      </c>
      <c r="CY29" s="4">
        <f t="shared" si="39"/>
        <v>1078.9026309139945</v>
      </c>
      <c r="CZ29" s="4">
        <f t="shared" si="39"/>
        <v>1068.1136046048546</v>
      </c>
      <c r="DA29" s="4">
        <f t="shared" si="39"/>
        <v>1057.432468558806</v>
      </c>
      <c r="DB29" s="4">
        <f t="shared" si="39"/>
        <v>1046.8581438732178</v>
      </c>
      <c r="DC29" s="4">
        <f t="shared" si="39"/>
        <v>1036.3895624344857</v>
      </c>
      <c r="DD29" s="4">
        <f t="shared" si="39"/>
        <v>1026.0256668101408</v>
      </c>
      <c r="DE29" s="4">
        <f t="shared" si="39"/>
        <v>1015.7654101420394</v>
      </c>
      <c r="DF29" s="4">
        <f t="shared" si="39"/>
        <v>1005.6077560406191</v>
      </c>
      <c r="DG29" s="4">
        <f t="shared" si="39"/>
        <v>995.5516784802129</v>
      </c>
      <c r="DH29" s="4">
        <f t="shared" si="39"/>
        <v>985.59616169541073</v>
      </c>
      <c r="DI29" s="4">
        <f t="shared" si="39"/>
        <v>975.74020007845661</v>
      </c>
      <c r="DJ29" s="4">
        <f t="shared" si="39"/>
        <v>965.98279807767199</v>
      </c>
      <c r="DK29" s="4">
        <f t="shared" si="39"/>
        <v>956.32297009689523</v>
      </c>
      <c r="DL29" s="4">
        <f t="shared" si="39"/>
        <v>946.75974039592631</v>
      </c>
      <c r="DM29" s="4">
        <f t="shared" si="39"/>
        <v>937.29214299196701</v>
      </c>
      <c r="DN29" s="4">
        <f t="shared" si="39"/>
        <v>927.91922156204737</v>
      </c>
      <c r="DO29" s="4">
        <f t="shared" si="39"/>
        <v>918.6400293464269</v>
      </c>
      <c r="DP29" s="4">
        <f t="shared" si="39"/>
        <v>909.45362905296258</v>
      </c>
      <c r="DQ29" s="4">
        <f t="shared" si="39"/>
        <v>900.35909276243297</v>
      </c>
      <c r="DR29" s="4">
        <f t="shared" si="39"/>
        <v>891.35550183480859</v>
      </c>
      <c r="DS29" s="4">
        <f t="shared" si="39"/>
        <v>882.44194681646047</v>
      </c>
      <c r="DT29" s="4">
        <f t="shared" si="39"/>
        <v>873.61752734829588</v>
      </c>
      <c r="DU29" s="4">
        <f t="shared" si="39"/>
        <v>864.88135207481287</v>
      </c>
      <c r="DV29" s="4">
        <f t="shared" si="39"/>
        <v>856.23253855406472</v>
      </c>
      <c r="DW29" s="4">
        <f t="shared" si="39"/>
        <v>847.67021316852401</v>
      </c>
      <c r="DX29" s="4">
        <f t="shared" si="39"/>
        <v>839.1935110368388</v>
      </c>
      <c r="DY29" s="4">
        <f t="shared" si="39"/>
        <v>830.80157592647038</v>
      </c>
      <c r="DZ29" s="4">
        <f t="shared" si="39"/>
        <v>822.49356016720571</v>
      </c>
      <c r="EA29" s="4">
        <f t="shared" si="39"/>
        <v>814.26862456553363</v>
      </c>
      <c r="EB29" s="4">
        <f t="shared" si="39"/>
        <v>806.12593831987829</v>
      </c>
      <c r="EC29" s="4">
        <f t="shared" si="39"/>
        <v>798.06467893667946</v>
      </c>
      <c r="ED29" s="4">
        <f t="shared" si="39"/>
        <v>790.08403214731266</v>
      </c>
      <c r="EE29" s="4">
        <f t="shared" si="39"/>
        <v>782.18319182583957</v>
      </c>
      <c r="EF29" s="4">
        <f t="shared" si="39"/>
        <v>774.36135990758112</v>
      </c>
      <c r="EG29" s="4">
        <f t="shared" si="39"/>
        <v>766.61774630850528</v>
      </c>
      <c r="EH29" s="4">
        <f t="shared" si="39"/>
        <v>758.95156884542018</v>
      </c>
      <c r="EI29" s="4">
        <f t="shared" si="39"/>
        <v>751.362053156966</v>
      </c>
      <c r="EJ29" s="4">
        <f t="shared" si="39"/>
        <v>743.8484326253963</v>
      </c>
      <c r="EK29" s="4">
        <f t="shared" si="39"/>
        <v>736.40994829914234</v>
      </c>
      <c r="EL29" s="4">
        <f t="shared" si="39"/>
        <v>729.04584881615096</v>
      </c>
      <c r="EM29" s="4">
        <f t="shared" si="39"/>
        <v>721.7553903279894</v>
      </c>
      <c r="EN29" s="4">
        <f t="shared" si="39"/>
        <v>714.53783642470955</v>
      </c>
      <c r="EO29" s="4">
        <f t="shared" si="39"/>
        <v>707.39245806046245</v>
      </c>
      <c r="EP29" s="4">
        <f t="shared" si="39"/>
        <v>700.31853347985782</v>
      </c>
      <c r="EQ29" s="4">
        <f t="shared" si="39"/>
        <v>693.31534814505926</v>
      </c>
      <c r="ER29" s="4">
        <f t="shared" si="39"/>
        <v>686.38219466360863</v>
      </c>
      <c r="ES29" s="4">
        <f t="shared" si="39"/>
        <v>679.51837271697252</v>
      </c>
      <c r="ET29" s="4">
        <f t="shared" si="39"/>
        <v>672.72318898980279</v>
      </c>
      <c r="EU29" s="4">
        <f t="shared" si="39"/>
        <v>665.99595709990479</v>
      </c>
      <c r="EV29" s="4">
        <f t="shared" si="39"/>
        <v>659.33599752890575</v>
      </c>
      <c r="EW29" s="4">
        <f t="shared" si="39"/>
        <v>652.74263755361665</v>
      </c>
      <c r="EX29" s="4">
        <f t="shared" si="39"/>
        <v>646.21521117808049</v>
      </c>
      <c r="EY29" s="4">
        <f t="shared" si="39"/>
        <v>639.75305906629967</v>
      </c>
      <c r="EZ29" s="4">
        <f t="shared" si="39"/>
        <v>633.35552847563667</v>
      </c>
      <c r="FA29" s="4">
        <f t="shared" si="39"/>
        <v>627.02197319088032</v>
      </c>
      <c r="FB29" s="4">
        <f t="shared" si="39"/>
        <v>620.75175345897151</v>
      </c>
      <c r="FC29" s="4">
        <f t="shared" si="39"/>
        <v>614.54423592438184</v>
      </c>
      <c r="FD29" s="4">
        <f t="shared" ref="FD29:FU29" si="40">+FC29*(1+$AG$34)</f>
        <v>608.39879356513802</v>
      </c>
      <c r="FE29" s="4">
        <f t="shared" si="40"/>
        <v>602.31480562948661</v>
      </c>
      <c r="FF29" s="4">
        <f t="shared" si="40"/>
        <v>596.29165757319174</v>
      </c>
      <c r="FG29" s="4">
        <f t="shared" si="40"/>
        <v>590.32874099745982</v>
      </c>
      <c r="FH29" s="4">
        <f t="shared" si="40"/>
        <v>584.42545358748521</v>
      </c>
      <c r="FI29" s="4">
        <f t="shared" si="40"/>
        <v>578.58119905161038</v>
      </c>
      <c r="FJ29" s="4">
        <f t="shared" si="40"/>
        <v>572.79538706109429</v>
      </c>
      <c r="FK29" s="4">
        <f t="shared" si="40"/>
        <v>567.06743319048337</v>
      </c>
      <c r="FL29" s="4">
        <f t="shared" si="40"/>
        <v>561.39675885857855</v>
      </c>
      <c r="FM29" s="4">
        <f t="shared" si="40"/>
        <v>555.7827912699928</v>
      </c>
      <c r="FN29" s="4">
        <f t="shared" si="40"/>
        <v>550.22496335729284</v>
      </c>
      <c r="FO29" s="4">
        <f t="shared" si="40"/>
        <v>544.72271372371995</v>
      </c>
      <c r="FP29" s="4">
        <f t="shared" si="40"/>
        <v>539.27548658648277</v>
      </c>
      <c r="FQ29" s="4">
        <f t="shared" si="40"/>
        <v>533.88273172061793</v>
      </c>
      <c r="FR29" s="4">
        <f t="shared" si="40"/>
        <v>528.54390440341172</v>
      </c>
      <c r="FS29" s="4">
        <f t="shared" si="40"/>
        <v>523.25846535937762</v>
      </c>
      <c r="FT29" s="4">
        <f t="shared" si="40"/>
        <v>518.02588070578383</v>
      </c>
      <c r="FU29" s="4">
        <f t="shared" si="40"/>
        <v>512.84562189872599</v>
      </c>
    </row>
    <row r="30" spans="2:177" x14ac:dyDescent="0.15">
      <c r="B30" t="s">
        <v>29</v>
      </c>
      <c r="C30" s="3">
        <f t="shared" ref="C30:K30" si="41">+C29/C31</f>
        <v>1.2671232876712328</v>
      </c>
      <c r="D30" s="3">
        <f t="shared" si="41"/>
        <v>0.65187713310580209</v>
      </c>
      <c r="E30" s="3">
        <f t="shared" si="41"/>
        <v>0.73972602739726023</v>
      </c>
      <c r="F30" s="3">
        <f t="shared" si="41"/>
        <v>0.31034482758620691</v>
      </c>
      <c r="G30" s="3">
        <f t="shared" si="41"/>
        <v>0.84429065743944631</v>
      </c>
      <c r="H30" s="3">
        <f t="shared" si="41"/>
        <v>1.1289198606271778</v>
      </c>
      <c r="I30" s="3">
        <f t="shared" si="41"/>
        <v>0.4456140350877193</v>
      </c>
      <c r="J30" s="3">
        <f t="shared" si="41"/>
        <v>0.97879858657243812</v>
      </c>
      <c r="K30" s="3">
        <f t="shared" si="41"/>
        <v>1.2455516014234875</v>
      </c>
      <c r="L30" s="3">
        <f t="shared" ref="L30:N30" si="42">+L29/L31</f>
        <v>1.078661921708185</v>
      </c>
      <c r="M30" s="3">
        <f t="shared" si="42"/>
        <v>1.2288028469750893</v>
      </c>
      <c r="N30" s="3">
        <f t="shared" si="42"/>
        <v>1.3283558718861215</v>
      </c>
      <c r="P30" s="3">
        <f t="shared" ref="P30" si="43">+P29/P31</f>
        <v>2.6787878787878787</v>
      </c>
      <c r="Q30" s="3">
        <f t="shared" ref="Q30" si="44">+Q29/Q31</f>
        <v>3.0987261146496814</v>
      </c>
      <c r="R30" s="3">
        <f t="shared" ref="R30:W30" si="45">+R29/R31</f>
        <v>3.3717948717948718</v>
      </c>
      <c r="S30" s="3">
        <f t="shared" si="45"/>
        <v>3.4509803921568629</v>
      </c>
      <c r="T30" s="3">
        <f t="shared" si="45"/>
        <v>5.2033898305084749</v>
      </c>
      <c r="U30" s="3">
        <f t="shared" si="45"/>
        <v>2.9691780821917808</v>
      </c>
      <c r="V30" s="3">
        <f t="shared" si="45"/>
        <v>3.3986013986013988</v>
      </c>
      <c r="W30" s="3">
        <f t="shared" si="45"/>
        <v>4.0391608391608367</v>
      </c>
      <c r="X30" s="3">
        <f t="shared" ref="X30:AD30" si="46">+X29/X31</f>
        <v>4.6896969398601378</v>
      </c>
      <c r="Y30" s="3">
        <f t="shared" si="46"/>
        <v>5.2197588510433546</v>
      </c>
      <c r="Z30" s="3">
        <f t="shared" si="46"/>
        <v>5.7746839008726809</v>
      </c>
      <c r="AA30" s="3">
        <f t="shared" si="46"/>
        <v>6.3554175776181241</v>
      </c>
      <c r="AB30" s="3">
        <f t="shared" si="46"/>
        <v>6.8364724305601925</v>
      </c>
      <c r="AC30" s="3">
        <f t="shared" si="46"/>
        <v>7.3367282875835489</v>
      </c>
      <c r="AD30" s="3">
        <f t="shared" si="46"/>
        <v>7.8568237958774612</v>
      </c>
    </row>
    <row r="31" spans="2:177" s="4" customFormat="1" x14ac:dyDescent="0.15">
      <c r="B31" s="4" t="s">
        <v>1</v>
      </c>
      <c r="C31" s="5">
        <v>292</v>
      </c>
      <c r="D31" s="5">
        <v>293</v>
      </c>
      <c r="E31" s="5">
        <v>292</v>
      </c>
      <c r="F31" s="5">
        <v>290</v>
      </c>
      <c r="G31" s="5">
        <v>289</v>
      </c>
      <c r="H31" s="5">
        <v>287</v>
      </c>
      <c r="I31" s="5">
        <v>285</v>
      </c>
      <c r="J31" s="5">
        <v>283</v>
      </c>
      <c r="K31" s="5">
        <v>281</v>
      </c>
      <c r="L31" s="5">
        <f>+K31</f>
        <v>281</v>
      </c>
      <c r="M31" s="5">
        <f>+L31</f>
        <v>281</v>
      </c>
      <c r="N31" s="5">
        <f>+M31</f>
        <v>281</v>
      </c>
      <c r="P31" s="5">
        <v>330</v>
      </c>
      <c r="Q31" s="5">
        <v>314</v>
      </c>
      <c r="R31" s="5">
        <v>312</v>
      </c>
      <c r="S31" s="5">
        <v>306</v>
      </c>
      <c r="T31" s="5">
        <v>295</v>
      </c>
      <c r="U31" s="5">
        <v>292</v>
      </c>
      <c r="V31" s="5">
        <v>286</v>
      </c>
      <c r="W31" s="4">
        <f>+V31</f>
        <v>286</v>
      </c>
      <c r="X31" s="4">
        <f t="shared" ref="X31:AD31" si="47">+W31</f>
        <v>286</v>
      </c>
      <c r="Y31" s="4">
        <f t="shared" si="47"/>
        <v>286</v>
      </c>
      <c r="Z31" s="4">
        <f t="shared" si="47"/>
        <v>286</v>
      </c>
      <c r="AA31" s="4">
        <f t="shared" si="47"/>
        <v>286</v>
      </c>
      <c r="AB31" s="4">
        <f t="shared" si="47"/>
        <v>286</v>
      </c>
      <c r="AC31" s="4">
        <f t="shared" si="47"/>
        <v>286</v>
      </c>
      <c r="AD31" s="4">
        <f t="shared" si="47"/>
        <v>286</v>
      </c>
    </row>
    <row r="33" spans="2:33" x14ac:dyDescent="0.15">
      <c r="B33" s="4" t="s">
        <v>40</v>
      </c>
      <c r="D33" s="10"/>
      <c r="E33" s="10"/>
      <c r="F33" s="10"/>
      <c r="G33" s="10">
        <f>G18/C18-1</f>
        <v>6.3056888279643619E-2</v>
      </c>
      <c r="H33" s="10">
        <f>H18/D18-1</f>
        <v>0.58644656820156382</v>
      </c>
      <c r="I33" s="10">
        <f>I18/E18-1</f>
        <v>6.9336521219366398E-2</v>
      </c>
      <c r="J33" s="10">
        <f>J18/F18-1</f>
        <v>0.35586924219910854</v>
      </c>
      <c r="K33" s="10">
        <f>K18/G18-1</f>
        <v>0.13926499032882012</v>
      </c>
      <c r="Q33" s="9">
        <f t="shared" ref="Q33:W33" si="48">Q18/P18-1</f>
        <v>0.10213830755232034</v>
      </c>
      <c r="R33" s="9">
        <f t="shared" si="48"/>
        <v>6.2951496388028882E-2</v>
      </c>
      <c r="S33" s="9">
        <f t="shared" si="48"/>
        <v>-3.8834951456310662E-2</v>
      </c>
      <c r="T33" s="9">
        <f t="shared" si="48"/>
        <v>0.11858585858585857</v>
      </c>
      <c r="U33" s="9">
        <f t="shared" si="48"/>
        <v>1.6615495755824439E-2</v>
      </c>
      <c r="V33" s="9">
        <f t="shared" si="48"/>
        <v>0.24196127198436668</v>
      </c>
      <c r="W33" s="9">
        <f t="shared" si="48"/>
        <v>0.11572021170075808</v>
      </c>
      <c r="X33" s="9">
        <f t="shared" ref="X33:AD33" si="49">X18/W18-1</f>
        <v>3.0000000000000027E-2</v>
      </c>
      <c r="Y33" s="9">
        <f t="shared" si="49"/>
        <v>3.0000000000000027E-2</v>
      </c>
      <c r="Z33" s="9">
        <f t="shared" si="49"/>
        <v>3.0000000000000027E-2</v>
      </c>
      <c r="AA33" s="9">
        <f t="shared" si="49"/>
        <v>3.0000000000000027E-2</v>
      </c>
      <c r="AB33" s="9">
        <f t="shared" si="49"/>
        <v>3.0000000000000027E-2</v>
      </c>
      <c r="AC33" s="9">
        <f t="shared" si="49"/>
        <v>3.0000000000000027E-2</v>
      </c>
      <c r="AD33" s="9">
        <f t="shared" si="49"/>
        <v>3.0000000000000027E-2</v>
      </c>
    </row>
    <row r="34" spans="2:33" x14ac:dyDescent="0.15">
      <c r="B34" s="4" t="s">
        <v>108</v>
      </c>
      <c r="D34" s="10"/>
      <c r="E34" s="10"/>
      <c r="F34" s="10"/>
      <c r="G34" s="9">
        <f>+G20/G18</f>
        <v>0.79690522243713735</v>
      </c>
      <c r="H34" s="9">
        <f>+H20/H18</f>
        <v>0.72946330777656077</v>
      </c>
      <c r="I34" s="9">
        <f>+I20/I18</f>
        <v>0.64728898826159864</v>
      </c>
      <c r="J34" s="9">
        <f>+J20/J18</f>
        <v>0.7704109589041096</v>
      </c>
      <c r="K34" s="9">
        <f>+K20/K18</f>
        <v>0.82229767968307865</v>
      </c>
      <c r="P34" s="9">
        <f>+P20/P18</f>
        <v>0.69199272065514106</v>
      </c>
      <c r="Q34" s="9">
        <f t="shared" ref="Q34:V34" si="50">+Q20/Q18</f>
        <v>0.7320949432404541</v>
      </c>
      <c r="R34" s="9">
        <f t="shared" si="50"/>
        <v>0.75203883495145629</v>
      </c>
      <c r="S34" s="9">
        <f t="shared" si="50"/>
        <v>0.73292929292929287</v>
      </c>
      <c r="T34" s="9">
        <f t="shared" si="50"/>
        <v>0.75275419902474261</v>
      </c>
      <c r="U34" s="9">
        <f t="shared" si="50"/>
        <v>0.7345887368982057</v>
      </c>
      <c r="V34" s="9">
        <f t="shared" si="50"/>
        <v>0.73408668287798595</v>
      </c>
      <c r="W34" s="9">
        <f t="shared" ref="W34:AD34" si="51">+W20/W18</f>
        <v>0.73</v>
      </c>
      <c r="X34" s="9">
        <f t="shared" si="51"/>
        <v>0.73499999999999999</v>
      </c>
      <c r="Y34" s="9">
        <f t="shared" si="51"/>
        <v>0.74</v>
      </c>
      <c r="Z34" s="9">
        <f t="shared" si="51"/>
        <v>0.745</v>
      </c>
      <c r="AA34" s="9">
        <f t="shared" si="51"/>
        <v>0.75</v>
      </c>
      <c r="AB34" s="9">
        <f t="shared" si="51"/>
        <v>0.75</v>
      </c>
      <c r="AC34" s="9">
        <f t="shared" si="51"/>
        <v>0.75</v>
      </c>
      <c r="AD34" s="9">
        <f t="shared" si="51"/>
        <v>0.75</v>
      </c>
      <c r="AF34" t="s">
        <v>120</v>
      </c>
      <c r="AG34" s="9">
        <v>-0.01</v>
      </c>
    </row>
    <row r="35" spans="2:33" x14ac:dyDescent="0.15">
      <c r="B35" s="4" t="s">
        <v>109</v>
      </c>
      <c r="D35" s="10"/>
      <c r="E35" s="10"/>
      <c r="F35" s="10"/>
      <c r="G35" s="9">
        <f>+G25/G18</f>
        <v>0.23339780786589298</v>
      </c>
      <c r="H35" s="9">
        <f>+H25/H18</f>
        <v>0.20262869660460023</v>
      </c>
      <c r="I35" s="9">
        <f>+I25/I18</f>
        <v>9.1112353269983237E-2</v>
      </c>
      <c r="J35" s="9">
        <f>+J25/J18</f>
        <v>0.22849315068493151</v>
      </c>
      <c r="K35" s="9">
        <f>+K25/K18</f>
        <v>0.27164685908319186</v>
      </c>
      <c r="P35" s="9">
        <f>+P25/P18</f>
        <v>0.20586897179253869</v>
      </c>
      <c r="Q35" s="9">
        <f t="shared" ref="Q35:V35" si="52">+Q25/Q18</f>
        <v>0.25386996904024767</v>
      </c>
      <c r="R35" s="9">
        <f t="shared" si="52"/>
        <v>0.28019417475728153</v>
      </c>
      <c r="S35" s="9">
        <f t="shared" si="52"/>
        <v>0.2086868686868687</v>
      </c>
      <c r="T35" s="9">
        <f t="shared" si="52"/>
        <v>0.26584793209319124</v>
      </c>
      <c r="U35" s="9">
        <f t="shared" si="52"/>
        <v>0.19115295789660686</v>
      </c>
      <c r="V35" s="9">
        <f t="shared" si="52"/>
        <v>0.18766986125017879</v>
      </c>
      <c r="W35" s="9">
        <f t="shared" ref="W35:AD35" si="53">+W25/W18</f>
        <v>0.19128205128205117</v>
      </c>
      <c r="X35" s="9">
        <f t="shared" si="53"/>
        <v>0.2067425939756036</v>
      </c>
      <c r="Y35" s="9">
        <f t="shared" si="53"/>
        <v>0.22200001933530061</v>
      </c>
      <c r="Z35" s="9">
        <f t="shared" si="53"/>
        <v>0.23705827138704239</v>
      </c>
      <c r="AA35" s="9">
        <f t="shared" si="53"/>
        <v>0.25192121757370173</v>
      </c>
      <c r="AB35" s="9">
        <f t="shared" si="53"/>
        <v>0.26159265024217371</v>
      </c>
      <c r="AC35" s="9">
        <f t="shared" si="53"/>
        <v>0.27107628810154893</v>
      </c>
      <c r="AD35" s="9">
        <f t="shared" si="53"/>
        <v>0.28037577765297511</v>
      </c>
      <c r="AF35" t="s">
        <v>121</v>
      </c>
      <c r="AG35" s="12">
        <v>0.06</v>
      </c>
    </row>
    <row r="36" spans="2:33" x14ac:dyDescent="0.15">
      <c r="AF36" t="s">
        <v>124</v>
      </c>
      <c r="AG36" s="9">
        <v>0.01</v>
      </c>
    </row>
    <row r="37" spans="2:33" x14ac:dyDescent="0.15">
      <c r="B37" s="4" t="s">
        <v>123</v>
      </c>
      <c r="G37" s="5">
        <f>+G38-G50</f>
        <v>1842</v>
      </c>
      <c r="H37" s="5">
        <f t="shared" ref="H37:K37" si="54">+H38-H50</f>
        <v>95</v>
      </c>
      <c r="I37" s="5">
        <f t="shared" si="54"/>
        <v>1138</v>
      </c>
      <c r="J37" s="5">
        <f t="shared" si="54"/>
        <v>1184</v>
      </c>
      <c r="K37" s="5">
        <f t="shared" si="54"/>
        <v>538</v>
      </c>
      <c r="L37" s="5">
        <f>+K37+L29</f>
        <v>841.10400000000004</v>
      </c>
      <c r="M37" s="5">
        <f>+L37+M29</f>
        <v>1186.3976000000002</v>
      </c>
      <c r="N37" s="5">
        <f>+M37+N29</f>
        <v>1559.6656000000003</v>
      </c>
      <c r="W37" s="4">
        <f>+N37</f>
        <v>1559.6656000000003</v>
      </c>
      <c r="X37" s="4">
        <f>+W37+X29</f>
        <v>2900.9189247999998</v>
      </c>
      <c r="Y37" s="4">
        <f t="shared" ref="Y37:AD37" si="55">+X37+Y29</f>
        <v>4393.7699561983991</v>
      </c>
      <c r="Z37" s="4">
        <f t="shared" si="55"/>
        <v>6045.3295518479863</v>
      </c>
      <c r="AA37" s="4">
        <f t="shared" si="55"/>
        <v>7862.9789790467694</v>
      </c>
      <c r="AB37" s="4">
        <f t="shared" si="55"/>
        <v>9818.2100941869849</v>
      </c>
      <c r="AC37" s="4">
        <f t="shared" si="55"/>
        <v>11916.514384435879</v>
      </c>
      <c r="AD37" s="4">
        <f t="shared" si="55"/>
        <v>14163.565990056833</v>
      </c>
      <c r="AF37" t="s">
        <v>122</v>
      </c>
      <c r="AG37" s="4">
        <f>NPV(AG35,W29:FZ29)+Main!N5-Main!N6</f>
        <v>30863.201228005775</v>
      </c>
    </row>
    <row r="38" spans="2:33" s="4" customFormat="1" x14ac:dyDescent="0.15">
      <c r="B38" s="4" t="s">
        <v>3</v>
      </c>
      <c r="C38" s="5"/>
      <c r="D38" s="5"/>
      <c r="E38" s="5"/>
      <c r="F38" s="5"/>
      <c r="G38" s="5">
        <f>2838+881</f>
        <v>3719</v>
      </c>
      <c r="H38" s="5">
        <f>1630+342</f>
        <v>1972</v>
      </c>
      <c r="I38" s="5">
        <f>2670+346</f>
        <v>3016</v>
      </c>
      <c r="J38" s="5">
        <f>2732+330</f>
        <v>3062</v>
      </c>
      <c r="K38" s="5">
        <f>2082+334</f>
        <v>2416</v>
      </c>
      <c r="L38" s="5"/>
      <c r="M38" s="5"/>
      <c r="N38" s="5"/>
      <c r="AF38" s="4" t="s">
        <v>125</v>
      </c>
      <c r="AG38" s="13">
        <f>AG37/Main!N3</f>
        <v>109.83345632742268</v>
      </c>
    </row>
    <row r="39" spans="2:33" s="4" customFormat="1" x14ac:dyDescent="0.15">
      <c r="B39" s="4" t="s">
        <v>62</v>
      </c>
      <c r="C39" s="5"/>
      <c r="D39" s="5"/>
      <c r="E39" s="5"/>
      <c r="F39" s="5"/>
      <c r="G39" s="5">
        <v>557</v>
      </c>
      <c r="H39" s="5">
        <v>1031</v>
      </c>
      <c r="I39" s="5">
        <v>965</v>
      </c>
      <c r="J39" s="5">
        <v>650</v>
      </c>
      <c r="K39" s="5">
        <v>579</v>
      </c>
      <c r="L39" s="5"/>
      <c r="M39" s="5"/>
      <c r="N39" s="5"/>
      <c r="AF39" s="4" t="s">
        <v>126</v>
      </c>
      <c r="AG39" s="9">
        <f>AG38/Main!N2-1</f>
        <v>-0.17844673253479926</v>
      </c>
    </row>
    <row r="40" spans="2:33" s="4" customFormat="1" x14ac:dyDescent="0.15">
      <c r="B40" s="4" t="s">
        <v>63</v>
      </c>
      <c r="C40" s="5"/>
      <c r="D40" s="5"/>
      <c r="E40" s="5"/>
      <c r="F40" s="5"/>
      <c r="G40" s="5">
        <v>401</v>
      </c>
      <c r="H40" s="5">
        <v>387</v>
      </c>
      <c r="I40" s="5">
        <v>377</v>
      </c>
      <c r="J40" s="5">
        <v>439</v>
      </c>
      <c r="K40" s="5">
        <v>522</v>
      </c>
      <c r="L40" s="5"/>
      <c r="M40" s="5"/>
      <c r="N40" s="5"/>
    </row>
    <row r="41" spans="2:33" s="4" customFormat="1" x14ac:dyDescent="0.15">
      <c r="B41" s="4" t="s">
        <v>64</v>
      </c>
      <c r="C41" s="5"/>
      <c r="D41" s="5"/>
      <c r="E41" s="5"/>
      <c r="F41" s="5"/>
      <c r="G41" s="5">
        <v>510</v>
      </c>
      <c r="H41" s="5">
        <v>516</v>
      </c>
      <c r="I41" s="5">
        <v>522</v>
      </c>
      <c r="J41" s="5">
        <v>550</v>
      </c>
      <c r="K41" s="5">
        <v>545</v>
      </c>
      <c r="L41" s="5"/>
      <c r="M41" s="5"/>
      <c r="N41" s="5"/>
    </row>
    <row r="42" spans="2:33" s="4" customFormat="1" x14ac:dyDescent="0.15">
      <c r="B42" s="4" t="s">
        <v>65</v>
      </c>
      <c r="C42" s="5"/>
      <c r="D42" s="5"/>
      <c r="E42" s="5"/>
      <c r="F42" s="5"/>
      <c r="G42" s="5">
        <f>4256+909</f>
        <v>5165</v>
      </c>
      <c r="H42" s="5">
        <f>5459+1080</f>
        <v>6539</v>
      </c>
      <c r="I42" s="5">
        <f>5389+1052</f>
        <v>6441</v>
      </c>
      <c r="J42" s="5">
        <f>5387+962</f>
        <v>6349</v>
      </c>
      <c r="K42" s="5">
        <f>5382+893</f>
        <v>6275</v>
      </c>
      <c r="L42" s="5"/>
      <c r="M42" s="5"/>
      <c r="N42" s="5"/>
    </row>
    <row r="43" spans="2:33" s="4" customFormat="1" x14ac:dyDescent="0.15">
      <c r="B43" s="4" t="s">
        <v>66</v>
      </c>
      <c r="C43" s="5"/>
      <c r="D43" s="5"/>
      <c r="E43" s="5"/>
      <c r="F43" s="5"/>
      <c r="G43" s="5">
        <v>1960</v>
      </c>
      <c r="H43" s="5">
        <v>2139</v>
      </c>
      <c r="I43" s="5">
        <v>2130</v>
      </c>
      <c r="J43" s="5">
        <v>2243</v>
      </c>
      <c r="K43" s="5">
        <v>2327</v>
      </c>
      <c r="L43" s="5"/>
      <c r="M43" s="5"/>
      <c r="N43" s="5"/>
    </row>
    <row r="44" spans="2:33" s="4" customFormat="1" x14ac:dyDescent="0.15">
      <c r="B44" s="4" t="s">
        <v>67</v>
      </c>
      <c r="C44" s="5"/>
      <c r="D44" s="5"/>
      <c r="E44" s="5"/>
      <c r="F44" s="5"/>
      <c r="G44" s="5">
        <v>422</v>
      </c>
      <c r="H44" s="5">
        <v>435</v>
      </c>
      <c r="I44" s="5">
        <v>479</v>
      </c>
      <c r="J44" s="5">
        <v>507</v>
      </c>
      <c r="K44" s="5">
        <v>528</v>
      </c>
      <c r="L44" s="5"/>
      <c r="M44" s="5"/>
      <c r="N44" s="5"/>
    </row>
    <row r="45" spans="2:33" s="4" customFormat="1" x14ac:dyDescent="0.15">
      <c r="B45" s="4" t="s">
        <v>61</v>
      </c>
      <c r="C45" s="5"/>
      <c r="D45" s="5"/>
      <c r="E45" s="5"/>
      <c r="F45" s="5"/>
      <c r="G45" s="5">
        <f t="shared" ref="G45" si="56">SUM(G38:G44)</f>
        <v>12734</v>
      </c>
      <c r="H45" s="5">
        <f t="shared" ref="H45" si="57">SUM(H38:H44)</f>
        <v>13019</v>
      </c>
      <c r="I45" s="5">
        <f t="shared" ref="I45" si="58">SUM(I38:I44)</f>
        <v>13930</v>
      </c>
      <c r="J45" s="5">
        <f t="shared" ref="J45" si="59">SUM(J38:J44)</f>
        <v>13800</v>
      </c>
      <c r="K45" s="5">
        <f>SUM(K38:K44)</f>
        <v>13192</v>
      </c>
      <c r="L45" s="5"/>
      <c r="M45" s="5"/>
      <c r="N45" s="5"/>
    </row>
    <row r="46" spans="2:33" s="4" customFormat="1" x14ac:dyDescent="0.1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33" s="4" customFormat="1" x14ac:dyDescent="0.15">
      <c r="B47" s="4" t="s">
        <v>68</v>
      </c>
      <c r="C47" s="5"/>
      <c r="D47" s="5"/>
      <c r="E47" s="5"/>
      <c r="F47" s="5"/>
      <c r="G47" s="5">
        <v>73</v>
      </c>
      <c r="H47" s="5">
        <v>136</v>
      </c>
      <c r="I47" s="5">
        <v>86</v>
      </c>
      <c r="J47" s="5">
        <v>101</v>
      </c>
      <c r="K47" s="5">
        <v>70</v>
      </c>
      <c r="L47" s="5"/>
      <c r="M47" s="5"/>
      <c r="N47" s="5"/>
    </row>
    <row r="48" spans="2:33" s="4" customFormat="1" x14ac:dyDescent="0.15">
      <c r="B48" s="4" t="s">
        <v>70</v>
      </c>
      <c r="C48" s="5"/>
      <c r="D48" s="5"/>
      <c r="E48" s="5"/>
      <c r="F48" s="5"/>
      <c r="G48" s="5">
        <v>1093</v>
      </c>
      <c r="H48" s="5">
        <v>1119</v>
      </c>
      <c r="I48" s="5">
        <v>1443</v>
      </c>
      <c r="J48" s="5">
        <v>1388</v>
      </c>
      <c r="K48" s="5">
        <v>1215</v>
      </c>
      <c r="L48" s="5"/>
      <c r="M48" s="5"/>
      <c r="N48" s="5"/>
    </row>
    <row r="49" spans="2:14" s="4" customFormat="1" x14ac:dyDescent="0.15">
      <c r="B49" s="4" t="s">
        <v>69</v>
      </c>
      <c r="C49" s="5"/>
      <c r="D49" s="5"/>
      <c r="E49" s="5"/>
      <c r="F49" s="5"/>
      <c r="G49" s="5">
        <v>1305</v>
      </c>
      <c r="H49" s="5">
        <v>1322</v>
      </c>
      <c r="I49" s="5">
        <v>2101</v>
      </c>
      <c r="J49" s="5">
        <v>2024</v>
      </c>
      <c r="K49" s="5">
        <v>1548</v>
      </c>
      <c r="L49" s="5"/>
      <c r="M49" s="5"/>
      <c r="N49" s="5"/>
    </row>
    <row r="50" spans="2:14" s="4" customFormat="1" x14ac:dyDescent="0.15">
      <c r="B50" s="4" t="s">
        <v>4</v>
      </c>
      <c r="C50" s="5"/>
      <c r="D50" s="5"/>
      <c r="E50" s="5"/>
      <c r="F50" s="5"/>
      <c r="G50" s="5">
        <v>1877</v>
      </c>
      <c r="H50" s="5">
        <v>1877</v>
      </c>
      <c r="I50" s="5">
        <v>1878</v>
      </c>
      <c r="J50" s="5">
        <v>1878</v>
      </c>
      <c r="K50" s="5">
        <v>1878</v>
      </c>
      <c r="L50" s="5"/>
      <c r="M50" s="5"/>
      <c r="N50" s="5"/>
    </row>
    <row r="51" spans="2:14" s="4" customFormat="1" x14ac:dyDescent="0.15">
      <c r="B51" s="4" t="s">
        <v>31</v>
      </c>
      <c r="C51" s="5"/>
      <c r="D51" s="5"/>
      <c r="E51" s="5"/>
      <c r="F51" s="5"/>
      <c r="G51" s="5">
        <f>321+24</f>
        <v>345</v>
      </c>
      <c r="H51" s="5">
        <f>318+68</f>
        <v>386</v>
      </c>
      <c r="I51" s="5">
        <f>326+75</f>
        <v>401</v>
      </c>
      <c r="J51" s="5">
        <f>386+1</f>
        <v>387</v>
      </c>
      <c r="K51" s="5">
        <f>438+1</f>
        <v>439</v>
      </c>
      <c r="L51" s="5"/>
      <c r="M51" s="5"/>
      <c r="N51" s="5"/>
    </row>
    <row r="52" spans="2:14" s="4" customFormat="1" x14ac:dyDescent="0.15">
      <c r="B52" s="4" t="s">
        <v>67</v>
      </c>
      <c r="C52" s="5"/>
      <c r="D52" s="5"/>
      <c r="E52" s="5"/>
      <c r="F52" s="5"/>
      <c r="G52" s="5">
        <v>313</v>
      </c>
      <c r="H52" s="5">
        <v>323</v>
      </c>
      <c r="I52" s="5">
        <v>404</v>
      </c>
      <c r="J52" s="5">
        <v>397</v>
      </c>
      <c r="K52" s="5">
        <v>401</v>
      </c>
      <c r="L52" s="5"/>
      <c r="M52" s="5"/>
      <c r="N52" s="5"/>
    </row>
    <row r="53" spans="2:14" s="4" customFormat="1" x14ac:dyDescent="0.15">
      <c r="B53" s="4" t="s">
        <v>72</v>
      </c>
      <c r="C53" s="5"/>
      <c r="D53" s="5"/>
      <c r="E53" s="5"/>
      <c r="F53" s="5"/>
      <c r="G53" s="5">
        <v>7728</v>
      </c>
      <c r="H53" s="5">
        <v>7856</v>
      </c>
      <c r="I53" s="5">
        <v>7617</v>
      </c>
      <c r="J53" s="5">
        <v>7625</v>
      </c>
      <c r="K53" s="5">
        <v>7641</v>
      </c>
      <c r="L53" s="5"/>
      <c r="M53" s="5"/>
      <c r="N53" s="5"/>
    </row>
    <row r="54" spans="2:14" s="4" customFormat="1" x14ac:dyDescent="0.15">
      <c r="B54" s="4" t="s">
        <v>71</v>
      </c>
      <c r="C54" s="5"/>
      <c r="D54" s="5"/>
      <c r="E54" s="5"/>
      <c r="F54" s="5"/>
      <c r="G54" s="5">
        <f t="shared" ref="G54" si="60">SUM(G47:G53)</f>
        <v>12734</v>
      </c>
      <c r="H54" s="5">
        <f t="shared" ref="H54" si="61">SUM(H47:H53)</f>
        <v>13019</v>
      </c>
      <c r="I54" s="5">
        <f t="shared" ref="I54" si="62">SUM(I47:I53)</f>
        <v>13930</v>
      </c>
      <c r="J54" s="5">
        <f t="shared" ref="J54" si="63">SUM(J47:J53)</f>
        <v>13800</v>
      </c>
      <c r="K54" s="5">
        <f>SUM(K47:K53)</f>
        <v>13192</v>
      </c>
      <c r="L54" s="5"/>
      <c r="M54" s="5"/>
      <c r="N54" s="5"/>
    </row>
    <row r="56" spans="2:14" s="4" customFormat="1" x14ac:dyDescent="0.15">
      <c r="B56" s="4" t="s">
        <v>35</v>
      </c>
      <c r="C56" s="5"/>
      <c r="D56" s="5"/>
      <c r="E56" s="5"/>
      <c r="F56" s="5"/>
      <c r="G56" s="5">
        <f>+G29</f>
        <v>244</v>
      </c>
      <c r="H56" s="5">
        <f t="shared" ref="H56:J56" si="64">+H29</f>
        <v>324</v>
      </c>
      <c r="I56" s="5">
        <f t="shared" si="64"/>
        <v>127</v>
      </c>
      <c r="J56" s="5">
        <f t="shared" si="64"/>
        <v>277</v>
      </c>
      <c r="K56" s="5">
        <f>+K29</f>
        <v>350</v>
      </c>
      <c r="L56" s="5"/>
      <c r="M56" s="5"/>
      <c r="N56" s="5"/>
    </row>
    <row r="57" spans="2:14" s="4" customFormat="1" x14ac:dyDescent="0.15">
      <c r="B57" s="4" t="s">
        <v>73</v>
      </c>
      <c r="C57" s="5"/>
      <c r="D57" s="5"/>
      <c r="E57" s="5"/>
      <c r="F57" s="5"/>
      <c r="G57" s="5">
        <v>204</v>
      </c>
      <c r="H57" s="5">
        <f>498-G57</f>
        <v>294</v>
      </c>
      <c r="I57" s="5">
        <f>564-H57-G57</f>
        <v>66</v>
      </c>
      <c r="J57" s="5">
        <f>789-I57-H57-G57</f>
        <v>225</v>
      </c>
      <c r="K57" s="5">
        <v>311</v>
      </c>
      <c r="L57" s="5"/>
      <c r="M57" s="5"/>
      <c r="N57" s="5"/>
    </row>
    <row r="58" spans="2:14" s="4" customFormat="1" x14ac:dyDescent="0.15">
      <c r="B58" s="4" t="s">
        <v>76</v>
      </c>
      <c r="C58" s="5"/>
      <c r="D58" s="5"/>
      <c r="E58" s="5"/>
      <c r="F58" s="5"/>
      <c r="G58" s="5">
        <v>105</v>
      </c>
      <c r="H58" s="5">
        <f>199-G58</f>
        <v>94</v>
      </c>
      <c r="I58" s="5">
        <f>345-H58-G58</f>
        <v>146</v>
      </c>
      <c r="J58" s="5">
        <f>486-I58-H58-G58</f>
        <v>141</v>
      </c>
      <c r="K58" s="5">
        <v>114</v>
      </c>
      <c r="L58" s="5"/>
      <c r="M58" s="5"/>
      <c r="N58" s="5"/>
    </row>
    <row r="59" spans="2:14" s="4" customFormat="1" x14ac:dyDescent="0.15">
      <c r="B59" s="4" t="s">
        <v>75</v>
      </c>
      <c r="C59" s="5"/>
      <c r="D59" s="5"/>
      <c r="E59" s="5"/>
      <c r="F59" s="5"/>
      <c r="G59" s="5">
        <v>125</v>
      </c>
      <c r="H59" s="5">
        <f>274-G59</f>
        <v>149</v>
      </c>
      <c r="I59" s="5">
        <f>403-H59-G59</f>
        <v>129</v>
      </c>
      <c r="J59" s="5">
        <f>528-I59-H59-G59</f>
        <v>125</v>
      </c>
      <c r="K59" s="5">
        <v>125</v>
      </c>
      <c r="L59" s="5"/>
      <c r="M59" s="5"/>
      <c r="N59" s="5"/>
    </row>
    <row r="60" spans="2:14" s="4" customFormat="1" x14ac:dyDescent="0.15">
      <c r="B60" s="4" t="s">
        <v>62</v>
      </c>
      <c r="C60" s="5"/>
      <c r="D60" s="5"/>
      <c r="E60" s="5"/>
      <c r="F60" s="5"/>
      <c r="G60" s="5">
        <v>12</v>
      </c>
      <c r="H60" s="5">
        <f>-446-G60</f>
        <v>-458</v>
      </c>
      <c r="I60" s="5">
        <f>-390-H60-G60</f>
        <v>56</v>
      </c>
      <c r="J60" s="5">
        <f>-77-I60-H60-G60</f>
        <v>313</v>
      </c>
      <c r="K60" s="5">
        <v>70</v>
      </c>
      <c r="L60" s="5"/>
      <c r="M60" s="5"/>
      <c r="N60" s="5"/>
    </row>
    <row r="61" spans="2:14" s="4" customFormat="1" x14ac:dyDescent="0.15">
      <c r="B61" s="4" t="s">
        <v>77</v>
      </c>
      <c r="C61" s="5"/>
      <c r="D61" s="5"/>
      <c r="E61" s="5"/>
      <c r="F61" s="5"/>
      <c r="G61" s="5">
        <v>-74</v>
      </c>
      <c r="H61" s="5">
        <f>-51-G61</f>
        <v>23</v>
      </c>
      <c r="I61" s="5">
        <f>-75-H61-G61</f>
        <v>-24</v>
      </c>
      <c r="J61" s="5">
        <f>-157-I61-H61-G61</f>
        <v>-82</v>
      </c>
      <c r="K61" s="5">
        <v>-15</v>
      </c>
      <c r="L61" s="5"/>
      <c r="M61" s="5"/>
      <c r="N61" s="5"/>
    </row>
    <row r="62" spans="2:14" s="4" customFormat="1" x14ac:dyDescent="0.15">
      <c r="B62" s="4" t="s">
        <v>68</v>
      </c>
      <c r="C62" s="5"/>
      <c r="D62" s="5"/>
      <c r="E62" s="5"/>
      <c r="F62" s="5"/>
      <c r="G62" s="5">
        <v>-19</v>
      </c>
      <c r="H62" s="5">
        <f>42-G62</f>
        <v>61</v>
      </c>
      <c r="I62" s="5">
        <f>-9-H62-G62</f>
        <v>-51</v>
      </c>
      <c r="J62" s="5">
        <f>-7-I62-H62-G62</f>
        <v>2</v>
      </c>
      <c r="K62" s="5">
        <v>-16</v>
      </c>
      <c r="L62" s="5"/>
      <c r="M62" s="5"/>
      <c r="N62" s="5"/>
    </row>
    <row r="63" spans="2:14" s="4" customFormat="1" x14ac:dyDescent="0.15">
      <c r="B63" s="4" t="s">
        <v>70</v>
      </c>
      <c r="C63" s="5"/>
      <c r="D63" s="5"/>
      <c r="E63" s="5"/>
      <c r="F63" s="5"/>
      <c r="G63" s="5">
        <v>-302</v>
      </c>
      <c r="H63" s="5">
        <f>-250-G63</f>
        <v>52</v>
      </c>
      <c r="I63" s="5">
        <f>183-H63-G63</f>
        <v>433</v>
      </c>
      <c r="J63" s="5">
        <f>169-I63-H63-G63</f>
        <v>-14</v>
      </c>
      <c r="K63" s="5">
        <v>-105</v>
      </c>
      <c r="L63" s="5"/>
      <c r="M63" s="5"/>
      <c r="N63" s="5"/>
    </row>
    <row r="64" spans="2:14" s="4" customFormat="1" x14ac:dyDescent="0.15">
      <c r="B64" s="4" t="s">
        <v>66</v>
      </c>
      <c r="C64" s="5"/>
      <c r="D64" s="5"/>
      <c r="E64" s="5"/>
      <c r="F64" s="5"/>
      <c r="G64" s="5">
        <v>28</v>
      </c>
      <c r="H64" s="5">
        <f>-140-G64</f>
        <v>-168</v>
      </c>
      <c r="I64" s="5">
        <f>-140-H64-G64</f>
        <v>0</v>
      </c>
      <c r="J64" s="5">
        <f>-329-I64-H64-G64</f>
        <v>-189</v>
      </c>
      <c r="K64" s="5">
        <v>-86</v>
      </c>
      <c r="L64" s="5"/>
      <c r="M64" s="5"/>
      <c r="N64" s="5"/>
    </row>
    <row r="65" spans="2:23" s="4" customFormat="1" x14ac:dyDescent="0.15">
      <c r="B65" s="4" t="s">
        <v>69</v>
      </c>
      <c r="C65" s="5"/>
      <c r="D65" s="5"/>
      <c r="E65" s="5"/>
      <c r="F65" s="5"/>
      <c r="G65" s="5">
        <v>-222</v>
      </c>
      <c r="H65" s="5">
        <f>-205-G65</f>
        <v>17</v>
      </c>
      <c r="I65" s="5">
        <f>574-H65-G65</f>
        <v>779</v>
      </c>
      <c r="J65" s="5">
        <f>497-I65-H65-G65</f>
        <v>-77</v>
      </c>
      <c r="K65" s="5">
        <v>-476</v>
      </c>
      <c r="L65" s="5"/>
      <c r="M65" s="5"/>
      <c r="N65" s="5"/>
    </row>
    <row r="66" spans="2:23" s="4" customFormat="1" x14ac:dyDescent="0.15">
      <c r="B66" s="4" t="s">
        <v>74</v>
      </c>
      <c r="C66" s="5"/>
      <c r="D66" s="5"/>
      <c r="E66" s="5"/>
      <c r="F66" s="5"/>
      <c r="G66" s="5">
        <f>SUM(G57:G65)</f>
        <v>-143</v>
      </c>
      <c r="H66" s="5">
        <f t="shared" ref="H66" si="65">SUM(H57:H65)</f>
        <v>64</v>
      </c>
      <c r="I66" s="5">
        <f t="shared" ref="I66:J66" si="66">SUM(I57:I65)</f>
        <v>1534</v>
      </c>
      <c r="J66" s="5">
        <f t="shared" si="66"/>
        <v>444</v>
      </c>
      <c r="K66" s="5">
        <f>SUM(K57:K65)</f>
        <v>-78</v>
      </c>
      <c r="L66" s="5"/>
      <c r="M66" s="5"/>
      <c r="N66" s="5"/>
      <c r="P66" s="4">
        <v>1465</v>
      </c>
      <c r="Q66" s="4">
        <v>1578</v>
      </c>
      <c r="R66" s="4">
        <v>1692</v>
      </c>
      <c r="S66" s="4">
        <v>1547</v>
      </c>
      <c r="T66" s="4">
        <v>1797</v>
      </c>
      <c r="U66" s="4">
        <v>1934</v>
      </c>
      <c r="V66" s="4">
        <f>SUM(G66:J66)</f>
        <v>1899</v>
      </c>
      <c r="W66" s="4">
        <v>1650</v>
      </c>
    </row>
    <row r="67" spans="2:23" s="4" customFormat="1" x14ac:dyDescent="0.1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2:23" s="4" customFormat="1" x14ac:dyDescent="0.15">
      <c r="B68" s="4" t="s">
        <v>78</v>
      </c>
      <c r="C68" s="5"/>
      <c r="D68" s="5"/>
      <c r="E68" s="5"/>
      <c r="F68" s="5"/>
      <c r="G68" s="5">
        <v>-44</v>
      </c>
      <c r="H68" s="5">
        <f>-87-G68</f>
        <v>-43</v>
      </c>
      <c r="I68" s="5">
        <f>-135-H68-G68</f>
        <v>-48</v>
      </c>
      <c r="J68" s="5">
        <f>-188-I68-H68-G68</f>
        <v>-53</v>
      </c>
      <c r="K68" s="5">
        <v>-59</v>
      </c>
      <c r="L68" s="5"/>
      <c r="M68" s="5"/>
      <c r="N68" s="5"/>
      <c r="P68" s="4">
        <v>-93</v>
      </c>
      <c r="Q68" s="4">
        <v>-123</v>
      </c>
      <c r="R68" s="4">
        <v>-107</v>
      </c>
      <c r="S68" s="4">
        <v>-119</v>
      </c>
      <c r="T68" s="4">
        <v>-140</v>
      </c>
      <c r="U68" s="4">
        <v>-124</v>
      </c>
      <c r="V68" s="4">
        <f>SUM(G68:J68)</f>
        <v>-188</v>
      </c>
    </row>
    <row r="69" spans="2:23" s="4" customFormat="1" x14ac:dyDescent="0.15">
      <c r="B69" s="4" t="s">
        <v>79</v>
      </c>
      <c r="C69" s="5"/>
      <c r="D69" s="5"/>
      <c r="E69" s="5"/>
      <c r="F69" s="5"/>
      <c r="G69" s="5">
        <f>507-285</f>
        <v>222</v>
      </c>
      <c r="H69" s="5">
        <f>1128-369-G69</f>
        <v>537</v>
      </c>
      <c r="I69" s="5">
        <f>1193-438-H69-G69</f>
        <v>-4</v>
      </c>
      <c r="J69" s="5">
        <f>1329-554-I69-H69-G69</f>
        <v>20</v>
      </c>
      <c r="K69" s="5">
        <f>87-93</f>
        <v>-6</v>
      </c>
      <c r="L69" s="5"/>
      <c r="M69" s="5"/>
      <c r="N69" s="5"/>
    </row>
    <row r="70" spans="2:23" s="4" customFormat="1" x14ac:dyDescent="0.15">
      <c r="B70" s="4" t="s">
        <v>80</v>
      </c>
      <c r="C70" s="5"/>
      <c r="D70" s="5"/>
      <c r="E70" s="5"/>
      <c r="F70" s="5"/>
      <c r="G70" s="5">
        <v>-1989</v>
      </c>
      <c r="H70" s="5">
        <f>-3394-G70</f>
        <v>-1405</v>
      </c>
      <c r="I70" s="5">
        <f>-3391-H70-G70</f>
        <v>3</v>
      </c>
      <c r="J70" s="5">
        <f>-3391-I70-H70-G70</f>
        <v>0</v>
      </c>
      <c r="K70" s="5">
        <v>0</v>
      </c>
      <c r="L70" s="5"/>
      <c r="M70" s="5"/>
      <c r="N70" s="5"/>
    </row>
    <row r="71" spans="2:23" s="4" customFormat="1" x14ac:dyDescent="0.15">
      <c r="B71" s="4" t="s">
        <v>81</v>
      </c>
      <c r="C71" s="5"/>
      <c r="D71" s="5"/>
      <c r="E71" s="5"/>
      <c r="F71" s="5"/>
      <c r="G71" s="5">
        <f>SUM(G68:G70)</f>
        <v>-1811</v>
      </c>
      <c r="H71" s="5">
        <f>SUM(H68:H70)</f>
        <v>-911</v>
      </c>
      <c r="I71" s="5">
        <f>SUM(I68:I70)</f>
        <v>-49</v>
      </c>
      <c r="J71" s="5">
        <f>SUM(J68:J70)</f>
        <v>-33</v>
      </c>
      <c r="K71" s="5">
        <f>SUM(K68:K70)</f>
        <v>-65</v>
      </c>
      <c r="L71" s="5"/>
      <c r="M71" s="5"/>
      <c r="N71" s="5"/>
    </row>
    <row r="72" spans="2:23" s="4" customFormat="1" x14ac:dyDescent="0.1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2:23" s="4" customFormat="1" x14ac:dyDescent="0.15">
      <c r="B73" s="4" t="s">
        <v>82</v>
      </c>
      <c r="C73" s="5"/>
      <c r="D73" s="5"/>
      <c r="E73" s="5"/>
      <c r="F73" s="5"/>
      <c r="G73" s="5">
        <v>-325</v>
      </c>
      <c r="H73" s="5">
        <f>41-650-G73</f>
        <v>-284</v>
      </c>
      <c r="I73" s="5">
        <f>44-975-H73-G73</f>
        <v>-322</v>
      </c>
      <c r="J73" s="5">
        <f>77-1300-I73-H73-G73</f>
        <v>-292</v>
      </c>
      <c r="K73" s="5">
        <f>1-320</f>
        <v>-319</v>
      </c>
      <c r="L73" s="5"/>
      <c r="M73" s="5"/>
      <c r="N73" s="5"/>
    </row>
    <row r="74" spans="2:23" s="4" customFormat="1" x14ac:dyDescent="0.15">
      <c r="B74" s="4" t="s">
        <v>83</v>
      </c>
      <c r="C74" s="5"/>
      <c r="D74" s="5"/>
      <c r="E74" s="5"/>
      <c r="F74" s="5"/>
      <c r="G74" s="5">
        <v>-49</v>
      </c>
      <c r="H74" s="5">
        <f>-97-G74</f>
        <v>-48</v>
      </c>
      <c r="I74" s="5">
        <f>-145-H74-G74</f>
        <v>-48</v>
      </c>
      <c r="J74" s="5">
        <f>-193-I74-H74-G74</f>
        <v>-48</v>
      </c>
      <c r="K74" s="5">
        <v>-53</v>
      </c>
      <c r="L74" s="5"/>
      <c r="M74" s="5"/>
      <c r="N74" s="5"/>
    </row>
    <row r="75" spans="2:23" s="4" customFormat="1" x14ac:dyDescent="0.15">
      <c r="B75" s="4" t="s">
        <v>84</v>
      </c>
      <c r="C75" s="5"/>
      <c r="D75" s="5"/>
      <c r="E75" s="5"/>
      <c r="F75" s="5"/>
      <c r="G75" s="5">
        <v>-105</v>
      </c>
      <c r="H75" s="5">
        <f>-121-G75</f>
        <v>-16</v>
      </c>
      <c r="I75" s="5">
        <f>-193-H75-G75</f>
        <v>-72</v>
      </c>
      <c r="J75" s="5">
        <f>-204-I75-H75-G75</f>
        <v>-11</v>
      </c>
      <c r="K75" s="5">
        <v>-104</v>
      </c>
      <c r="L75" s="5"/>
      <c r="M75" s="5"/>
      <c r="N75" s="5"/>
    </row>
    <row r="76" spans="2:23" s="4" customFormat="1" x14ac:dyDescent="0.15">
      <c r="B76" s="4" t="s">
        <v>85</v>
      </c>
      <c r="C76" s="5"/>
      <c r="D76" s="5"/>
      <c r="E76" s="5"/>
      <c r="F76" s="5"/>
      <c r="G76" s="5">
        <f>SUM(G73:G75)</f>
        <v>-479</v>
      </c>
      <c r="H76" s="5">
        <f>SUM(H73:H75)</f>
        <v>-348</v>
      </c>
      <c r="I76" s="5">
        <f>SUM(I73:I75)</f>
        <v>-442</v>
      </c>
      <c r="J76" s="5">
        <f>SUM(J73:J75)</f>
        <v>-351</v>
      </c>
      <c r="K76" s="5">
        <f>SUM(K73:K75)</f>
        <v>-476</v>
      </c>
      <c r="L76" s="5"/>
      <c r="M76" s="5"/>
      <c r="N76" s="5"/>
    </row>
    <row r="77" spans="2:23" x14ac:dyDescent="0.15">
      <c r="B77" s="4" t="s">
        <v>86</v>
      </c>
      <c r="G77" s="1">
        <v>11</v>
      </c>
      <c r="H77" s="1">
        <f>-2-G77</f>
        <v>-13</v>
      </c>
      <c r="I77" s="1">
        <f>-5-H77-G77</f>
        <v>-3</v>
      </c>
      <c r="J77" s="1">
        <f>-3-I77-H77-G77</f>
        <v>2</v>
      </c>
      <c r="K77" s="1">
        <v>-31</v>
      </c>
    </row>
    <row r="78" spans="2:23" x14ac:dyDescent="0.15">
      <c r="B78" s="4" t="s">
        <v>87</v>
      </c>
      <c r="G78" s="5">
        <f>+G77+G76+G71+G66</f>
        <v>-2422</v>
      </c>
      <c r="H78" s="5">
        <f>+H77+H76+H71+H66</f>
        <v>-1208</v>
      </c>
      <c r="I78" s="5">
        <f>+I77+I76+I71+I66</f>
        <v>1040</v>
      </c>
      <c r="J78" s="5">
        <f>+J77+J76+J71+J66</f>
        <v>62</v>
      </c>
      <c r="K78" s="5">
        <f>+K77+K76+K71+K66</f>
        <v>-650</v>
      </c>
    </row>
    <row r="80" spans="2:23" x14ac:dyDescent="0.15">
      <c r="B80" s="4" t="s">
        <v>106</v>
      </c>
      <c r="P80" s="4">
        <f t="shared" ref="P80:S80" si="67">+P68+P66</f>
        <v>1372</v>
      </c>
      <c r="Q80" s="4">
        <f t="shared" si="67"/>
        <v>1455</v>
      </c>
      <c r="R80" s="4">
        <f t="shared" si="67"/>
        <v>1585</v>
      </c>
      <c r="S80" s="4">
        <f t="shared" si="67"/>
        <v>1428</v>
      </c>
      <c r="T80" s="4">
        <f>+T68+T66</f>
        <v>1657</v>
      </c>
      <c r="U80" s="4">
        <f t="shared" ref="U80:V80" si="68">+U68+U66</f>
        <v>1810</v>
      </c>
      <c r="V80" s="4">
        <f t="shared" si="68"/>
        <v>1711</v>
      </c>
    </row>
    <row r="81" spans="17:22" x14ac:dyDescent="0.15">
      <c r="Q81" s="9">
        <f>+Q80/P80-1</f>
        <v>6.0495626822157478E-2</v>
      </c>
      <c r="R81" s="9">
        <f t="shared" ref="R81:V81" si="69">+R80/Q80-1</f>
        <v>8.9347079037800592E-2</v>
      </c>
      <c r="S81" s="9">
        <f t="shared" si="69"/>
        <v>-9.9053627760252394E-2</v>
      </c>
      <c r="T81" s="9">
        <f t="shared" si="69"/>
        <v>0.1603641456582634</v>
      </c>
      <c r="U81" s="9">
        <f t="shared" si="69"/>
        <v>9.2335546167773064E-2</v>
      </c>
      <c r="V81" s="9">
        <f t="shared" si="69"/>
        <v>-5.4696132596685043E-2</v>
      </c>
    </row>
    <row r="82" spans="17:22" x14ac:dyDescent="0.15">
      <c r="V82" s="9">
        <f>RATE(6,0,-P80,V80)</f>
        <v>3.7486966815271798E-2</v>
      </c>
    </row>
  </sheetData>
  <phoneticPr fontId="3" type="noConversion"/>
  <hyperlinks>
    <hyperlink ref="A1" location="Main!A1" display="Main" xr:uid="{EA826243-0AF5-4545-AC7D-F947749FD211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WS</cp:lastModifiedBy>
  <dcterms:created xsi:type="dcterms:W3CDTF">2022-08-26T13:39:45Z</dcterms:created>
  <dcterms:modified xsi:type="dcterms:W3CDTF">2022-09-06T23:54:44Z</dcterms:modified>
</cp:coreProperties>
</file>