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13_ncr:1_{041FBF6E-AA5E-4343-ACE9-9119B7F2E7E3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58" i="2" l="1"/>
  <c r="CF58" i="2"/>
  <c r="CG3" i="2"/>
  <c r="BV48" i="2"/>
  <c r="BV49" i="2" s="1"/>
  <c r="BV46" i="2"/>
  <c r="BZ48" i="2"/>
  <c r="BZ46" i="2"/>
  <c r="BZ37" i="2"/>
  <c r="BY58" i="2"/>
  <c r="BY57" i="2"/>
  <c r="BY56" i="2"/>
  <c r="BQ54" i="2"/>
  <c r="BQ53" i="2"/>
  <c r="BQ48" i="2"/>
  <c r="BQ46" i="2"/>
  <c r="BQ44" i="2"/>
  <c r="BQ41" i="2"/>
  <c r="BQ45" i="2" s="1"/>
  <c r="BQ47" i="2" s="1"/>
  <c r="BU54" i="2"/>
  <c r="BU53" i="2"/>
  <c r="BU48" i="2"/>
  <c r="BU46" i="2"/>
  <c r="BU44" i="2"/>
  <c r="BU41" i="2"/>
  <c r="BQ39" i="2"/>
  <c r="BQ37" i="2"/>
  <c r="BU37" i="2"/>
  <c r="BQ3" i="2"/>
  <c r="CF3" i="2"/>
  <c r="CE3" i="2"/>
  <c r="CD3" i="2"/>
  <c r="CC3" i="2"/>
  <c r="CB3" i="2"/>
  <c r="CA3" i="2"/>
  <c r="BZ3" i="2"/>
  <c r="BZ57" i="2" s="1"/>
  <c r="BY3" i="2"/>
  <c r="BX3" i="2"/>
  <c r="BW3" i="2"/>
  <c r="BV3" i="2"/>
  <c r="BU3" i="2"/>
  <c r="BT3" i="2"/>
  <c r="BS3" i="2"/>
  <c r="BR3" i="2"/>
  <c r="BR54" i="2"/>
  <c r="BR53" i="2"/>
  <c r="BR48" i="2"/>
  <c r="BR49" i="2"/>
  <c r="BR46" i="2"/>
  <c r="BZ58" i="2"/>
  <c r="BR44" i="2"/>
  <c r="BV44" i="2"/>
  <c r="BR37" i="2"/>
  <c r="BV37" i="2"/>
  <c r="BR39" i="2"/>
  <c r="BR41" i="2" s="1"/>
  <c r="BR45" i="2" s="1"/>
  <c r="BR47" i="2" s="1"/>
  <c r="DO19" i="2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DO18" i="2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DO15" i="2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DJ3" i="2"/>
  <c r="DI3" i="2"/>
  <c r="DH3" i="2"/>
  <c r="DG3" i="2"/>
  <c r="DF3" i="2"/>
  <c r="DE3" i="2"/>
  <c r="DD3" i="2"/>
  <c r="DC3" i="2"/>
  <c r="DB3" i="2"/>
  <c r="DN23" i="2"/>
  <c r="DK23" i="2"/>
  <c r="DL23" i="2"/>
  <c r="DM23" i="2"/>
  <c r="DM15" i="2"/>
  <c r="DK9" i="2"/>
  <c r="BS48" i="2"/>
  <c r="BW48" i="2"/>
  <c r="BS46" i="2"/>
  <c r="BW46" i="2"/>
  <c r="CF60" i="2"/>
  <c r="CA58" i="2"/>
  <c r="BS44" i="2"/>
  <c r="BW44" i="2"/>
  <c r="BS37" i="2"/>
  <c r="BW37" i="2"/>
  <c r="BS39" i="2"/>
  <c r="BS41" i="2" s="1"/>
  <c r="BS53" i="2" s="1"/>
  <c r="BT39" i="2"/>
  <c r="BU39" i="2"/>
  <c r="BV39" i="2"/>
  <c r="BV41" i="2" s="1"/>
  <c r="BV53" i="2" s="1"/>
  <c r="BQ49" i="2" l="1"/>
  <c r="BQ50" i="2" s="1"/>
  <c r="BU45" i="2"/>
  <c r="BU47" i="2" s="1"/>
  <c r="BU49" i="2" s="1"/>
  <c r="BU50" i="2" s="1"/>
  <c r="BR50" i="2"/>
  <c r="BV45" i="2"/>
  <c r="BV47" i="2" s="1"/>
  <c r="BS45" i="2"/>
  <c r="BS47" i="2" s="1"/>
  <c r="DN36" i="2"/>
  <c r="DN35" i="2"/>
  <c r="DN32" i="2"/>
  <c r="DN31" i="2"/>
  <c r="DN28" i="2"/>
  <c r="DN27" i="2"/>
  <c r="DN26" i="2"/>
  <c r="DN19" i="2"/>
  <c r="DN18" i="2"/>
  <c r="DN15" i="2"/>
  <c r="DM36" i="2"/>
  <c r="DM35" i="2"/>
  <c r="DM32" i="2"/>
  <c r="DM31" i="2"/>
  <c r="DM26" i="2"/>
  <c r="DM19" i="2"/>
  <c r="DM18" i="2"/>
  <c r="DM12" i="2"/>
  <c r="DM10" i="2"/>
  <c r="DM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2" i="2"/>
  <c r="DL21" i="2"/>
  <c r="DL20" i="2"/>
  <c r="DL19" i="2"/>
  <c r="DL18" i="2"/>
  <c r="DL17" i="2"/>
  <c r="DL16" i="2"/>
  <c r="DL15" i="2"/>
  <c r="DL3" i="2" s="1"/>
  <c r="DL14" i="2"/>
  <c r="DL13" i="2"/>
  <c r="DL12" i="2"/>
  <c r="DL11" i="2"/>
  <c r="DL10" i="2"/>
  <c r="DL9" i="2"/>
  <c r="DK38" i="2"/>
  <c r="DK36" i="2"/>
  <c r="DK35" i="2"/>
  <c r="DK34" i="2"/>
  <c r="DK33" i="2"/>
  <c r="DK32" i="2"/>
  <c r="DK31" i="2"/>
  <c r="DK30" i="2"/>
  <c r="DK29" i="2"/>
  <c r="DK28" i="2"/>
  <c r="DK27" i="2"/>
  <c r="DK26" i="2"/>
  <c r="DK25" i="2"/>
  <c r="DK24" i="2"/>
  <c r="DK22" i="2"/>
  <c r="DK21" i="2"/>
  <c r="DK20" i="2"/>
  <c r="DK19" i="2"/>
  <c r="DK18" i="2"/>
  <c r="DK17" i="2"/>
  <c r="DK16" i="2"/>
  <c r="DK15" i="2"/>
  <c r="DK3" i="2" s="1"/>
  <c r="DK14" i="2"/>
  <c r="DK13" i="2"/>
  <c r="DK12" i="2"/>
  <c r="DK11" i="2"/>
  <c r="DK10" i="2"/>
  <c r="DQ2" i="2"/>
  <c r="DR2" i="2" s="1"/>
  <c r="DS2" i="2" s="1"/>
  <c r="DT2" i="2" s="1"/>
  <c r="DU2" i="2" s="1"/>
  <c r="DV2" i="2" s="1"/>
  <c r="DW2" i="2" s="1"/>
  <c r="DX2" i="2" s="1"/>
  <c r="DY2" i="2" s="1"/>
  <c r="DZ2" i="2" s="1"/>
  <c r="CF82" i="2"/>
  <c r="CF81" i="2"/>
  <c r="CF61" i="2"/>
  <c r="CF71" i="2"/>
  <c r="CF73" i="2" s="1"/>
  <c r="J6" i="1"/>
  <c r="CJ42" i="2"/>
  <c r="CI42" i="2"/>
  <c r="CH42" i="2"/>
  <c r="CL42" i="2" s="1"/>
  <c r="CG42" i="2"/>
  <c r="CK42" i="2" s="1"/>
  <c r="CJ43" i="2"/>
  <c r="CI43" i="2"/>
  <c r="CH43" i="2"/>
  <c r="CL43" i="2" s="1"/>
  <c r="CG43" i="2"/>
  <c r="CK43" i="2" s="1"/>
  <c r="CH51" i="2"/>
  <c r="CI51" i="2" s="1"/>
  <c r="CG51" i="2"/>
  <c r="CH24" i="2"/>
  <c r="CI24" i="2" s="1"/>
  <c r="CJ24" i="2" s="1"/>
  <c r="CK24" i="2" s="1"/>
  <c r="CL24" i="2" s="1"/>
  <c r="CH21" i="2"/>
  <c r="CI21" i="2" s="1"/>
  <c r="CJ21" i="2" s="1"/>
  <c r="CK21" i="2" s="1"/>
  <c r="CL21" i="2" s="1"/>
  <c r="CH22" i="2"/>
  <c r="CI22" i="2" s="1"/>
  <c r="CJ22" i="2" s="1"/>
  <c r="CK22" i="2" s="1"/>
  <c r="CL22" i="2" s="1"/>
  <c r="CG28" i="2"/>
  <c r="CH28" i="2" s="1"/>
  <c r="CI28" i="2" s="1"/>
  <c r="CJ28" i="2" s="1"/>
  <c r="CK28" i="2" s="1"/>
  <c r="CL28" i="2" s="1"/>
  <c r="CG27" i="2"/>
  <c r="CH27" i="2" s="1"/>
  <c r="CI27" i="2" s="1"/>
  <c r="CJ27" i="2" s="1"/>
  <c r="CK27" i="2" s="1"/>
  <c r="CL27" i="2" s="1"/>
  <c r="CH30" i="2"/>
  <c r="CI30" i="2" s="1"/>
  <c r="CJ30" i="2" s="1"/>
  <c r="CK30" i="2" s="1"/>
  <c r="CL30" i="2" s="1"/>
  <c r="CH25" i="2"/>
  <c r="CI25" i="2" s="1"/>
  <c r="CJ25" i="2" s="1"/>
  <c r="CK25" i="2" s="1"/>
  <c r="CL25" i="2" s="1"/>
  <c r="CH33" i="2"/>
  <c r="CI33" i="2" s="1"/>
  <c r="CJ33" i="2" s="1"/>
  <c r="CK33" i="2" s="1"/>
  <c r="CL33" i="2" s="1"/>
  <c r="CH34" i="2"/>
  <c r="CI34" i="2" s="1"/>
  <c r="CJ34" i="2" s="1"/>
  <c r="CK34" i="2" s="1"/>
  <c r="CL34" i="2" s="1"/>
  <c r="CG38" i="2"/>
  <c r="CH38" i="2" s="1"/>
  <c r="CI38" i="2" s="1"/>
  <c r="CJ38" i="2" s="1"/>
  <c r="CK38" i="2" s="1"/>
  <c r="CL38" i="2" s="1"/>
  <c r="CE58" i="2"/>
  <c r="CD58" i="2"/>
  <c r="CC58" i="2"/>
  <c r="CB58" i="2"/>
  <c r="CH20" i="2"/>
  <c r="CI20" i="2" s="1"/>
  <c r="CJ20" i="2" s="1"/>
  <c r="CK20" i="2" s="1"/>
  <c r="CL20" i="2" s="1"/>
  <c r="CH17" i="2"/>
  <c r="CH16" i="2"/>
  <c r="CI16" i="2" s="1"/>
  <c r="CH14" i="2"/>
  <c r="CI14" i="2" s="1"/>
  <c r="CJ14" i="2" s="1"/>
  <c r="CK14" i="2" s="1"/>
  <c r="CL14" i="2" s="1"/>
  <c r="CH13" i="2"/>
  <c r="CI13" i="2" s="1"/>
  <c r="CJ13" i="2" s="1"/>
  <c r="CK13" i="2" s="1"/>
  <c r="CL13" i="2" s="1"/>
  <c r="CJ12" i="2"/>
  <c r="CI12" i="2"/>
  <c r="CH12" i="2"/>
  <c r="CL12" i="2" s="1"/>
  <c r="CK12" i="2"/>
  <c r="CH11" i="2"/>
  <c r="DM11" i="2" s="1"/>
  <c r="CJ10" i="2"/>
  <c r="CI10" i="2"/>
  <c r="CH10" i="2"/>
  <c r="CL10" i="2" s="1"/>
  <c r="CK10" i="2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CJ9" i="2"/>
  <c r="CJ58" i="2" s="1"/>
  <c r="CI9" i="2"/>
  <c r="CI58" i="2" s="1"/>
  <c r="CH9" i="2"/>
  <c r="CL9" i="2" s="1"/>
  <c r="CL58" i="2" s="1"/>
  <c r="CK9" i="2"/>
  <c r="CA57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BY41" i="2" s="1"/>
  <c r="BY53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BW39" i="2"/>
  <c r="BW41" i="2" s="1"/>
  <c r="BW53" i="2" s="1"/>
  <c r="CA46" i="2"/>
  <c r="CE46" i="2"/>
  <c r="CE44" i="2"/>
  <c r="CD44" i="2"/>
  <c r="CC44" i="2"/>
  <c r="CB44" i="2"/>
  <c r="CA44" i="2"/>
  <c r="DE51" i="2"/>
  <c r="DD43" i="2"/>
  <c r="DE38" i="2"/>
  <c r="DE36" i="2"/>
  <c r="DE32" i="2"/>
  <c r="DE17" i="2"/>
  <c r="DE19" i="2"/>
  <c r="BA18" i="2"/>
  <c r="BB18" i="2" s="1"/>
  <c r="DE18" i="2" s="1"/>
  <c r="CW16" i="2"/>
  <c r="DD38" i="2"/>
  <c r="DC38" i="2"/>
  <c r="DD37" i="2"/>
  <c r="DC37" i="2"/>
  <c r="DB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27" i="2"/>
  <c r="DC27" i="2"/>
  <c r="DB27" i="2"/>
  <c r="DD26" i="2"/>
  <c r="DC26" i="2"/>
  <c r="DB26" i="2"/>
  <c r="DD17" i="2"/>
  <c r="DC17" i="2"/>
  <c r="DB17" i="2"/>
  <c r="DD16" i="2"/>
  <c r="DC16" i="2"/>
  <c r="DB16" i="2"/>
  <c r="DD15" i="2"/>
  <c r="DC15" i="2"/>
  <c r="DB15" i="2"/>
  <c r="DD19" i="2"/>
  <c r="DD18" i="2"/>
  <c r="DC19" i="2"/>
  <c r="DC18" i="2"/>
  <c r="DB18" i="2"/>
  <c r="DB19" i="2"/>
  <c r="DB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C14" i="2"/>
  <c r="DD14" i="2"/>
  <c r="BA14" i="2"/>
  <c r="BB14" i="2" s="1"/>
  <c r="AY44" i="2"/>
  <c r="AY46" i="2"/>
  <c r="AY39" i="2"/>
  <c r="AZ48" i="2"/>
  <c r="AZ46" i="2"/>
  <c r="AZ44" i="2"/>
  <c r="AZ39" i="2"/>
  <c r="AZ41" i="2" s="1"/>
  <c r="J4" i="1"/>
  <c r="DN30" i="2" l="1"/>
  <c r="DN14" i="2"/>
  <c r="DO14" i="2" s="1"/>
  <c r="DP14" i="2" s="1"/>
  <c r="DN12" i="2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CI11" i="2"/>
  <c r="CH3" i="2"/>
  <c r="CK58" i="2"/>
  <c r="BV50" i="2"/>
  <c r="BV54" i="2"/>
  <c r="BS49" i="2"/>
  <c r="BS50" i="2" s="1"/>
  <c r="BS54" i="2"/>
  <c r="DQ14" i="2"/>
  <c r="CJ44" i="2"/>
  <c r="CF90" i="2"/>
  <c r="DM16" i="2"/>
  <c r="DM17" i="2"/>
  <c r="DN33" i="2"/>
  <c r="DM20" i="2"/>
  <c r="DN38" i="2"/>
  <c r="DM14" i="2"/>
  <c r="CI44" i="2"/>
  <c r="DM33" i="2"/>
  <c r="DN13" i="2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DM34" i="2"/>
  <c r="BW45" i="2"/>
  <c r="BW47" i="2" s="1"/>
  <c r="DM13" i="2"/>
  <c r="DM24" i="2"/>
  <c r="DM38" i="2"/>
  <c r="DM25" i="2"/>
  <c r="DN20" i="2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DM21" i="2"/>
  <c r="DK37" i="2"/>
  <c r="DM27" i="2"/>
  <c r="DN21" i="2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DN34" i="2"/>
  <c r="DM22" i="2"/>
  <c r="DM28" i="2"/>
  <c r="DN22" i="2"/>
  <c r="CH29" i="2"/>
  <c r="CI29" i="2" s="1"/>
  <c r="DN24" i="2"/>
  <c r="DM30" i="2"/>
  <c r="DN25" i="2"/>
  <c r="DN9" i="2"/>
  <c r="CG44" i="2"/>
  <c r="CH44" i="2"/>
  <c r="CF57" i="2"/>
  <c r="CD57" i="2"/>
  <c r="CH58" i="2"/>
  <c r="CG37" i="2"/>
  <c r="CK44" i="2"/>
  <c r="CL44" i="2"/>
  <c r="CJ51" i="2"/>
  <c r="CJ16" i="2"/>
  <c r="CI17" i="2"/>
  <c r="CP39" i="2"/>
  <c r="CR39" i="2"/>
  <c r="CS39" i="2"/>
  <c r="CH57" i="2"/>
  <c r="CF56" i="2"/>
  <c r="CC57" i="2"/>
  <c r="CE57" i="2"/>
  <c r="CB57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BY45" i="2"/>
  <c r="BY47" i="2" s="1"/>
  <c r="BY54" i="2" s="1"/>
  <c r="CD45" i="2"/>
  <c r="CD47" i="2" s="1"/>
  <c r="CA39" i="2"/>
  <c r="CA56" i="2" s="1"/>
  <c r="DE14" i="2"/>
  <c r="AZ53" i="2"/>
  <c r="AZ45" i="2"/>
  <c r="AZ47" i="2" s="1"/>
  <c r="AZ82" i="2"/>
  <c r="AZ81" i="2"/>
  <c r="AZ71" i="2"/>
  <c r="AZ61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DM3" i="2" l="1"/>
  <c r="CJ11" i="2"/>
  <c r="CI3" i="2"/>
  <c r="DO9" i="2"/>
  <c r="DR14" i="2"/>
  <c r="BW49" i="2"/>
  <c r="BW50" i="2" s="1"/>
  <c r="BW54" i="2"/>
  <c r="CJ29" i="2"/>
  <c r="CK29" i="2" s="1"/>
  <c r="CL29" i="2" s="1"/>
  <c r="CK16" i="2"/>
  <c r="CL16" i="2" s="1"/>
  <c r="CJ17" i="2"/>
  <c r="CK17" i="2" s="1"/>
  <c r="CL17" i="2" s="1"/>
  <c r="DN17" i="2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CH37" i="2"/>
  <c r="CI37" i="2" s="1"/>
  <c r="DM37" i="2"/>
  <c r="DM29" i="2"/>
  <c r="CI39" i="2"/>
  <c r="CI56" i="2" s="1"/>
  <c r="CG39" i="2"/>
  <c r="CK51" i="2"/>
  <c r="CG57" i="2"/>
  <c r="CI57" i="2"/>
  <c r="CQ39" i="2"/>
  <c r="CV39" i="2"/>
  <c r="CT39" i="2"/>
  <c r="CF54" i="2"/>
  <c r="CF49" i="2"/>
  <c r="CF50" i="2" s="1"/>
  <c r="CB49" i="2"/>
  <c r="CB50" i="2" s="1"/>
  <c r="CB54" i="2"/>
  <c r="AZ60" i="2"/>
  <c r="CA41" i="2"/>
  <c r="CA53" i="2" s="1"/>
  <c r="CE56" i="2"/>
  <c r="BX45" i="2"/>
  <c r="BX47" i="2" s="1"/>
  <c r="CA45" i="2"/>
  <c r="CA47" i="2" s="1"/>
  <c r="CE49" i="2"/>
  <c r="CE50" i="2" s="1"/>
  <c r="CE54" i="2"/>
  <c r="CD54" i="2"/>
  <c r="CD49" i="2"/>
  <c r="CD50" i="2" s="1"/>
  <c r="BY49" i="2"/>
  <c r="BY50" i="2" s="1"/>
  <c r="CC49" i="2"/>
  <c r="CC50" i="2" s="1"/>
  <c r="CC54" i="2"/>
  <c r="AZ84" i="2"/>
  <c r="AZ73" i="2"/>
  <c r="DF14" i="2"/>
  <c r="BB43" i="2"/>
  <c r="DE43" i="2" s="1"/>
  <c r="AZ49" i="2"/>
  <c r="AZ50" i="2" s="1"/>
  <c r="AZ54" i="2"/>
  <c r="BA16" i="2"/>
  <c r="BA15" i="2"/>
  <c r="CK11" i="2" l="1"/>
  <c r="CJ3" i="2"/>
  <c r="CJ57" i="2" s="1"/>
  <c r="DP9" i="2"/>
  <c r="DS14" i="2"/>
  <c r="CJ37" i="2"/>
  <c r="CK37" i="2" s="1"/>
  <c r="DN16" i="2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CH39" i="2"/>
  <c r="DN29" i="2"/>
  <c r="CJ39" i="2"/>
  <c r="CJ41" i="2" s="1"/>
  <c r="CI41" i="2"/>
  <c r="CI40" i="2" s="1"/>
  <c r="CG41" i="2"/>
  <c r="CG40" i="2" s="1"/>
  <c r="CG56" i="2"/>
  <c r="CL51" i="2"/>
  <c r="CK39" i="2"/>
  <c r="CL37" i="2"/>
  <c r="CU39" i="2"/>
  <c r="BX49" i="2"/>
  <c r="BX50" i="2" s="1"/>
  <c r="BX54" i="2"/>
  <c r="CA54" i="2"/>
  <c r="CA49" i="2"/>
  <c r="CA50" i="2" s="1"/>
  <c r="BB15" i="2"/>
  <c r="DE15" i="2" s="1"/>
  <c r="DF43" i="2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E44" i="2"/>
  <c r="BB16" i="2"/>
  <c r="DE16" i="2" s="1"/>
  <c r="DF16" i="2" s="1"/>
  <c r="DG16" i="2" s="1"/>
  <c r="DG14" i="2"/>
  <c r="AZ101" i="2"/>
  <c r="AZ99" i="2"/>
  <c r="AZ100" i="2"/>
  <c r="AZ98" i="2"/>
  <c r="BB42" i="2"/>
  <c r="DC51" i="2"/>
  <c r="DD51" i="2"/>
  <c r="DC43" i="2"/>
  <c r="DC42" i="2"/>
  <c r="DC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D42" i="2"/>
  <c r="DD40" i="2"/>
  <c r="DF18" i="2"/>
  <c r="DG18" i="2" s="1"/>
  <c r="AU46" i="2"/>
  <c r="AU44" i="2"/>
  <c r="CJ56" i="2" l="1"/>
  <c r="CL11" i="2"/>
  <c r="CK3" i="2"/>
  <c r="CK57" i="2" s="1"/>
  <c r="DQ9" i="2"/>
  <c r="DT14" i="2"/>
  <c r="CJ45" i="2"/>
  <c r="CJ47" i="2" s="1"/>
  <c r="CJ48" i="2" s="1"/>
  <c r="CJ54" i="2" s="1"/>
  <c r="CJ53" i="2"/>
  <c r="CJ40" i="2"/>
  <c r="CH56" i="2"/>
  <c r="CH41" i="2"/>
  <c r="DN37" i="2"/>
  <c r="CK41" i="2"/>
  <c r="CK45" i="2" s="1"/>
  <c r="CK47" i="2" s="1"/>
  <c r="CI45" i="2"/>
  <c r="CI47" i="2" s="1"/>
  <c r="CI53" i="2"/>
  <c r="CG45" i="2"/>
  <c r="CG47" i="2" s="1"/>
  <c r="CG53" i="2"/>
  <c r="CK53" i="2"/>
  <c r="CK56" i="2"/>
  <c r="BB34" i="2"/>
  <c r="DE34" i="2" s="1"/>
  <c r="BB35" i="2"/>
  <c r="DE35" i="2" s="1"/>
  <c r="BB37" i="2"/>
  <c r="DE37" i="2" s="1"/>
  <c r="DF37" i="2" s="1"/>
  <c r="DG37" i="2" s="1"/>
  <c r="DD39" i="2"/>
  <c r="DD41" i="2" s="1"/>
  <c r="DD53" i="2" s="1"/>
  <c r="DD44" i="2"/>
  <c r="DC39" i="2"/>
  <c r="DC41" i="2" s="1"/>
  <c r="DC53" i="2" s="1"/>
  <c r="DC48" i="2"/>
  <c r="DC46" i="2"/>
  <c r="AR45" i="2"/>
  <c r="AR47" i="2" s="1"/>
  <c r="DC44" i="2"/>
  <c r="AQ45" i="2"/>
  <c r="AQ47" i="2" s="1"/>
  <c r="BB27" i="2"/>
  <c r="CL3" i="2" l="1"/>
  <c r="CL57" i="2" s="1"/>
  <c r="DN11" i="2"/>
  <c r="CL39" i="2"/>
  <c r="DR9" i="2"/>
  <c r="DU14" i="2"/>
  <c r="CH53" i="2"/>
  <c r="CH45" i="2"/>
  <c r="CH47" i="2" s="1"/>
  <c r="CH40" i="2"/>
  <c r="CJ49" i="2"/>
  <c r="CJ50" i="2" s="1"/>
  <c r="CI48" i="2"/>
  <c r="CI54" i="2" s="1"/>
  <c r="CK40" i="2"/>
  <c r="CG48" i="2"/>
  <c r="CG54" i="2" s="1"/>
  <c r="CK48" i="2"/>
  <c r="CK54" i="2" s="1"/>
  <c r="DE27" i="2"/>
  <c r="DF27" i="2" s="1"/>
  <c r="DG27" i="2" s="1"/>
  <c r="DC45" i="2"/>
  <c r="DD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O11" i="2" l="1"/>
  <c r="DN3" i="2"/>
  <c r="CL41" i="2"/>
  <c r="CL56" i="2"/>
  <c r="CK49" i="2"/>
  <c r="CK50" i="2" s="1"/>
  <c r="DS9" i="2"/>
  <c r="DV14" i="2"/>
  <c r="CG49" i="2"/>
  <c r="CI49" i="2"/>
  <c r="CI50" i="2" s="1"/>
  <c r="CH48" i="2"/>
  <c r="CH54" i="2" s="1"/>
  <c r="AO39" i="2"/>
  <c r="DB38" i="2"/>
  <c r="BB46" i="2"/>
  <c r="DE46" i="2" s="1"/>
  <c r="BB33" i="2"/>
  <c r="DE33" i="2" s="1"/>
  <c r="DD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E26" i="2" s="1"/>
  <c r="BA31" i="2"/>
  <c r="AX46" i="2"/>
  <c r="DD46" i="2" s="1"/>
  <c r="DD47" i="2" s="1"/>
  <c r="AX44" i="2"/>
  <c r="CL45" i="2" l="1"/>
  <c r="CL47" i="2" s="1"/>
  <c r="CL53" i="2"/>
  <c r="CL40" i="2"/>
  <c r="DP11" i="2"/>
  <c r="DO3" i="2"/>
  <c r="CG50" i="2"/>
  <c r="CG60" i="2"/>
  <c r="DT9" i="2"/>
  <c r="DW14" i="2"/>
  <c r="CH49" i="2"/>
  <c r="CH50" i="2" s="1"/>
  <c r="BA39" i="2"/>
  <c r="BA40" i="2" s="1"/>
  <c r="BA41" i="2" s="1"/>
  <c r="DD49" i="2"/>
  <c r="DD50" i="2" s="1"/>
  <c r="AW45" i="2"/>
  <c r="AW47" i="2" s="1"/>
  <c r="AW54" i="2" s="1"/>
  <c r="DD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E31" i="2" s="1"/>
  <c r="DE39" i="2" s="1"/>
  <c r="AX41" i="2"/>
  <c r="CH60" i="2" l="1"/>
  <c r="CI60" i="2" s="1"/>
  <c r="CJ60" i="2" s="1"/>
  <c r="CK60" i="2" s="1"/>
  <c r="DQ11" i="2"/>
  <c r="DP3" i="2"/>
  <c r="CL48" i="2"/>
  <c r="CL54" i="2" s="1"/>
  <c r="DU9" i="2"/>
  <c r="DX14" i="2"/>
  <c r="AW49" i="2"/>
  <c r="AW50" i="2" s="1"/>
  <c r="DE41" i="2"/>
  <c r="DE45" i="2" s="1"/>
  <c r="DE47" i="2" s="1"/>
  <c r="BB39" i="2"/>
  <c r="BB40" i="2" s="1"/>
  <c r="AY41" i="2"/>
  <c r="AY45" i="2" s="1"/>
  <c r="AX53" i="2"/>
  <c r="AX45" i="2"/>
  <c r="AX47" i="2" s="1"/>
  <c r="AO46" i="2"/>
  <c r="AJ89" i="2"/>
  <c r="AK89" i="2"/>
  <c r="AL89" i="2"/>
  <c r="AM89" i="2"/>
  <c r="AN89" i="2"/>
  <c r="AO89" i="2"/>
  <c r="AI89" i="2"/>
  <c r="AL84" i="2"/>
  <c r="AN84" i="2"/>
  <c r="AO80" i="2"/>
  <c r="AO84" i="2" s="1"/>
  <c r="AN73" i="2"/>
  <c r="AO61" i="2"/>
  <c r="AO64" i="2"/>
  <c r="CL49" i="2" l="1"/>
  <c r="CL50" i="2" s="1"/>
  <c r="DR11" i="2"/>
  <c r="DQ3" i="2"/>
  <c r="CL60" i="2"/>
  <c r="DV9" i="2"/>
  <c r="DY14" i="2"/>
  <c r="DE40" i="2"/>
  <c r="AX49" i="2"/>
  <c r="AX50" i="2" s="1"/>
  <c r="AX54" i="2"/>
  <c r="BB41" i="2"/>
  <c r="AY53" i="2"/>
  <c r="AL90" i="2"/>
  <c r="AO90" i="2"/>
  <c r="AN90" i="2"/>
  <c r="AO73" i="2"/>
  <c r="AM84" i="2"/>
  <c r="AM90" i="2" s="1"/>
  <c r="AM73" i="2"/>
  <c r="DS11" i="2" l="1"/>
  <c r="DR3" i="2"/>
  <c r="DW9" i="2"/>
  <c r="DZ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T11" i="2" l="1"/>
  <c r="DS3" i="2"/>
  <c r="DX9" i="2"/>
  <c r="AY54" i="2"/>
  <c r="BB49" i="2"/>
  <c r="BB50" i="2" s="1"/>
  <c r="BA48" i="2"/>
  <c r="DB43" i="2"/>
  <c r="AL46" i="2"/>
  <c r="AL47" i="2" s="1"/>
  <c r="AL49" i="2" s="1"/>
  <c r="DU11" i="2" l="1"/>
  <c r="DT3" i="2"/>
  <c r="DY9" i="2"/>
  <c r="BA54" i="2"/>
  <c r="DE48" i="2"/>
  <c r="DE49" i="2" s="1"/>
  <c r="DE50" i="2" s="1"/>
  <c r="BA49" i="2"/>
  <c r="DV11" i="2" l="1"/>
  <c r="DU3" i="2"/>
  <c r="DZ9" i="2"/>
  <c r="BA50" i="2"/>
  <c r="BA60" i="2"/>
  <c r="BB60" i="2" s="1"/>
  <c r="DE60" i="2" s="1"/>
  <c r="DF46" i="2" s="1"/>
  <c r="CX37" i="2"/>
  <c r="CX34" i="2"/>
  <c r="CX31" i="2"/>
  <c r="CX33" i="2"/>
  <c r="CX26" i="2"/>
  <c r="CX17" i="2"/>
  <c r="CY51" i="2"/>
  <c r="CY34" i="2"/>
  <c r="CY31" i="2"/>
  <c r="CY33" i="2"/>
  <c r="CY26" i="2"/>
  <c r="CY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A51" i="2"/>
  <c r="CZ51" i="2"/>
  <c r="CZ43" i="2"/>
  <c r="CZ42" i="2"/>
  <c r="AN39" i="2"/>
  <c r="AN41" i="2" s="1"/>
  <c r="AN45" i="2" s="1"/>
  <c r="AN47" i="2" s="1"/>
  <c r="AN51" i="2"/>
  <c r="AK46" i="2"/>
  <c r="AK47" i="2" s="1"/>
  <c r="AK49" i="2" s="1"/>
  <c r="DB51" i="2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AI73" i="2"/>
  <c r="AJ73" i="2"/>
  <c r="AK73" i="2"/>
  <c r="DA37" i="2"/>
  <c r="DA26" i="2"/>
  <c r="AJ46" i="2"/>
  <c r="AJ47" i="2" s="1"/>
  <c r="AJ49" i="2" s="1"/>
  <c r="CZ38" i="2"/>
  <c r="CZ37" i="2"/>
  <c r="CZ35" i="2"/>
  <c r="CZ34" i="2"/>
  <c r="CZ31" i="2"/>
  <c r="CZ33" i="2"/>
  <c r="CZ26" i="2"/>
  <c r="CZ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CX38" i="2" s="1"/>
  <c r="Y44" i="2"/>
  <c r="Y46" i="2"/>
  <c r="AB15" i="2"/>
  <c r="AB16" i="2"/>
  <c r="W51" i="2"/>
  <c r="CX51" i="2" s="1"/>
  <c r="X16" i="2"/>
  <c r="X15" i="2"/>
  <c r="AB40" i="2"/>
  <c r="AB43" i="2"/>
  <c r="AB42" i="2"/>
  <c r="X40" i="2"/>
  <c r="X44" i="2"/>
  <c r="X46" i="2"/>
  <c r="X48" i="2"/>
  <c r="AA37" i="2"/>
  <c r="AA38" i="2"/>
  <c r="CY38" i="2" s="1"/>
  <c r="Z39" i="2"/>
  <c r="W39" i="2"/>
  <c r="V39" i="2"/>
  <c r="S39" i="2"/>
  <c r="R39" i="2"/>
  <c r="Q39" i="2"/>
  <c r="AD44" i="2"/>
  <c r="Z44" i="2"/>
  <c r="Z46" i="2"/>
  <c r="CW51" i="2"/>
  <c r="S40" i="2"/>
  <c r="S43" i="2"/>
  <c r="S42" i="2"/>
  <c r="S48" i="2"/>
  <c r="T38" i="2"/>
  <c r="CW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CX43" i="2" s="1"/>
  <c r="W42" i="2"/>
  <c r="CX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CW31" i="2"/>
  <c r="CW33" i="2"/>
  <c r="CW26" i="2"/>
  <c r="CW17" i="2"/>
  <c r="CW15" i="2"/>
  <c r="CP44" i="2"/>
  <c r="CP45" i="2" s="1"/>
  <c r="CQ44" i="2"/>
  <c r="CQ45" i="2" s="1"/>
  <c r="CQ47" i="2" s="1"/>
  <c r="CQ49" i="2" s="1"/>
  <c r="CR44" i="2"/>
  <c r="CR45" i="2" s="1"/>
  <c r="CR47" i="2" s="1"/>
  <c r="CS44" i="2"/>
  <c r="CS45" i="2" s="1"/>
  <c r="CT44" i="2"/>
  <c r="CT45" i="2" s="1"/>
  <c r="CU44" i="2"/>
  <c r="CU45" i="2" s="1"/>
  <c r="CU47" i="2" s="1"/>
  <c r="CV44" i="2"/>
  <c r="CV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1" i="2"/>
  <c r="DA42" i="2"/>
  <c r="DA35" i="2"/>
  <c r="DA38" i="2"/>
  <c r="DA34" i="2"/>
  <c r="DA33" i="2"/>
  <c r="DA43" i="2"/>
  <c r="DW11" i="2" l="1"/>
  <c r="DV3" i="2"/>
  <c r="AF47" i="2"/>
  <c r="AF49" i="2" s="1"/>
  <c r="CW39" i="2"/>
  <c r="L85" i="6"/>
  <c r="AF55" i="6"/>
  <c r="AH55" i="6" s="1"/>
  <c r="L15" i="6"/>
  <c r="G94" i="6"/>
  <c r="W91" i="6" s="1"/>
  <c r="AZ78" i="6"/>
  <c r="L72" i="6"/>
  <c r="Y89" i="6"/>
  <c r="AK59" i="6"/>
  <c r="CX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4" i="2"/>
  <c r="AJ90" i="2" s="1"/>
  <c r="AK84" i="2"/>
  <c r="AK90" i="2" s="1"/>
  <c r="AI84" i="2"/>
  <c r="AI90" i="2" s="1"/>
  <c r="AA39" i="2"/>
  <c r="S44" i="2"/>
  <c r="CW42" i="2"/>
  <c r="CU53" i="2"/>
  <c r="U44" i="2"/>
  <c r="DA46" i="2"/>
  <c r="CZ44" i="2"/>
  <c r="E39" i="2"/>
  <c r="E41" i="2" s="1"/>
  <c r="E44" i="2" s="1"/>
  <c r="E45" i="2" s="1"/>
  <c r="P39" i="2"/>
  <c r="P41" i="2" s="1"/>
  <c r="P44" i="2" s="1"/>
  <c r="P45" i="2" s="1"/>
  <c r="P47" i="2" s="1"/>
  <c r="V44" i="2"/>
  <c r="CZ46" i="2"/>
  <c r="DH44" i="2"/>
  <c r="CY43" i="2"/>
  <c r="T44" i="2"/>
  <c r="CZ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Q50" i="2"/>
  <c r="U39" i="2"/>
  <c r="CQ54" i="2"/>
  <c r="N39" i="2"/>
  <c r="H39" i="2"/>
  <c r="I53" i="2"/>
  <c r="D39" i="2"/>
  <c r="D53" i="2" s="1"/>
  <c r="I41" i="2"/>
  <c r="I44" i="2" s="1"/>
  <c r="I45" i="2" s="1"/>
  <c r="CY37" i="2"/>
  <c r="CW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8" i="2"/>
  <c r="Y120" i="6"/>
  <c r="N83" i="6"/>
  <c r="AV65" i="6"/>
  <c r="AV67" i="6"/>
  <c r="AI60" i="6"/>
  <c r="J60" i="6"/>
  <c r="Y111" i="6"/>
  <c r="T120" i="6"/>
  <c r="AX94" i="6"/>
  <c r="DB42" i="2"/>
  <c r="DB44" i="2" s="1"/>
  <c r="Q41" i="2"/>
  <c r="Q44" i="2" s="1"/>
  <c r="Q45" i="2" s="1"/>
  <c r="Q53" i="2"/>
  <c r="CS53" i="2"/>
  <c r="AO44" i="2"/>
  <c r="CS47" i="2"/>
  <c r="R41" i="2"/>
  <c r="R44" i="2" s="1"/>
  <c r="R45" i="2" s="1"/>
  <c r="R53" i="2"/>
  <c r="DG44" i="2"/>
  <c r="DA44" i="2"/>
  <c r="K39" i="2"/>
  <c r="DF38" i="2"/>
  <c r="DG38" i="2" s="1"/>
  <c r="CY42" i="2"/>
  <c r="DI44" i="2"/>
  <c r="O39" i="2"/>
  <c r="DF26" i="2"/>
  <c r="DG26" i="2" s="1"/>
  <c r="DF33" i="2"/>
  <c r="DG33" i="2" s="1"/>
  <c r="DF44" i="2"/>
  <c r="CY46" i="2"/>
  <c r="CT47" i="2"/>
  <c r="S41" i="2"/>
  <c r="CV53" i="2"/>
  <c r="M53" i="2"/>
  <c r="M41" i="2"/>
  <c r="M44" i="2" s="1"/>
  <c r="M45" i="2" s="1"/>
  <c r="CX44" i="2"/>
  <c r="CV47" i="2"/>
  <c r="CP47" i="2"/>
  <c r="C41" i="2"/>
  <c r="C44" i="2" s="1"/>
  <c r="C45" i="2" s="1"/>
  <c r="C53" i="2"/>
  <c r="V41" i="2"/>
  <c r="CZ15" i="2"/>
  <c r="CZ16" i="2"/>
  <c r="CU54" i="2"/>
  <c r="CU49" i="2"/>
  <c r="CR49" i="2"/>
  <c r="CR54" i="2"/>
  <c r="J41" i="2"/>
  <c r="J44" i="2" s="1"/>
  <c r="J45" i="2" s="1"/>
  <c r="J53" i="2"/>
  <c r="DA16" i="2"/>
  <c r="DX11" i="2" l="1"/>
  <c r="DW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3" i="2"/>
  <c r="P53" i="2"/>
  <c r="E53" i="2"/>
  <c r="E47" i="2"/>
  <c r="E49" i="2" s="1"/>
  <c r="F41" i="2"/>
  <c r="F44" i="2" s="1"/>
  <c r="F45" i="2" s="1"/>
  <c r="I47" i="2"/>
  <c r="I54" i="2" s="1"/>
  <c r="CW44" i="2"/>
  <c r="CY44" i="2"/>
  <c r="G53" i="2"/>
  <c r="Y47" i="2"/>
  <c r="Y49" i="2" s="1"/>
  <c r="CP53" i="2"/>
  <c r="D41" i="2"/>
  <c r="D44" i="2" s="1"/>
  <c r="D45" i="2" s="1"/>
  <c r="D47" i="2" s="1"/>
  <c r="N41" i="2"/>
  <c r="N44" i="2" s="1"/>
  <c r="N45" i="2" s="1"/>
  <c r="N53" i="2"/>
  <c r="CT53" i="2"/>
  <c r="U41" i="2"/>
  <c r="W53" i="2"/>
  <c r="H41" i="2"/>
  <c r="H44" i="2" s="1"/>
  <c r="H45" i="2" s="1"/>
  <c r="H53" i="2"/>
  <c r="Y53" i="2"/>
  <c r="CS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9" i="2"/>
  <c r="CS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4" i="2"/>
  <c r="DG34" i="2" s="1"/>
  <c r="Z120" i="6"/>
  <c r="V120" i="6"/>
  <c r="T121" i="6"/>
  <c r="AU68" i="6"/>
  <c r="AY68" i="6"/>
  <c r="H14" i="27"/>
  <c r="G16" i="27"/>
  <c r="G18" i="27" s="1"/>
  <c r="DF31" i="2"/>
  <c r="DG31" i="2" s="1"/>
  <c r="P54" i="2"/>
  <c r="P49" i="2"/>
  <c r="CR53" i="2"/>
  <c r="O41" i="2"/>
  <c r="O44" i="2" s="1"/>
  <c r="O45" i="2" s="1"/>
  <c r="O53" i="2"/>
  <c r="K41" i="2"/>
  <c r="K44" i="2" s="1"/>
  <c r="K45" i="2" s="1"/>
  <c r="K53" i="2"/>
  <c r="R47" i="2"/>
  <c r="DJ44" i="2"/>
  <c r="Q47" i="2"/>
  <c r="L54" i="2"/>
  <c r="L49" i="2"/>
  <c r="J47" i="2"/>
  <c r="C47" i="2"/>
  <c r="CP54" i="2"/>
  <c r="CP49" i="2"/>
  <c r="V53" i="2"/>
  <c r="V45" i="2"/>
  <c r="CV49" i="2"/>
  <c r="CV54" i="2"/>
  <c r="M47" i="2"/>
  <c r="S53" i="2"/>
  <c r="S45" i="2"/>
  <c r="CT54" i="2"/>
  <c r="CT49" i="2"/>
  <c r="AA41" i="2"/>
  <c r="CR50" i="2"/>
  <c r="CU50" i="2"/>
  <c r="DY11" i="2" l="1"/>
  <c r="DX3" i="2"/>
  <c r="DA39" i="2"/>
  <c r="DF35" i="2"/>
  <c r="DG35" i="2" s="1"/>
  <c r="DK44" i="2"/>
  <c r="E54" i="2"/>
  <c r="F47" i="2"/>
  <c r="F49" i="2" s="1"/>
  <c r="I49" i="2"/>
  <c r="Y50" i="2"/>
  <c r="Y54" i="2"/>
  <c r="CW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F54" i="2"/>
  <c r="R49" i="2"/>
  <c r="R54" i="2"/>
  <c r="Q54" i="2"/>
  <c r="Q49" i="2"/>
  <c r="O47" i="2"/>
  <c r="P50" i="2"/>
  <c r="D49" i="2"/>
  <c r="D54" i="2"/>
  <c r="L50" i="2"/>
  <c r="CY39" i="2"/>
  <c r="CT50" i="2"/>
  <c r="AC39" i="2"/>
  <c r="AA53" i="2"/>
  <c r="AA45" i="2"/>
  <c r="S47" i="2"/>
  <c r="M49" i="2"/>
  <c r="M54" i="2"/>
  <c r="CP50" i="2"/>
  <c r="AD39" i="2"/>
  <c r="X39" i="2"/>
  <c r="CV50" i="2"/>
  <c r="AB39" i="2"/>
  <c r="J54" i="2"/>
  <c r="J49" i="2"/>
  <c r="V47" i="2"/>
  <c r="C49" i="2"/>
  <c r="C54" i="2"/>
  <c r="DZ11" i="2" l="1"/>
  <c r="DZ3" i="2" s="1"/>
  <c r="DY3" i="2"/>
  <c r="DL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CW47" i="2"/>
  <c r="AC41" i="2"/>
  <c r="DM44" i="2" l="1"/>
  <c r="CW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F17" i="2"/>
  <c r="K50" i="2"/>
  <c r="AK53" i="2"/>
  <c r="AF53" i="2"/>
  <c r="CW48" i="2"/>
  <c r="CW49" i="2" s="1"/>
  <c r="AG53" i="2"/>
  <c r="AI53" i="2"/>
  <c r="AE53" i="2"/>
  <c r="CZ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N44" i="2" l="1"/>
  <c r="U50" i="2"/>
  <c r="T50" i="2"/>
  <c r="K16" i="27"/>
  <c r="K18" i="27" s="1"/>
  <c r="L14" i="27"/>
  <c r="DG17" i="2"/>
  <c r="X47" i="2"/>
  <c r="AD47" i="2"/>
  <c r="AB47" i="2"/>
  <c r="CZ45" i="2"/>
  <c r="CZ40" i="2"/>
  <c r="AC47" i="2"/>
  <c r="CY45" i="2"/>
  <c r="AL53" i="2"/>
  <c r="AA50" i="2"/>
  <c r="CX45" i="2"/>
  <c r="CX53" i="2"/>
  <c r="DA41" i="2"/>
  <c r="DB39" i="2" l="1"/>
  <c r="DO44" i="2"/>
  <c r="DP44" i="2"/>
  <c r="AM50" i="2"/>
  <c r="L16" i="27"/>
  <c r="L18" i="27" s="1"/>
  <c r="M14" i="27"/>
  <c r="M16" i="27" s="1"/>
  <c r="M18" i="27" s="1"/>
  <c r="CX47" i="2"/>
  <c r="AG54" i="2"/>
  <c r="AC54" i="2"/>
  <c r="AC49" i="2"/>
  <c r="AF54" i="2"/>
  <c r="AB49" i="2"/>
  <c r="AB54" i="2"/>
  <c r="AJ54" i="2"/>
  <c r="AD54" i="2"/>
  <c r="AD49" i="2"/>
  <c r="AK54" i="2"/>
  <c r="AM53" i="2"/>
  <c r="CY53" i="2"/>
  <c r="AH54" i="2"/>
  <c r="CZ53" i="2"/>
  <c r="DA45" i="2"/>
  <c r="DA40" i="2"/>
  <c r="AE54" i="2"/>
  <c r="AI54" i="2"/>
  <c r="CY47" i="2"/>
  <c r="CZ47" i="2"/>
  <c r="X54" i="2"/>
  <c r="X49" i="2"/>
  <c r="X50" i="2" l="1"/>
  <c r="CZ54" i="2"/>
  <c r="CZ49" i="2"/>
  <c r="AI50" i="2"/>
  <c r="AE50" i="2"/>
  <c r="DA53" i="2"/>
  <c r="AH50" i="2"/>
  <c r="AK50" i="2"/>
  <c r="AJ50" i="2"/>
  <c r="AB50" i="2"/>
  <c r="AF50" i="2"/>
  <c r="AG50" i="2"/>
  <c r="AO41" i="2"/>
  <c r="CY49" i="2"/>
  <c r="CY54" i="2"/>
  <c r="DA47" i="2"/>
  <c r="AD50" i="2"/>
  <c r="AN53" i="2"/>
  <c r="AC50" i="2"/>
  <c r="CX48" i="2"/>
  <c r="CX49" i="2" s="1"/>
  <c r="AM54" i="2" l="1"/>
  <c r="CY50" i="2"/>
  <c r="AO45" i="2"/>
  <c r="AO53" i="2"/>
  <c r="DA48" i="2"/>
  <c r="DA54" i="2" s="1"/>
  <c r="AL54" i="2"/>
  <c r="CZ50" i="2"/>
  <c r="DB41" i="2"/>
  <c r="DB45" i="2" s="1"/>
  <c r="CX50" i="2"/>
  <c r="DB40" i="2" l="1"/>
  <c r="DF15" i="2"/>
  <c r="AL50" i="2"/>
  <c r="AO47" i="2"/>
  <c r="AO49" i="2" s="1"/>
  <c r="DA49" i="2"/>
  <c r="AP53" i="2"/>
  <c r="DF39" i="2" l="1"/>
  <c r="DF41" i="2" s="1"/>
  <c r="AN54" i="2"/>
  <c r="AN49" i="2"/>
  <c r="DB53" i="2"/>
  <c r="DG15" i="2"/>
  <c r="AP47" i="2"/>
  <c r="AP49" i="2" s="1"/>
  <c r="AP50" i="2" s="1"/>
  <c r="AO54" i="2"/>
  <c r="DA50" i="2"/>
  <c r="DB47" i="2"/>
  <c r="DG39" i="2" l="1"/>
  <c r="DG41" i="2" s="1"/>
  <c r="DB48" i="2"/>
  <c r="DB49" i="2" s="1"/>
  <c r="AP54" i="2"/>
  <c r="AN50" i="2"/>
  <c r="DH39" i="2" l="1"/>
  <c r="DH41" i="2" s="1"/>
  <c r="DB50" i="2"/>
  <c r="AO50" i="2"/>
  <c r="DI39" i="2" l="1"/>
  <c r="DI41" i="2" s="1"/>
  <c r="DE53" i="2"/>
  <c r="DC47" i="2"/>
  <c r="DC54" i="2" s="1"/>
  <c r="DJ39" i="2" l="1"/>
  <c r="DJ41" i="2" s="1"/>
  <c r="DF45" i="2"/>
  <c r="DF53" i="2"/>
  <c r="DF40" i="2"/>
  <c r="DC49" i="2"/>
  <c r="DC50" i="2" s="1"/>
  <c r="DK39" i="2" l="1"/>
  <c r="DK41" i="2" s="1"/>
  <c r="DG45" i="2"/>
  <c r="DG53" i="2"/>
  <c r="DG40" i="2"/>
  <c r="DL39" i="2" l="1"/>
  <c r="DL41" i="2" s="1"/>
  <c r="DH45" i="2"/>
  <c r="DH53" i="2"/>
  <c r="DI45" i="2"/>
  <c r="DI53" i="2"/>
  <c r="DI40" i="2"/>
  <c r="DH40" i="2"/>
  <c r="DM39" i="2" l="1"/>
  <c r="DM41" i="2" s="1"/>
  <c r="DN39" i="2" l="1"/>
  <c r="DN41" i="2" s="1"/>
  <c r="DL53" i="2"/>
  <c r="DL45" i="2"/>
  <c r="DL40" i="2"/>
  <c r="DJ45" i="2"/>
  <c r="DJ53" i="2"/>
  <c r="DJ40" i="2"/>
  <c r="DO39" i="2" l="1"/>
  <c r="DO41" i="2" s="1"/>
  <c r="DM53" i="2"/>
  <c r="DM45" i="2"/>
  <c r="DM40" i="2"/>
  <c r="DK45" i="2"/>
  <c r="DK53" i="2"/>
  <c r="DK40" i="2"/>
  <c r="DP39" i="2" l="1"/>
  <c r="DP41" i="2" s="1"/>
  <c r="DO40" i="2"/>
  <c r="DN53" i="2"/>
  <c r="DN45" i="2"/>
  <c r="DN40" i="2"/>
  <c r="DE54" i="2"/>
  <c r="DP40" i="2" l="1"/>
  <c r="DO53" i="2"/>
  <c r="DO45" i="2"/>
  <c r="DP53" i="2"/>
  <c r="DP45" i="2"/>
  <c r="DF47" i="2" l="1"/>
  <c r="DF48" i="2" l="1"/>
  <c r="DF54" i="2" s="1"/>
  <c r="DF49" i="2" l="1"/>
  <c r="DF60" i="2" s="1"/>
  <c r="DG46" i="2" s="1"/>
  <c r="DF50" i="2" l="1"/>
  <c r="DG47" i="2" l="1"/>
  <c r="DG48" i="2" l="1"/>
  <c r="DG54" i="2" s="1"/>
  <c r="DG49" i="2" l="1"/>
  <c r="DG60" i="2" s="1"/>
  <c r="DH46" i="2" s="1"/>
  <c r="DG50" i="2" l="1"/>
  <c r="DH47" i="2" l="1"/>
  <c r="DH48" i="2" l="1"/>
  <c r="DH54" i="2" s="1"/>
  <c r="DH49" i="2" l="1"/>
  <c r="DH50" i="2" l="1"/>
  <c r="DH60" i="2"/>
  <c r="DI46" i="2" s="1"/>
  <c r="DI47" i="2" s="1"/>
  <c r="DI48" i="2" l="1"/>
  <c r="DI54" i="2" s="1"/>
  <c r="DI49" i="2" l="1"/>
  <c r="DI50" i="2" l="1"/>
  <c r="DI60" i="2"/>
  <c r="DJ46" i="2" s="1"/>
  <c r="DJ47" i="2" s="1"/>
  <c r="DJ48" i="2" l="1"/>
  <c r="DJ54" i="2" s="1"/>
  <c r="DJ49" i="2" l="1"/>
  <c r="DJ50" i="2" l="1"/>
  <c r="DJ60" i="2"/>
  <c r="DK46" i="2" s="1"/>
  <c r="DK47" i="2" s="1"/>
  <c r="DK48" i="2" l="1"/>
  <c r="DK54" i="2" s="1"/>
  <c r="DK49" i="2" l="1"/>
  <c r="DK50" i="2" l="1"/>
  <c r="DK60" i="2"/>
  <c r="DL46" i="2" s="1"/>
  <c r="DL47" i="2" s="1"/>
  <c r="DL48" i="2" l="1"/>
  <c r="DL49" i="2" l="1"/>
  <c r="DL54" i="2"/>
  <c r="DL50" i="2" l="1"/>
  <c r="DL60" i="2"/>
  <c r="DM46" i="2" s="1"/>
  <c r="DM47" i="2" s="1"/>
  <c r="DM48" i="2" l="1"/>
  <c r="DM49" i="2" l="1"/>
  <c r="DM54" i="2"/>
  <c r="DM50" i="2" l="1"/>
  <c r="DM60" i="2"/>
  <c r="DN46" i="2" s="1"/>
  <c r="DN47" i="2" s="1"/>
  <c r="DN48" i="2" l="1"/>
  <c r="DN54" i="2" s="1"/>
  <c r="DN49" i="2" l="1"/>
  <c r="DN50" i="2" l="1"/>
  <c r="DN60" i="2"/>
  <c r="DO46" i="2" s="1"/>
  <c r="DO47" i="2" s="1"/>
  <c r="DO48" i="2" l="1"/>
  <c r="DO54" i="2" s="1"/>
  <c r="DO49" i="2" l="1"/>
  <c r="DO50" i="2" l="1"/>
  <c r="DO60" i="2"/>
  <c r="DP46" i="2" s="1"/>
  <c r="DP47" i="2" s="1"/>
  <c r="DP48" i="2" l="1"/>
  <c r="DP54" i="2" s="1"/>
  <c r="DP49" i="2" l="1"/>
  <c r="DQ49" i="2" s="1"/>
  <c r="DP50" i="2" l="1"/>
  <c r="DP60" i="2"/>
  <c r="DR49" i="2"/>
  <c r="DS49" i="2" s="1"/>
  <c r="DT49" i="2" s="1"/>
  <c r="DU49" i="2" s="1"/>
  <c r="DV49" i="2" s="1"/>
  <c r="DW49" i="2" s="1"/>
  <c r="DX49" i="2" s="1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DU57" i="2" s="1"/>
  <c r="DU58" i="2" l="1"/>
  <c r="BZ39" i="2" l="1"/>
  <c r="BZ56" i="2" s="1"/>
  <c r="BZ41" i="2" l="1"/>
  <c r="BZ53" i="2" s="1"/>
  <c r="CD56" i="2"/>
  <c r="BZ45" i="2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<sst xmlns="http://schemas.openxmlformats.org/spreadsheetml/2006/main" count="1056" uniqueCount="764">
  <si>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</si>
  <si>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</si>
  <si>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</si>
  <si>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</si>
  <si>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</si>
  <si>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</si>
  <si>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</si>
  <si>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</si>
  <si>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</si>
  <si>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</si>
  <si>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</si>
  <si>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</si>
  <si>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</si>
  <si>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</si>
  <si>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</si>
  <si>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</si>
  <si>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</si>
  <si>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</si>
  <si>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</si>
  <si>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</si>
  <si>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</si>
  <si>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</si>
  <si>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</si>
  <si>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</si>
  <si>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</si>
  <si>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</si>
  <si>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</si>
  <si>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</si>
  <si>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</si>
  <si>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</si>
  <si>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</si>
  <si>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</si>
  <si>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</si>
  <si>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</si>
  <si>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</si>
  <si>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</si>
  <si>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</si>
  <si>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</si>
  <si>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</si>
  <si>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</si>
  <si>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</si>
  <si>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</si>
  <si>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</si>
  <si>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</si>
  <si>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</si>
  <si>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</si>
  <si>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</si>
  <si>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</si>
  <si>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</si>
  <si>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</si>
  <si>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</si>
  <si>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</si>
  <si>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</si>
  <si>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</si>
  <si>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</si>
  <si>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</si>
  <si>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</si>
  <si>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</si>
  <si>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</si>
  <si>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</si>
  <si>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</si>
  <si>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</si>
  <si>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</si>
  <si>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</si>
  <si>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</si>
  <si>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</si>
  <si>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</si>
  <si>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</si>
  <si>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</si>
  <si>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</si>
  <si>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</si>
  <si>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</si>
  <si>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</si>
  <si>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</si>
  <si>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</si>
  <si>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</si>
  <si>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</si>
  <si>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</si>
  <si>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</si>
  <si>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</si>
  <si>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</si>
  <si>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</si>
  <si>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</si>
  <si>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</si>
  <si>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</si>
  <si>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</si>
  <si>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</si>
  <si>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</si>
  <si>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</si>
  <si>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</si>
  <si>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</si>
  <si>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</si>
  <si>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</si>
  <si>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</si>
  <si>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</si>
  <si>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</si>
  <si>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</si>
  <si>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</si>
  <si>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</si>
  <si>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</si>
  <si>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</si>
  <si>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</si>
  <si>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</si>
  <si>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</si>
  <si>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</si>
  <si>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</si>
  <si>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</si>
  <si>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</si>
  <si>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</si>
  <si>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</si>
  <si>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</si>
  <si>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</si>
  <si>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</si>
  <si>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</si>
  <si>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</si>
  <si>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</si>
  <si>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</si>
  <si>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</si>
  <si>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</si>
  <si>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</si>
  <si>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</si>
  <si>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</si>
  <si>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</si>
  <si>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</si>
  <si>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</si>
  <si>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</si>
  <si>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</si>
  <si>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</si>
  <si>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</si>
  <si>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</si>
  <si>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</si>
  <si>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</si>
  <si>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</si>
  <si>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</si>
  <si>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</si>
  <si>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</si>
  <si>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</si>
  <si>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</si>
  <si>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</si>
  <si>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</si>
  <si>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</si>
  <si>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</si>
  <si>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</si>
  <si>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</si>
  <si>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</si>
  <si>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</si>
  <si>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</si>
  <si>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</si>
  <si>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</si>
  <si>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</si>
  <si>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</si>
  <si>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</si>
  <si>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</si>
  <si>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</si>
  <si>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</si>
  <si>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</si>
  <si>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</si>
  <si>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</si>
  <si>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</si>
  <si>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</si>
  <si>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</si>
  <si>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</si>
  <si>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</si>
  <si>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</si>
  <si>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</si>
  <si>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</si>
  <si>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</si>
  <si>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</si>
  <si>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</si>
  <si>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</si>
  <si>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</si>
  <si>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</si>
  <si>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</si>
  <si>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</si>
  <si>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</si>
  <si>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</si>
  <si>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</si>
  <si>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</si>
  <si>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</si>
  <si>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</si>
  <si>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</si>
  <si>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</si>
  <si>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</si>
  <si>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</si>
  <si>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</si>
  <si>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</si>
  <si>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</si>
  <si>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</si>
  <si>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</si>
  <si>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</si>
  <si>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</si>
  <si>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</si>
  <si>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</si>
  <si>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</si>
  <si>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</si>
  <si>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</si>
  <si>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</si>
  <si>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</si>
  <si>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</si>
  <si>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</si>
  <si>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</si>
  <si>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</si>
  <si>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</si>
  <si>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</si>
  <si>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</si>
  <si>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</si>
  <si>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</si>
  <si>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</si>
  <si>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</si>
  <si>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</si>
  <si>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</si>
  <si>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</si>
  <si>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</si>
  <si>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</si>
  <si>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</si>
  <si>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</si>
  <si>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</si>
  <si>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</si>
  <si>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</si>
  <si>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</si>
  <si>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</si>
  <si>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</si>
  <si>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</si>
  <si>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</si>
  <si>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</si>
  <si>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</si>
  <si>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</si>
  <si>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</si>
  <si>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</si>
  <si>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</si>
  <si>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</si>
  <si>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</si>
  <si>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</si>
  <si>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</si>
  <si>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</si>
  <si>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</si>
  <si>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</si>
  <si>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</si>
  <si>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</si>
  <si>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</si>
  <si>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</si>
  <si>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</si>
  <si>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</si>
  <si>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</si>
  <si>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</si>
  <si>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</si>
  <si>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</si>
  <si>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</si>
  <si>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</si>
  <si>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</si>
  <si>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</si>
  <si>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</si>
  <si>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</si>
  <si>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</si>
  <si>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</si>
  <si>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</si>
  <si>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</si>
  <si>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</si>
  <si>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</si>
  <si>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</si>
  <si>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</si>
  <si>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</si>
  <si>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</si>
  <si>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</si>
  <si>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</si>
  <si>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</si>
  <si>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</si>
  <si>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</si>
  <si>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</si>
  <si>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</si>
  <si>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</si>
  <si>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</si>
  <si>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</si>
  <si>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</si>
  <si>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</si>
  <si>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</si>
  <si>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</si>
  <si>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</si>
  <si>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</si>
  <si>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</si>
  <si>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</si>
  <si>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</si>
  <si>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</si>
  <si>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</si>
  <si>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</si>
  <si>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</si>
  <si>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</si>
  <si>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</si>
  <si>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</si>
  <si>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</si>
  <si>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</si>
  <si>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</si>
  <si>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</si>
  <si>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</si>
  <si>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</si>
  <si>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</si>
  <si>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</si>
  <si>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</si>
  <si>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</si>
  <si>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</si>
  <si>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</si>
  <si>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</si>
  <si>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</si>
  <si>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</si>
  <si>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</si>
  <si>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</si>
  <si>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</si>
  <si>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</si>
  <si>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</si>
  <si>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</si>
  <si>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</si>
  <si>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</si>
  <si>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</si>
  <si>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</si>
  <si>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</si>
  <si>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</si>
  <si>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</si>
  <si>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</si>
  <si>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</si>
  <si>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</si>
  <si>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</si>
  <si>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</si>
  <si>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</si>
  <si>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</si>
  <si>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</si>
  <si>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</si>
  <si>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</si>
  <si>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</si>
  <si>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</si>
  <si>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</si>
  <si>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</si>
  <si>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</si>
  <si>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</si>
  <si>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</si>
  <si>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</si>
  <si>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</si>
  <si>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</si>
  <si>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</si>
  <si>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</si>
  <si>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</si>
  <si>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</si>
  <si>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</si>
  <si>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</si>
  <si>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</si>
  <si>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</si>
  <si>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</si>
  <si>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</si>
  <si>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</si>
  <si>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</si>
  <si>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</si>
  <si>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</si>
  <si>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</si>
  <si>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</si>
  <si>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</si>
  <si>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</si>
  <si>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</si>
  <si>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</si>
  <si>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</si>
  <si>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</si>
  <si>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</si>
  <si>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</si>
  <si>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</si>
  <si>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</si>
  <si>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</si>
  <si>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</si>
  <si>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</si>
  <si>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</si>
  <si>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</si>
  <si>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</si>
  <si>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</si>
  <si>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</si>
  <si>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</si>
  <si>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</si>
  <si>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</si>
  <si>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</si>
  <si>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</si>
  <si>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</si>
  <si>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</si>
  <si>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</si>
  <si>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</si>
  <si>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</si>
  <si>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</si>
  <si>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</si>
  <si>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</si>
  <si>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</si>
  <si>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</si>
  <si>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</si>
  <si>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</si>
  <si>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</si>
  <si>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</si>
  <si>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</si>
  <si>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</si>
  <si>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</si>
  <si>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</si>
  <si>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</si>
  <si>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</si>
  <si>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</si>
  <si>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</si>
  <si>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</si>
  <si>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</si>
  <si>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</si>
  <si>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</si>
  <si>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</si>
  <si>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</si>
  <si>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</si>
  <si>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</si>
  <si>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</si>
  <si>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</si>
  <si>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</si>
  <si>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</si>
  <si>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</si>
  <si>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</si>
  <si>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</si>
  <si>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</si>
  <si>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</si>
  <si>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</si>
  <si>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</si>
  <si>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</si>
  <si>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</si>
  <si>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</si>
  <si>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</si>
  <si>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</si>
  <si>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</si>
  <si>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</si>
  <si>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</si>
  <si>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</si>
  <si>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</si>
  <si>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</si>
  <si>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</si>
  <si>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</si>
  <si>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</si>
  <si>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</si>
  <si>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</si>
  <si>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</si>
  <si>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</si>
  <si>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</si>
  <si>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</si>
  <si>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</si>
  <si>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</si>
  <si>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</si>
  <si>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</si>
  <si>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</si>
  <si>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</si>
  <si>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</si>
  <si>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</si>
  <si>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</si>
  <si>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</si>
  <si>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</si>
  <si>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</si>
  <si>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</si>
  <si>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</si>
  <si>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</si>
  <si>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</si>
  <si>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</si>
  <si>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</si>
  <si>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</si>
  <si>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</si>
  <si>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</si>
  <si>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</si>
  <si>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</si>
  <si>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</si>
  <si>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</si>
  <si>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</si>
  <si>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</si>
  <si>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</si>
  <si>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</si>
  <si>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</si>
  <si>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</si>
  <si>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</si>
  <si>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</si>
  <si>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</si>
  <si>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</si>
  <si>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</si>
  <si>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</si>
  <si>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</si>
  <si>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</si>
  <si>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</si>
  <si>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</si>
  <si>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</si>
  <si>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</si>
  <si>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</si>
  <si>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</si>
  <si>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</si>
  <si>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</si>
  <si>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</si>
  <si>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</si>
  <si>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</si>
  <si>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</si>
  <si>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</si>
  <si>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</si>
  <si>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</si>
  <si>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</si>
  <si>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</si>
  <si>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</si>
  <si>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</si>
  <si>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</si>
  <si>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</si>
  <si>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</si>
  <si>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</si>
  <si>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</si>
  <si>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</si>
  <si>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</si>
  <si>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</si>
  <si>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</si>
  <si>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</si>
  <si>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</si>
  <si>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</si>
  <si>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</si>
  <si>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</si>
  <si>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</si>
  <si>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</si>
  <si>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</si>
  <si>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</si>
  <si>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</si>
  <si>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</si>
  <si>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</si>
  <si>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</si>
  <si>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</si>
  <si>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</si>
  <si>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</si>
  <si>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</si>
  <si>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</si>
  <si>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</si>
  <si>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</si>
  <si>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</si>
  <si>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</si>
  <si>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</si>
  <si>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</si>
  <si>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</si>
  <si>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</si>
  <si>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</si>
  <si>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</si>
  <si>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</si>
  <si>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</si>
  <si>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</si>
  <si>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</si>
  <si>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</si>
  <si>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</si>
  <si>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</si>
  <si>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</si>
  <si>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</si>
  <si>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</si>
  <si>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</si>
  <si>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</si>
  <si>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</si>
  <si>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</si>
  <si>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</si>
  <si>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</si>
  <si>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</si>
  <si>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</si>
  <si>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</si>
  <si>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</si>
  <si>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</si>
  <si>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</si>
  <si>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</si>
  <si>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</si>
  <si>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</si>
  <si>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</si>
  <si>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</si>
  <si>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</si>
  <si>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</si>
  <si>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</si>
  <si>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</si>
  <si>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</si>
  <si>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</si>
  <si>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</si>
  <si>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</si>
  <si>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</si>
  <si>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</si>
  <si>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</si>
  <si>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</si>
  <si>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</si>
  <si>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</si>
  <si>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</si>
  <si>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</si>
  <si>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</si>
  <si>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</si>
  <si>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</si>
  <si>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</si>
  <si>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</si>
  <si>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</si>
  <si>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</si>
  <si>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</si>
  <si>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</si>
  <si>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</si>
  <si>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</si>
  <si>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</si>
  <si>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</si>
  <si>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</si>
  <si>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</si>
  <si>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</si>
  <si>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</si>
  <si>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</si>
  <si>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</si>
  <si>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</si>
  <si>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</si>
  <si>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</si>
  <si>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</si>
  <si>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</si>
  <si>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</si>
  <si>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</si>
  <si>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</si>
  <si>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</si>
  <si>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</si>
  <si>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</si>
  <si>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</si>
  <si>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</si>
  <si>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</si>
  <si>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</si>
  <si>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</si>
  <si>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</si>
  <si>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</si>
  <si>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</si>
  <si>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</si>
  <si>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</si>
  <si>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</si>
  <si>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</si>
  <si>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</si>
  <si>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</si>
  <si>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</si>
  <si>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</si>
  <si>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</si>
  <si>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</si>
  <si>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</si>
  <si>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</si>
  <si>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</si>
  <si>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</si>
  <si>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</si>
  <si>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</si>
  <si>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</si>
  <si>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</si>
  <si>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</si>
  <si>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</si>
  <si>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</si>
  <si>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</si>
  <si>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</si>
  <si>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</si>
  <si>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</si>
  <si>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</si>
  <si>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</si>
  <si>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</si>
  <si>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</si>
  <si>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</si>
  <si>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</si>
  <si>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</si>
  <si>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</si>
  <si>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Isentress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</si>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</sst>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9" fontId="1" fillId="4" borderId="0" xfId="0" applyNumberFormat="1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31353</xdr:colOff>
      <xdr:row>0</xdr:row>
      <xdr:rowOff>91679</xdr:rowOff>
    </xdr:from>
    <xdr:to>
      <xdr:col>85</xdr:col>
      <xdr:colOff>31353</xdr:colOff>
      <xdr:row>115</xdr:row>
      <xdr:rowOff>110729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8642072" y="91679"/>
          <a:ext cx="0" cy="185035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4152</xdr:colOff>
      <xdr:row>0</xdr:row>
      <xdr:rowOff>0</xdr:rowOff>
    </xdr:from>
    <xdr:to>
      <xdr:col>116</xdr:col>
      <xdr:colOff>4152</xdr:colOff>
      <xdr:row>91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2" sqref="B22:G22"/>
    </sheetView>
  </sheetViews>
  <sheetFormatPr baseColWidth="10" defaultColWidth="8.83203125" defaultRowHeight="13" x14ac:dyDescent="0.15"/>
  <cols>
    <col min="1" max="1" width="4.5" bestFit="1" customWidth="1"/>
    <col min="2" max="2" width="13.5" customWidth="1"/>
    <col min="3" max="3" width="19.33203125" customWidth="1"/>
    <col min="4" max="4" width="15" style="165" customWidth="1"/>
  </cols>
  <sheetData>
    <row r="1" spans="1:10" x14ac:dyDescent="0.15">
      <c r="A1" s="163" t="s">
        <v>139</v>
      </c>
    </row>
    <row r="2" spans="1:10" x14ac:dyDescent="0.15">
      <c r="A2" s="95"/>
      <c r="B2" s="95" t="s">
        <v>140</v>
      </c>
      <c r="C2" s="95" t="s">
        <v>141</v>
      </c>
      <c r="D2" s="165" t="s">
        <v>1</v>
      </c>
      <c r="E2" t="s">
        <v>2</v>
      </c>
      <c r="F2" s="95" t="s">
        <v>193</v>
      </c>
      <c r="G2" t="s">
        <v>714</v>
      </c>
      <c r="H2" t="s">
        <v>3</v>
      </c>
      <c r="I2" t="s">
        <v>715</v>
      </c>
      <c r="J2" t="s">
        <v>233</v>
      </c>
    </row>
    <row r="3" spans="1:10" x14ac:dyDescent="0.15">
      <c r="B3" s="163" t="s">
        <v>164</v>
      </c>
      <c r="C3" s="95" t="s">
        <v>165</v>
      </c>
      <c r="D3" s="165" t="s">
        <v>66</v>
      </c>
      <c r="E3" s="161">
        <v>1</v>
      </c>
      <c r="F3" s="162">
        <v>40231</v>
      </c>
      <c r="G3" s="89" t="s">
        <v>67</v>
      </c>
      <c r="H3" s="89" t="s">
        <v>169</v>
      </c>
    </row>
    <row r="4" spans="1:10" x14ac:dyDescent="0.15">
      <c r="B4" s="95" t="s">
        <v>682</v>
      </c>
      <c r="C4" s="95" t="s">
        <v>717</v>
      </c>
      <c r="D4" s="166" t="s">
        <v>15</v>
      </c>
      <c r="E4" s="161">
        <v>1</v>
      </c>
      <c r="F4" s="162"/>
      <c r="G4" s="89"/>
      <c r="H4" s="89"/>
    </row>
    <row r="5" spans="1:10" x14ac:dyDescent="0.15">
      <c r="B5" t="s">
        <v>264</v>
      </c>
      <c r="D5" s="165" t="s">
        <v>187</v>
      </c>
      <c r="E5" s="161" t="s">
        <v>43</v>
      </c>
      <c r="F5" s="89" t="s">
        <v>344</v>
      </c>
      <c r="G5" s="89"/>
      <c r="H5" s="89"/>
    </row>
    <row r="6" spans="1:10" x14ac:dyDescent="0.15">
      <c r="B6" t="s">
        <v>681</v>
      </c>
      <c r="C6" s="95" t="s">
        <v>711</v>
      </c>
      <c r="D6" s="166" t="s">
        <v>6</v>
      </c>
      <c r="E6" s="161"/>
      <c r="F6" s="89"/>
      <c r="G6" s="89"/>
      <c r="H6" s="89"/>
    </row>
    <row r="7" spans="1:10" x14ac:dyDescent="0.15">
      <c r="B7" s="164" t="s">
        <v>586</v>
      </c>
      <c r="C7" s="95" t="s">
        <v>710</v>
      </c>
      <c r="D7" s="167" t="s">
        <v>6</v>
      </c>
      <c r="E7" s="162"/>
      <c r="F7" s="89"/>
      <c r="G7" s="89"/>
    </row>
    <row r="8" spans="1:10" x14ac:dyDescent="0.15">
      <c r="B8" s="164" t="s">
        <v>712</v>
      </c>
      <c r="C8" s="95" t="s">
        <v>713</v>
      </c>
      <c r="D8" s="167" t="s">
        <v>716</v>
      </c>
      <c r="E8" s="162"/>
      <c r="F8" s="89"/>
      <c r="G8" s="89"/>
      <c r="H8">
        <v>203094</v>
      </c>
    </row>
    <row r="9" spans="1:10" x14ac:dyDescent="0.15">
      <c r="B9" s="95" t="s">
        <v>709</v>
      </c>
      <c r="C9" s="95" t="s">
        <v>617</v>
      </c>
      <c r="D9" s="166" t="s">
        <v>6</v>
      </c>
    </row>
    <row r="10" spans="1:10" x14ac:dyDescent="0.15">
      <c r="B10" s="95" t="s">
        <v>718</v>
      </c>
      <c r="C10" s="95" t="s">
        <v>719</v>
      </c>
      <c r="D10" s="166" t="s">
        <v>15</v>
      </c>
      <c r="E10" s="161">
        <v>1</v>
      </c>
    </row>
    <row r="11" spans="1:10" x14ac:dyDescent="0.15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15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15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15">
      <c r="B20" s="95" t="s">
        <v>503</v>
      </c>
      <c r="C20" s="95"/>
    </row>
    <row r="21" spans="2:7" x14ac:dyDescent="0.15">
      <c r="B21" s="95" t="s">
        <v>636</v>
      </c>
      <c r="C21" s="95"/>
    </row>
    <row r="22" spans="2:7" x14ac:dyDescent="0.15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5</v>
      </c>
    </row>
    <row r="3" spans="1:3" x14ac:dyDescent="0.15">
      <c r="B3" s="1" t="s">
        <v>141</v>
      </c>
    </row>
    <row r="4" spans="1:3" x14ac:dyDescent="0.15">
      <c r="B4" s="1" t="s">
        <v>138</v>
      </c>
      <c r="C4" s="15" t="s">
        <v>350</v>
      </c>
    </row>
    <row r="5" spans="1:3" x14ac:dyDescent="0.15">
      <c r="B5" s="1" t="s">
        <v>143</v>
      </c>
      <c r="C5" s="1" t="s">
        <v>144</v>
      </c>
    </row>
    <row r="6" spans="1:3" x14ac:dyDescent="0.15">
      <c r="B6" s="1" t="s">
        <v>142</v>
      </c>
      <c r="C6" s="1" t="s">
        <v>170</v>
      </c>
    </row>
    <row r="7" spans="1:3" x14ac:dyDescent="0.15">
      <c r="C7" s="1" t="s">
        <v>171</v>
      </c>
    </row>
    <row r="8" spans="1:3" x14ac:dyDescent="0.15">
      <c r="C8" s="1" t="s">
        <v>172</v>
      </c>
    </row>
    <row r="9" spans="1:3" x14ac:dyDescent="0.15">
      <c r="C9" s="1" t="s">
        <v>173</v>
      </c>
    </row>
    <row r="11" spans="1:3" x14ac:dyDescent="0.15">
      <c r="B11" s="34" t="s">
        <v>336</v>
      </c>
    </row>
    <row r="12" spans="1:3" x14ac:dyDescent="0.15">
      <c r="B12" s="16" t="s">
        <v>335</v>
      </c>
    </row>
    <row r="13" spans="1:3" x14ac:dyDescent="0.15">
      <c r="B13" s="34"/>
    </row>
    <row r="14" spans="1:3" x14ac:dyDescent="0.15">
      <c r="B14" s="34" t="s">
        <v>326</v>
      </c>
    </row>
    <row r="15" spans="1:3" x14ac:dyDescent="0.15">
      <c r="B15" s="1" t="s">
        <v>327</v>
      </c>
    </row>
    <row r="17" spans="2:11" x14ac:dyDescent="0.15">
      <c r="B17" s="34" t="s">
        <v>328</v>
      </c>
    </row>
    <row r="19" spans="2:11" x14ac:dyDescent="0.15">
      <c r="B19" s="34" t="s">
        <v>201</v>
      </c>
    </row>
    <row r="20" spans="2:11" x14ac:dyDescent="0.15">
      <c r="B20" s="1" t="s">
        <v>200</v>
      </c>
      <c r="J20" s="6" t="s">
        <v>222</v>
      </c>
      <c r="K20" s="6"/>
    </row>
    <row r="21" spans="2:11" x14ac:dyDescent="0.15">
      <c r="J21" s="6" t="s">
        <v>223</v>
      </c>
      <c r="K21" s="6" t="s">
        <v>225</v>
      </c>
    </row>
    <row r="22" spans="2:11" x14ac:dyDescent="0.1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15">
      <c r="I23" s="42">
        <v>39087</v>
      </c>
      <c r="J23" s="18">
        <v>17109</v>
      </c>
      <c r="K23" s="44">
        <v>0.22700000000000001</v>
      </c>
    </row>
    <row r="24" spans="2:11" x14ac:dyDescent="0.15">
      <c r="B24" s="1" t="s">
        <v>198</v>
      </c>
      <c r="J24" s="6"/>
      <c r="K24" s="6"/>
    </row>
    <row r="26" spans="2:11" x14ac:dyDescent="0.15">
      <c r="B26" s="1" t="s">
        <v>197</v>
      </c>
    </row>
    <row r="27" spans="2:11" x14ac:dyDescent="0.15">
      <c r="B27" s="1" t="s">
        <v>196</v>
      </c>
    </row>
    <row r="28" spans="2:11" x14ac:dyDescent="0.15">
      <c r="B28" s="1" t="s">
        <v>195</v>
      </c>
    </row>
    <row r="30" spans="2:11" x14ac:dyDescent="0.15">
      <c r="B30" s="1" t="s">
        <v>194</v>
      </c>
    </row>
    <row r="32" spans="2:11" x14ac:dyDescent="0.15">
      <c r="B32" s="34" t="s">
        <v>348</v>
      </c>
    </row>
    <row r="33" spans="2:2" x14ac:dyDescent="0.15">
      <c r="B33" s="1" t="s">
        <v>346</v>
      </c>
    </row>
    <row r="34" spans="2:2" x14ac:dyDescent="0.1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.5" style="1" customWidth="1"/>
    <col min="4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7</v>
      </c>
    </row>
    <row r="3" spans="1:3" x14ac:dyDescent="0.15">
      <c r="B3" s="1" t="s">
        <v>141</v>
      </c>
      <c r="C3" s="1" t="s">
        <v>304</v>
      </c>
    </row>
    <row r="4" spans="1:3" x14ac:dyDescent="0.15">
      <c r="B4" s="1" t="s">
        <v>1</v>
      </c>
      <c r="C4" s="1" t="s">
        <v>260</v>
      </c>
    </row>
    <row r="5" spans="1:3" x14ac:dyDescent="0.15">
      <c r="C5" s="1" t="s">
        <v>277</v>
      </c>
    </row>
    <row r="6" spans="1:3" x14ac:dyDescent="0.15">
      <c r="C6" s="1" t="s">
        <v>305</v>
      </c>
    </row>
    <row r="7" spans="1:3" x14ac:dyDescent="0.15">
      <c r="B7" s="1" t="s">
        <v>138</v>
      </c>
      <c r="C7" s="39" t="s">
        <v>314</v>
      </c>
    </row>
    <row r="8" spans="1:3" x14ac:dyDescent="0.15">
      <c r="B8" s="1" t="s">
        <v>4</v>
      </c>
      <c r="C8" s="1" t="s">
        <v>352</v>
      </c>
    </row>
    <row r="9" spans="1:3" x14ac:dyDescent="0.15">
      <c r="B9" s="1" t="s">
        <v>142</v>
      </c>
    </row>
    <row r="10" spans="1:3" x14ac:dyDescent="0.15">
      <c r="C10" s="34" t="s">
        <v>302</v>
      </c>
    </row>
    <row r="11" spans="1:3" x14ac:dyDescent="0.15">
      <c r="C11" s="1" t="s">
        <v>175</v>
      </c>
    </row>
    <row r="12" spans="1:3" x14ac:dyDescent="0.15">
      <c r="C12" s="1" t="s">
        <v>176</v>
      </c>
    </row>
    <row r="13" spans="1:3" x14ac:dyDescent="0.15">
      <c r="C13" s="1" t="s">
        <v>177</v>
      </c>
    </row>
    <row r="14" spans="1:3" x14ac:dyDescent="0.15">
      <c r="C14" s="1" t="s">
        <v>178</v>
      </c>
    </row>
    <row r="16" spans="1:3" x14ac:dyDescent="0.15">
      <c r="C16" s="34" t="s">
        <v>303</v>
      </c>
    </row>
    <row r="20" spans="3:8" x14ac:dyDescent="0.15">
      <c r="C20" s="34" t="s">
        <v>300</v>
      </c>
    </row>
    <row r="21" spans="3:8" x14ac:dyDescent="0.15">
      <c r="C21" s="1" t="s">
        <v>261</v>
      </c>
    </row>
    <row r="22" spans="3:8" x14ac:dyDescent="0.15">
      <c r="C22" s="1" t="s">
        <v>282</v>
      </c>
    </row>
    <row r="24" spans="3:8" x14ac:dyDescent="0.15">
      <c r="C24" s="34" t="s">
        <v>301</v>
      </c>
    </row>
    <row r="25" spans="3:8" x14ac:dyDescent="0.15">
      <c r="C25" s="1" t="s">
        <v>283</v>
      </c>
    </row>
    <row r="26" spans="3:8" x14ac:dyDescent="0.15">
      <c r="C26" s="1" t="s">
        <v>284</v>
      </c>
    </row>
    <row r="29" spans="3:8" x14ac:dyDescent="0.15">
      <c r="D29" s="6" t="s">
        <v>222</v>
      </c>
      <c r="E29" s="6"/>
      <c r="G29" s="1" t="s">
        <v>32</v>
      </c>
      <c r="H29" s="1" t="s">
        <v>35</v>
      </c>
    </row>
    <row r="30" spans="3:8" x14ac:dyDescent="0.1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1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1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15">
      <c r="D33" s="6"/>
      <c r="E33" s="6"/>
    </row>
    <row r="36" spans="3:5" x14ac:dyDescent="0.15">
      <c r="C36" s="34" t="s">
        <v>420</v>
      </c>
    </row>
    <row r="38" spans="3:5" x14ac:dyDescent="0.15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83203125" defaultRowHeight="13" x14ac:dyDescent="0.15"/>
  <cols>
    <col min="1" max="1" width="4.5" bestFit="1" customWidth="1"/>
    <col min="2" max="2" width="12.33203125" bestFit="1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368</v>
      </c>
    </row>
    <row r="3" spans="1:3" x14ac:dyDescent="0.15">
      <c r="B3" s="95" t="s">
        <v>141</v>
      </c>
      <c r="C3" s="95" t="s">
        <v>632</v>
      </c>
    </row>
    <row r="4" spans="1:3" x14ac:dyDescent="0.15">
      <c r="B4" s="95" t="s">
        <v>631</v>
      </c>
    </row>
    <row r="5" spans="1:3" x14ac:dyDescent="0.15">
      <c r="C5" s="121" t="s">
        <v>633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8" width="9.1640625" style="1"/>
    <col min="9" max="9" width="9.5" style="1" customWidth="1"/>
    <col min="10" max="13" width="9.1640625" style="6"/>
    <col min="14" max="16384" width="9.1640625" style="1"/>
  </cols>
  <sheetData>
    <row r="1" spans="1:13" x14ac:dyDescent="0.15">
      <c r="A1" s="12" t="s">
        <v>139</v>
      </c>
    </row>
    <row r="2" spans="1:13" x14ac:dyDescent="0.15">
      <c r="B2" s="1" t="s">
        <v>140</v>
      </c>
      <c r="C2" s="1" t="s">
        <v>145</v>
      </c>
    </row>
    <row r="3" spans="1:13" x14ac:dyDescent="0.15">
      <c r="B3" s="1" t="s">
        <v>141</v>
      </c>
      <c r="C3" s="1" t="s">
        <v>153</v>
      </c>
    </row>
    <row r="4" spans="1:13" x14ac:dyDescent="0.15">
      <c r="B4" s="1" t="s">
        <v>138</v>
      </c>
      <c r="C4" s="1" t="s">
        <v>154</v>
      </c>
    </row>
    <row r="5" spans="1:13" x14ac:dyDescent="0.15">
      <c r="B5" s="1" t="s">
        <v>142</v>
      </c>
      <c r="C5" s="1" t="s">
        <v>174</v>
      </c>
    </row>
    <row r="6" spans="1:13" x14ac:dyDescent="0.15">
      <c r="B6" s="1" t="s">
        <v>193</v>
      </c>
      <c r="C6" s="1" t="s">
        <v>308</v>
      </c>
    </row>
    <row r="7" spans="1:13" x14ac:dyDescent="0.15">
      <c r="C7" s="1" t="s">
        <v>315</v>
      </c>
    </row>
    <row r="8" spans="1:13" x14ac:dyDescent="0.15">
      <c r="B8" s="1" t="s">
        <v>138</v>
      </c>
      <c r="C8" s="1" t="s">
        <v>355</v>
      </c>
    </row>
    <row r="9" spans="1:13" x14ac:dyDescent="0.15">
      <c r="A9" s="92"/>
      <c r="J9" s="6" t="s">
        <v>222</v>
      </c>
    </row>
    <row r="10" spans="1:13" x14ac:dyDescent="0.1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1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1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15">
      <c r="B14" s="1" t="s">
        <v>205</v>
      </c>
    </row>
    <row r="15" spans="1:13" x14ac:dyDescent="0.15">
      <c r="B15" s="40" t="s">
        <v>204</v>
      </c>
      <c r="C15" s="9" t="s">
        <v>203</v>
      </c>
      <c r="D15" s="9" t="s">
        <v>202</v>
      </c>
    </row>
    <row r="16" spans="1:13" x14ac:dyDescent="0.15">
      <c r="B16" s="1" t="s">
        <v>5</v>
      </c>
      <c r="C16" s="41">
        <v>759</v>
      </c>
      <c r="D16" s="7">
        <f>C16/C18</f>
        <v>0.62009803921568629</v>
      </c>
    </row>
    <row r="17" spans="2:4" x14ac:dyDescent="0.15">
      <c r="B17" s="1" t="s">
        <v>33</v>
      </c>
      <c r="C17" s="41">
        <v>465</v>
      </c>
      <c r="D17" s="7">
        <f>C17/C18</f>
        <v>0.37990196078431371</v>
      </c>
    </row>
    <row r="18" spans="2:4" x14ac:dyDescent="0.15">
      <c r="B18" s="1" t="s">
        <v>34</v>
      </c>
      <c r="C18" s="41">
        <f>C17+C16</f>
        <v>1224</v>
      </c>
      <c r="D18" s="6"/>
    </row>
    <row r="19" spans="2:4" x14ac:dyDescent="0.15">
      <c r="B19" s="1" t="s">
        <v>349</v>
      </c>
    </row>
    <row r="21" spans="2:4" x14ac:dyDescent="0.15">
      <c r="B21" s="1" t="s">
        <v>220</v>
      </c>
    </row>
    <row r="22" spans="2:4" x14ac:dyDescent="0.1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705</v>
      </c>
    </row>
    <row r="3" spans="1:3" x14ac:dyDescent="0.15">
      <c r="B3" s="95" t="s">
        <v>53</v>
      </c>
      <c r="C3" s="95" t="s">
        <v>704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</cols>
  <sheetData>
    <row r="1" spans="1:8" x14ac:dyDescent="0.15">
      <c r="A1" s="33" t="s">
        <v>139</v>
      </c>
    </row>
    <row r="2" spans="1:8" x14ac:dyDescent="0.1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15">
      <c r="B3" s="14" t="s">
        <v>395</v>
      </c>
      <c r="C3" s="14"/>
      <c r="D3" s="14"/>
      <c r="E3" s="14"/>
      <c r="F3" s="14"/>
      <c r="G3" s="14"/>
      <c r="H3" s="14"/>
    </row>
    <row r="4" spans="1:8" x14ac:dyDescent="0.15">
      <c r="B4" s="14" t="s">
        <v>396</v>
      </c>
      <c r="C4" s="14"/>
      <c r="D4" s="14"/>
      <c r="E4" s="14"/>
      <c r="F4" s="14"/>
      <c r="G4" s="14"/>
      <c r="H4" s="14"/>
    </row>
    <row r="5" spans="1:8" x14ac:dyDescent="0.15">
      <c r="B5" s="14" t="s">
        <v>397</v>
      </c>
      <c r="C5" s="14"/>
      <c r="D5" s="14"/>
      <c r="E5" s="14"/>
      <c r="F5" s="14"/>
      <c r="G5" s="14"/>
      <c r="H5" s="14"/>
    </row>
    <row r="6" spans="1:8" x14ac:dyDescent="0.15">
      <c r="B6" s="14" t="s">
        <v>398</v>
      </c>
      <c r="C6" s="14"/>
      <c r="D6" s="14"/>
      <c r="E6" s="14"/>
      <c r="F6" s="14"/>
      <c r="G6" s="14"/>
      <c r="H6" s="14"/>
    </row>
    <row r="7" spans="1:8" x14ac:dyDescent="0.15">
      <c r="B7" s="14" t="s">
        <v>399</v>
      </c>
      <c r="C7" s="14"/>
      <c r="D7" s="14"/>
      <c r="E7" s="14"/>
      <c r="F7" s="14"/>
      <c r="G7" s="14"/>
      <c r="H7" s="14"/>
    </row>
    <row r="8" spans="1:8" x14ac:dyDescent="0.15">
      <c r="B8" s="14" t="s">
        <v>400</v>
      </c>
      <c r="C8" s="14"/>
      <c r="D8" s="14"/>
      <c r="E8" s="14"/>
      <c r="F8" s="14"/>
      <c r="G8" s="14"/>
      <c r="H8" s="14"/>
    </row>
    <row r="9" spans="1:8" x14ac:dyDescent="0.15">
      <c r="B9" s="14" t="s">
        <v>401</v>
      </c>
      <c r="C9" s="14"/>
      <c r="D9" s="14"/>
      <c r="E9" s="14"/>
      <c r="F9" s="14"/>
      <c r="G9" s="14"/>
      <c r="H9" s="14"/>
    </row>
    <row r="10" spans="1:8" x14ac:dyDescent="0.15">
      <c r="B10" s="14" t="s">
        <v>402</v>
      </c>
      <c r="C10" s="14"/>
      <c r="D10" s="14"/>
      <c r="E10" s="14"/>
      <c r="F10" s="14"/>
      <c r="G10" s="14"/>
      <c r="H10" s="14"/>
    </row>
    <row r="11" spans="1:8" x14ac:dyDescent="0.1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1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15">
      <c r="B13" s="14" t="s">
        <v>393</v>
      </c>
      <c r="C13" s="14"/>
      <c r="D13" s="14"/>
      <c r="E13" s="14"/>
      <c r="F13" s="14"/>
      <c r="G13" s="14"/>
      <c r="H13" s="14"/>
    </row>
    <row r="14" spans="1:8" x14ac:dyDescent="0.15">
      <c r="B14" s="14" t="s">
        <v>383</v>
      </c>
      <c r="C14" s="14"/>
      <c r="D14" s="14"/>
      <c r="E14" s="14"/>
      <c r="F14" s="14"/>
      <c r="G14" s="14"/>
      <c r="H14" s="14"/>
    </row>
    <row r="15" spans="1:8" x14ac:dyDescent="0.15">
      <c r="B15" s="14" t="s">
        <v>384</v>
      </c>
      <c r="C15" s="14"/>
      <c r="D15" s="14"/>
      <c r="E15" s="14"/>
      <c r="F15" s="14"/>
      <c r="G15" s="14"/>
      <c r="H15" s="14"/>
    </row>
    <row r="16" spans="1:8" x14ac:dyDescent="0.15">
      <c r="B16" s="14" t="s">
        <v>385</v>
      </c>
      <c r="C16" s="14"/>
      <c r="D16" s="14"/>
      <c r="E16" s="14"/>
      <c r="F16" s="14"/>
      <c r="G16" s="14"/>
      <c r="H16" s="14"/>
    </row>
    <row r="17" spans="2:8" x14ac:dyDescent="0.15">
      <c r="B17" s="14" t="s">
        <v>386</v>
      </c>
      <c r="C17" s="14"/>
      <c r="D17" s="14"/>
      <c r="E17" s="14"/>
      <c r="F17" s="14"/>
      <c r="G17" s="14"/>
      <c r="H17" s="14"/>
    </row>
    <row r="18" spans="2:8" x14ac:dyDescent="0.15">
      <c r="B18" s="14" t="s">
        <v>387</v>
      </c>
      <c r="C18" s="14"/>
      <c r="D18" s="14"/>
      <c r="E18" s="14"/>
      <c r="F18" s="14"/>
      <c r="G18" s="14"/>
      <c r="H18" s="14"/>
    </row>
    <row r="19" spans="2:8" x14ac:dyDescent="0.15">
      <c r="B19" s="14" t="s">
        <v>388</v>
      </c>
      <c r="C19" s="14"/>
      <c r="D19" s="14"/>
      <c r="E19" s="14"/>
      <c r="F19" s="14"/>
      <c r="G19" s="14"/>
      <c r="H19" s="14"/>
    </row>
    <row r="20" spans="2:8" x14ac:dyDescent="0.15">
      <c r="B20" s="14" t="s">
        <v>389</v>
      </c>
      <c r="C20" s="14"/>
      <c r="D20" s="14"/>
      <c r="E20" s="14"/>
      <c r="F20" s="14"/>
      <c r="G20" s="14"/>
      <c r="H20" s="14"/>
    </row>
    <row r="21" spans="2:8" x14ac:dyDescent="0.15">
      <c r="B21" s="14" t="s">
        <v>390</v>
      </c>
      <c r="C21" s="14"/>
      <c r="D21" s="14"/>
      <c r="E21" s="14"/>
      <c r="F21" s="14"/>
      <c r="G21" s="14"/>
      <c r="H21" s="14"/>
    </row>
    <row r="22" spans="2:8" x14ac:dyDescent="0.15">
      <c r="B22" s="14" t="s">
        <v>391</v>
      </c>
      <c r="C22" s="14"/>
      <c r="D22" s="14"/>
      <c r="E22" s="14"/>
      <c r="F22" s="14"/>
      <c r="G22" s="14"/>
      <c r="H22" s="14"/>
    </row>
    <row r="23" spans="2:8" x14ac:dyDescent="0.15">
      <c r="B23" s="14" t="s">
        <v>392</v>
      </c>
      <c r="C23" s="14"/>
      <c r="D23" s="14"/>
      <c r="E23" s="14"/>
      <c r="F23" s="14"/>
      <c r="G23" s="14"/>
      <c r="H23" s="14"/>
    </row>
    <row r="24" spans="2:8" x14ac:dyDescent="0.15">
      <c r="B24" s="14" t="s">
        <v>382</v>
      </c>
      <c r="C24" s="14"/>
      <c r="D24" s="14"/>
      <c r="E24" s="14"/>
      <c r="F24" s="14"/>
      <c r="G24" s="14"/>
      <c r="H24" s="14"/>
    </row>
    <row r="25" spans="2:8" x14ac:dyDescent="0.15">
      <c r="B25" s="14" t="s">
        <v>381</v>
      </c>
      <c r="C25" s="14"/>
      <c r="D25" s="14"/>
      <c r="E25" s="14"/>
      <c r="F25" s="14"/>
      <c r="G25" s="14"/>
      <c r="H25" s="14"/>
    </row>
    <row r="26" spans="2:8" x14ac:dyDescent="0.1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1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1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1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1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3" x14ac:dyDescent="0.15"/>
  <cols>
    <col min="1" max="1" width="9.1640625" style="55"/>
    <col min="2" max="2" width="9.1640625" style="72"/>
    <col min="3" max="3" width="3.33203125" style="55" customWidth="1"/>
    <col min="4" max="4" width="9.1640625" style="55"/>
    <col min="5" max="5" width="11" style="55" customWidth="1"/>
    <col min="6" max="6" width="12.6640625" style="55" customWidth="1"/>
    <col min="7" max="7" width="9.5" style="56" bestFit="1" customWidth="1"/>
    <col min="8" max="8" width="9.1640625" style="55"/>
    <col min="9" max="16" width="9.1640625" style="7"/>
    <col min="17" max="18" width="9.1640625" style="55"/>
    <col min="19" max="19" width="8.1640625" style="55" bestFit="1" customWidth="1"/>
    <col min="20" max="20" width="11.1640625" style="56" bestFit="1" customWidth="1"/>
    <col min="21" max="21" width="9.1640625" style="55"/>
    <col min="22" max="22" width="9.1640625" style="7"/>
    <col min="23" max="30" width="9.1640625" style="55"/>
    <col min="31" max="31" width="7.5" style="55" customWidth="1"/>
    <col min="32" max="32" width="11.1640625" style="56" bestFit="1" customWidth="1"/>
    <col min="33" max="33" width="10.33203125" style="56" bestFit="1" customWidth="1"/>
    <col min="34" max="34" width="9.1640625" style="7"/>
    <col min="35" max="40" width="10.33203125" style="56" customWidth="1"/>
    <col min="41" max="41" width="9.1640625" style="56"/>
    <col min="42" max="42" width="10.33203125" style="55" bestFit="1" customWidth="1"/>
    <col min="43" max="43" width="9.1640625" style="55"/>
    <col min="44" max="44" width="10.1640625" style="55" bestFit="1" customWidth="1"/>
    <col min="45" max="45" width="8" style="56" customWidth="1"/>
    <col min="46" max="46" width="9.1640625" style="55"/>
    <col min="47" max="47" width="9.1640625" style="7"/>
    <col min="48" max="16384" width="9.1640625" style="55"/>
  </cols>
  <sheetData>
    <row r="1" spans="1:53" x14ac:dyDescent="0.15">
      <c r="A1" s="67" t="s">
        <v>139</v>
      </c>
    </row>
    <row r="2" spans="1:53" x14ac:dyDescent="0.15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15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15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15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15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15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15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15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15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15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15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15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15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15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15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15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15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15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15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15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15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15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15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15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15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15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15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15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15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15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15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15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15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15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15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15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15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15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15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15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15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15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15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15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15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15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15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15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15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15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15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15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15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15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15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15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15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15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15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15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15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15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15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15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15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15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15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15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15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15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15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15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15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15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15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15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15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15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15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15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15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15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15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15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15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15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15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15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15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15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15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15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15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15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15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15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15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15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15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15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15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15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15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15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15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15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15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15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15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15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15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15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15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15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15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15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15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15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15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15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15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15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15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15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15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15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15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15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15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15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15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15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1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1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1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1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1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15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1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1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1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1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1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15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1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1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1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1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1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1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1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1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1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15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15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15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15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15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15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15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15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15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15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15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15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15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15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15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15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15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15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15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15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15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15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15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15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15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15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15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15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15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15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15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15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15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15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15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15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15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15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15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15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15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15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15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15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15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15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15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15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15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15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15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15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15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15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15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15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15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15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15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15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15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15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15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15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15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15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15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15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15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15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15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15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15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15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15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15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15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15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15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baseColWidth="10" defaultColWidth="9.1640625" defaultRowHeight="13" x14ac:dyDescent="0.15"/>
  <cols>
    <col min="1" max="1" width="5" style="1" bestFit="1" customWidth="1"/>
    <col min="2" max="2" width="10.1640625" style="1" bestFit="1" customWidth="1"/>
    <col min="3" max="3" width="10.1640625" style="1" customWidth="1"/>
    <col min="4" max="4" width="4.33203125" style="6" bestFit="1" customWidth="1"/>
    <col min="5" max="5" width="6.33203125" style="6" customWidth="1"/>
    <col min="6" max="6" width="5.5" style="6" bestFit="1" customWidth="1"/>
    <col min="7" max="7" width="5.5" style="6" customWidth="1"/>
    <col min="8" max="8" width="8.6640625" style="22" customWidth="1"/>
    <col min="9" max="9" width="7.33203125" style="1" customWidth="1"/>
    <col min="10" max="10" width="5.5" style="1" bestFit="1" customWidth="1"/>
    <col min="11" max="11" width="9.1640625" style="1"/>
    <col min="12" max="12" width="5.83203125" style="1" customWidth="1"/>
    <col min="13" max="13" width="6.5" style="1" customWidth="1"/>
    <col min="14" max="14" width="5.5" style="1" bestFit="1" customWidth="1"/>
    <col min="15" max="15" width="7.5" style="1" customWidth="1"/>
    <col min="16" max="16" width="4.33203125" style="1" bestFit="1" customWidth="1"/>
    <col min="17" max="17" width="9.1640625" style="1"/>
    <col min="18" max="18" width="5.5" style="1" bestFit="1" customWidth="1"/>
    <col min="19" max="19" width="5.5" style="1" customWidth="1"/>
    <col min="20" max="20" width="9.1640625" style="6"/>
    <col min="21" max="16384" width="9.1640625" style="1"/>
  </cols>
  <sheetData>
    <row r="1" spans="1:20" x14ac:dyDescent="0.15">
      <c r="A1" s="12" t="s">
        <v>139</v>
      </c>
    </row>
    <row r="2" spans="1:20" s="15" customFormat="1" x14ac:dyDescent="0.15">
      <c r="D2" s="30"/>
      <c r="E2" s="176" t="s">
        <v>227</v>
      </c>
      <c r="F2" s="176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1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15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15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15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15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15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15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15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15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15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15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15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15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15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15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15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15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15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15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15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15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15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15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15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15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15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15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15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15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15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15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15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15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15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15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15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15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15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15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15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15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15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15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15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15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15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15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15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15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15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15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15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15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15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15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15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15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15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1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33" t="s">
        <v>139</v>
      </c>
    </row>
    <row r="2" spans="1:2" x14ac:dyDescent="0.15">
      <c r="B2" t="s">
        <v>47</v>
      </c>
    </row>
    <row r="3" spans="1:2" x14ac:dyDescent="0.15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83203125" style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</row>
    <row r="3" spans="1:3" x14ac:dyDescent="0.15">
      <c r="B3" s="1" t="s">
        <v>141</v>
      </c>
      <c r="C3" s="1" t="s">
        <v>209</v>
      </c>
    </row>
    <row r="4" spans="1:3" x14ac:dyDescent="0.15">
      <c r="B4" s="1" t="s">
        <v>1</v>
      </c>
      <c r="C4" s="1" t="s">
        <v>330</v>
      </c>
    </row>
    <row r="5" spans="1:3" x14ac:dyDescent="0.15">
      <c r="B5" s="1" t="s">
        <v>253</v>
      </c>
      <c r="C5" s="1" t="s">
        <v>325</v>
      </c>
    </row>
    <row r="6" spans="1:3" x14ac:dyDescent="0.15">
      <c r="B6" s="1" t="s">
        <v>142</v>
      </c>
    </row>
    <row r="7" spans="1:3" x14ac:dyDescent="0.15">
      <c r="C7" s="34" t="s">
        <v>331</v>
      </c>
    </row>
    <row r="8" spans="1:3" x14ac:dyDescent="0.15">
      <c r="C8" s="1" t="s">
        <v>265</v>
      </c>
    </row>
    <row r="9" spans="1:3" x14ac:dyDescent="0.15">
      <c r="C9" s="1" t="s">
        <v>306</v>
      </c>
    </row>
    <row r="11" spans="1:3" x14ac:dyDescent="0.15">
      <c r="C11" s="34" t="s">
        <v>332</v>
      </c>
    </row>
    <row r="12" spans="1:3" x14ac:dyDescent="0.15">
      <c r="C12" s="1" t="s">
        <v>266</v>
      </c>
    </row>
    <row r="13" spans="1:3" x14ac:dyDescent="0.15">
      <c r="C13" s="1" t="s">
        <v>307</v>
      </c>
    </row>
    <row r="15" spans="1:3" x14ac:dyDescent="0.15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zoomScale="130" zoomScaleNormal="130" workbookViewId="0">
      <selection activeCell="I3" sqref="I3"/>
    </sheetView>
  </sheetViews>
  <sheetFormatPr baseColWidth="10" defaultColWidth="9.1640625" defaultRowHeight="13" x14ac:dyDescent="0.15"/>
  <cols>
    <col min="1" max="1" width="2.83203125" style="1" customWidth="1"/>
    <col min="2" max="2" width="32.83203125" style="1" customWidth="1"/>
    <col min="3" max="3" width="15.1640625" style="1" customWidth="1"/>
    <col min="4" max="5" width="15.5" style="1" customWidth="1"/>
    <col min="6" max="6" width="25.5" style="1" customWidth="1"/>
    <col min="7" max="7" width="24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5" width="9.1640625" style="1"/>
    <col min="16" max="16" width="11.5" style="1" bestFit="1" customWidth="1"/>
    <col min="17" max="16384" width="9.1640625" style="1"/>
  </cols>
  <sheetData>
    <row r="1" spans="1:16" x14ac:dyDescent="0.15">
      <c r="A1" s="92"/>
    </row>
    <row r="2" spans="1:16" x14ac:dyDescent="0.15">
      <c r="B2" s="2" t="s">
        <v>0</v>
      </c>
      <c r="C2" s="90" t="s">
        <v>1</v>
      </c>
      <c r="D2" s="3" t="s">
        <v>2</v>
      </c>
      <c r="E2" s="3" t="s">
        <v>188</v>
      </c>
      <c r="F2" s="169" t="s">
        <v>714</v>
      </c>
      <c r="G2" s="4" t="s">
        <v>4</v>
      </c>
      <c r="I2" s="1" t="s">
        <v>138</v>
      </c>
      <c r="J2" s="49">
        <v>79.34</v>
      </c>
    </row>
    <row r="3" spans="1:16" x14ac:dyDescent="0.15">
      <c r="B3" s="32" t="s">
        <v>706</v>
      </c>
      <c r="C3" s="94" t="s">
        <v>6</v>
      </c>
      <c r="D3" s="7">
        <v>1</v>
      </c>
      <c r="E3" s="35"/>
      <c r="F3" s="97" t="s">
        <v>708</v>
      </c>
      <c r="G3" s="8">
        <v>2033</v>
      </c>
      <c r="I3" s="1" t="s">
        <v>21</v>
      </c>
      <c r="J3" s="17">
        <v>1253.3673940000001</v>
      </c>
      <c r="K3" s="101" t="s">
        <v>677</v>
      </c>
    </row>
    <row r="4" spans="1:16" x14ac:dyDescent="0.15">
      <c r="B4" s="32" t="s">
        <v>737</v>
      </c>
      <c r="C4" s="94" t="s">
        <v>6</v>
      </c>
      <c r="D4" s="7">
        <v>1</v>
      </c>
      <c r="E4" s="35"/>
      <c r="F4" s="97" t="s">
        <v>708</v>
      </c>
      <c r="G4" s="8">
        <v>2027</v>
      </c>
      <c r="I4" s="1" t="s">
        <v>262</v>
      </c>
      <c r="J4" s="17">
        <f>J3*J2</f>
        <v>99442.169039960019</v>
      </c>
    </row>
    <row r="5" spans="1:16" x14ac:dyDescent="0.15">
      <c r="B5" s="32" t="s">
        <v>733</v>
      </c>
      <c r="C5" s="94" t="s">
        <v>6</v>
      </c>
      <c r="D5" s="7">
        <v>1</v>
      </c>
      <c r="E5" s="35"/>
      <c r="F5" s="97" t="s">
        <v>736</v>
      </c>
      <c r="G5" s="8">
        <v>2025</v>
      </c>
      <c r="I5" s="1" t="s">
        <v>46</v>
      </c>
      <c r="J5" s="17">
        <v>7000</v>
      </c>
      <c r="K5" s="101" t="s">
        <v>677</v>
      </c>
    </row>
    <row r="6" spans="1:16" x14ac:dyDescent="0.15">
      <c r="B6" s="32" t="s">
        <v>741</v>
      </c>
      <c r="C6" s="94" t="s">
        <v>6</v>
      </c>
      <c r="D6" s="7">
        <v>1</v>
      </c>
      <c r="E6" s="35"/>
      <c r="F6" s="97" t="s">
        <v>753</v>
      </c>
      <c r="G6" s="8"/>
      <c r="I6" s="1" t="s">
        <v>208</v>
      </c>
      <c r="J6" s="17">
        <f>25195+1021</f>
        <v>26216</v>
      </c>
      <c r="K6" s="101" t="s">
        <v>677</v>
      </c>
    </row>
    <row r="7" spans="1:16" x14ac:dyDescent="0.15">
      <c r="B7" s="32" t="s">
        <v>573</v>
      </c>
      <c r="C7" s="94" t="s">
        <v>6</v>
      </c>
      <c r="D7" s="7">
        <v>1</v>
      </c>
      <c r="E7" s="35">
        <v>41148</v>
      </c>
      <c r="F7" s="97" t="s">
        <v>708</v>
      </c>
      <c r="G7" s="8">
        <v>2021</v>
      </c>
      <c r="I7" s="1" t="s">
        <v>263</v>
      </c>
      <c r="J7" s="17">
        <f>J4-J5+J6</f>
        <v>118658.16903996002</v>
      </c>
    </row>
    <row r="8" spans="1:16" x14ac:dyDescent="0.15">
      <c r="B8" s="32" t="s">
        <v>743</v>
      </c>
      <c r="C8" s="94" t="s">
        <v>744</v>
      </c>
      <c r="D8" s="7">
        <v>1</v>
      </c>
      <c r="E8" s="35"/>
      <c r="F8" s="97" t="s">
        <v>752</v>
      </c>
      <c r="G8" s="8"/>
    </row>
    <row r="9" spans="1:16" x14ac:dyDescent="0.1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30"/>
    </row>
    <row r="10" spans="1:16" x14ac:dyDescent="0.15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754</v>
      </c>
      <c r="G10" s="8" t="s">
        <v>324</v>
      </c>
      <c r="I10" s="1" t="s">
        <v>720</v>
      </c>
    </row>
    <row r="11" spans="1:16" x14ac:dyDescent="0.15">
      <c r="B11" s="5" t="s">
        <v>147</v>
      </c>
      <c r="C11" s="89" t="s">
        <v>6</v>
      </c>
      <c r="D11" s="7">
        <v>1</v>
      </c>
      <c r="E11" s="35" t="s">
        <v>339</v>
      </c>
      <c r="F11" s="97" t="s">
        <v>752</v>
      </c>
      <c r="G11" s="8" t="s">
        <v>323</v>
      </c>
      <c r="I11" s="92" t="s">
        <v>751</v>
      </c>
      <c r="N11" s="15"/>
      <c r="P11" s="131"/>
    </row>
    <row r="12" spans="1:16" x14ac:dyDescent="0.1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30" t="s">
        <v>694</v>
      </c>
      <c r="N12" s="130"/>
    </row>
    <row r="13" spans="1:16" x14ac:dyDescent="0.15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755</v>
      </c>
      <c r="G13" s="8" t="s">
        <v>505</v>
      </c>
    </row>
    <row r="14" spans="1:16" x14ac:dyDescent="0.15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758</v>
      </c>
      <c r="G14" s="8"/>
    </row>
    <row r="15" spans="1:16" x14ac:dyDescent="0.15">
      <c r="B15" s="96" t="s">
        <v>685</v>
      </c>
      <c r="C15" s="6"/>
      <c r="D15" s="7"/>
      <c r="E15" s="35"/>
      <c r="F15" s="97"/>
      <c r="G15" s="8"/>
    </row>
    <row r="16" spans="1:16" x14ac:dyDescent="0.15">
      <c r="B16" s="96" t="s">
        <v>686</v>
      </c>
      <c r="C16" s="6"/>
      <c r="D16" s="7"/>
      <c r="E16" s="35"/>
      <c r="F16" s="97"/>
      <c r="G16" s="8"/>
    </row>
    <row r="17" spans="2:7" x14ac:dyDescent="0.15">
      <c r="B17" s="96" t="s">
        <v>763</v>
      </c>
      <c r="C17" s="6"/>
      <c r="D17" s="7"/>
      <c r="E17" s="35"/>
      <c r="F17" s="97"/>
      <c r="G17" s="8"/>
    </row>
    <row r="18" spans="2:7" x14ac:dyDescent="0.15">
      <c r="B18" s="96" t="s">
        <v>762</v>
      </c>
      <c r="C18" s="97" t="s">
        <v>6</v>
      </c>
      <c r="D18" s="7"/>
      <c r="E18" s="35"/>
      <c r="F18" s="97"/>
      <c r="G18" s="8"/>
    </row>
    <row r="19" spans="2:7" x14ac:dyDescent="0.15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15">
      <c r="B20" s="32" t="s">
        <v>757</v>
      </c>
      <c r="C20" s="97" t="s">
        <v>759</v>
      </c>
      <c r="D20" s="25"/>
      <c r="E20" s="97"/>
      <c r="F20" s="22"/>
      <c r="G20" s="29"/>
    </row>
    <row r="21" spans="2:7" x14ac:dyDescent="0.15">
      <c r="B21" s="32" t="s">
        <v>696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15">
      <c r="B22" s="32" t="s">
        <v>688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15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15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15">
      <c r="B25" s="96"/>
      <c r="C25" s="97"/>
      <c r="D25" s="7"/>
      <c r="E25" s="97"/>
      <c r="F25" s="97"/>
      <c r="G25" s="8"/>
    </row>
    <row r="26" spans="2:7" x14ac:dyDescent="0.15">
      <c r="B26" s="96" t="s">
        <v>690</v>
      </c>
      <c r="C26" s="97"/>
      <c r="D26" s="7"/>
      <c r="E26" s="97" t="s">
        <v>322</v>
      </c>
      <c r="F26" s="97" t="s">
        <v>693</v>
      </c>
      <c r="G26" s="8"/>
    </row>
    <row r="27" spans="2:7" x14ac:dyDescent="0.15">
      <c r="B27" s="96" t="s">
        <v>691</v>
      </c>
      <c r="C27" s="97"/>
      <c r="D27" s="7"/>
      <c r="E27" s="97" t="s">
        <v>322</v>
      </c>
      <c r="F27" s="97" t="s">
        <v>692</v>
      </c>
      <c r="G27" s="8"/>
    </row>
    <row r="28" spans="2:7" x14ac:dyDescent="0.15">
      <c r="B28" s="5" t="s">
        <v>321</v>
      </c>
      <c r="C28" s="6" t="s">
        <v>499</v>
      </c>
      <c r="D28" s="7">
        <v>1</v>
      </c>
      <c r="E28" s="6" t="s">
        <v>317</v>
      </c>
      <c r="F28" s="6" t="s">
        <v>329</v>
      </c>
      <c r="G28" s="8" t="s">
        <v>169</v>
      </c>
    </row>
    <row r="29" spans="2:7" x14ac:dyDescent="0.15">
      <c r="B29" s="96" t="s">
        <v>267</v>
      </c>
      <c r="C29" s="97" t="s">
        <v>15</v>
      </c>
      <c r="D29" s="98">
        <v>1</v>
      </c>
      <c r="E29" s="97" t="s">
        <v>317</v>
      </c>
      <c r="F29" s="97" t="s">
        <v>487</v>
      </c>
      <c r="G29" s="8"/>
    </row>
    <row r="30" spans="2:7" x14ac:dyDescent="0.15">
      <c r="B30" s="32" t="s">
        <v>623</v>
      </c>
      <c r="C30" s="97" t="s">
        <v>624</v>
      </c>
      <c r="D30" s="98">
        <v>1</v>
      </c>
      <c r="E30" s="97" t="s">
        <v>317</v>
      </c>
      <c r="F30" s="97" t="s">
        <v>628</v>
      </c>
      <c r="G30" s="116" t="s">
        <v>629</v>
      </c>
    </row>
    <row r="31" spans="2:7" x14ac:dyDescent="0.15">
      <c r="B31" s="96" t="s">
        <v>619</v>
      </c>
      <c r="C31" s="97" t="s">
        <v>620</v>
      </c>
      <c r="D31" s="98">
        <v>1</v>
      </c>
      <c r="E31" s="97" t="s">
        <v>317</v>
      </c>
      <c r="F31" s="97" t="s">
        <v>621</v>
      </c>
      <c r="G31" s="116" t="s">
        <v>622</v>
      </c>
    </row>
    <row r="32" spans="2:7" x14ac:dyDescent="0.15">
      <c r="B32" s="122" t="s">
        <v>488</v>
      </c>
      <c r="C32" s="94" t="s">
        <v>15</v>
      </c>
      <c r="D32" s="123">
        <v>1</v>
      </c>
      <c r="E32" s="94" t="s">
        <v>317</v>
      </c>
      <c r="F32" s="94" t="s">
        <v>506</v>
      </c>
      <c r="G32" s="124"/>
    </row>
    <row r="33" spans="2:7" x14ac:dyDescent="0.15">
      <c r="B33" s="122" t="s">
        <v>489</v>
      </c>
      <c r="C33" s="94" t="s">
        <v>15</v>
      </c>
      <c r="D33" s="123">
        <v>1</v>
      </c>
      <c r="E33" s="94" t="s">
        <v>507</v>
      </c>
      <c r="F33" s="94" t="s">
        <v>490</v>
      </c>
      <c r="G33" s="124"/>
    </row>
    <row r="34" spans="2:7" x14ac:dyDescent="0.15">
      <c r="B34" s="122" t="s">
        <v>634</v>
      </c>
      <c r="C34" s="111" t="s">
        <v>637</v>
      </c>
      <c r="D34" s="123">
        <v>1</v>
      </c>
      <c r="E34" s="94" t="s">
        <v>317</v>
      </c>
      <c r="F34" s="94" t="s">
        <v>638</v>
      </c>
      <c r="G34" s="126" t="s">
        <v>616</v>
      </c>
    </row>
    <row r="35" spans="2:7" x14ac:dyDescent="0.15">
      <c r="B35" s="88" t="s">
        <v>500</v>
      </c>
      <c r="C35" s="9" t="s">
        <v>501</v>
      </c>
      <c r="D35" s="10"/>
      <c r="E35" s="9" t="s">
        <v>322</v>
      </c>
      <c r="F35" s="9" t="s">
        <v>502</v>
      </c>
      <c r="G35" s="11"/>
    </row>
    <row r="37" spans="2:7" x14ac:dyDescent="0.15">
      <c r="E37" s="21" t="s">
        <v>474</v>
      </c>
    </row>
    <row r="38" spans="2:7" x14ac:dyDescent="0.15">
      <c r="E38" s="21" t="s">
        <v>472</v>
      </c>
    </row>
    <row r="39" spans="2:7" x14ac:dyDescent="0.15">
      <c r="E39" s="21" t="s">
        <v>231</v>
      </c>
    </row>
    <row r="40" spans="2:7" x14ac:dyDescent="0.15">
      <c r="E40" s="21" t="s">
        <v>473</v>
      </c>
    </row>
    <row r="41" spans="2:7" x14ac:dyDescent="0.15">
      <c r="E41" s="21" t="s">
        <v>442</v>
      </c>
    </row>
    <row r="42" spans="2:7" x14ac:dyDescent="0.15">
      <c r="E42" s="21" t="s">
        <v>475</v>
      </c>
    </row>
    <row r="43" spans="2:7" x14ac:dyDescent="0.15">
      <c r="E43" s="21" t="s">
        <v>419</v>
      </c>
    </row>
    <row r="44" spans="2:7" x14ac:dyDescent="0.15">
      <c r="E44" s="21" t="s">
        <v>418</v>
      </c>
    </row>
    <row r="45" spans="2:7" x14ac:dyDescent="0.15">
      <c r="E45" s="92" t="s">
        <v>588</v>
      </c>
    </row>
    <row r="46" spans="2:7" x14ac:dyDescent="0.15">
      <c r="E46" s="92" t="s">
        <v>600</v>
      </c>
    </row>
    <row r="47" spans="2:7" x14ac:dyDescent="0.15">
      <c r="E47" s="92" t="s">
        <v>598</v>
      </c>
    </row>
    <row r="48" spans="2:7" x14ac:dyDescent="0.15">
      <c r="E48" s="92" t="s">
        <v>599</v>
      </c>
    </row>
    <row r="49" spans="5:5" x14ac:dyDescent="0.15">
      <c r="E49" s="92" t="s">
        <v>601</v>
      </c>
    </row>
    <row r="50" spans="5:5" x14ac:dyDescent="0.15">
      <c r="E50" s="92" t="s">
        <v>602</v>
      </c>
    </row>
    <row r="51" spans="5:5" x14ac:dyDescent="0.15">
      <c r="E51" s="92" t="s">
        <v>603</v>
      </c>
    </row>
    <row r="52" spans="5:5" x14ac:dyDescent="0.15">
      <c r="E52" s="21" t="s">
        <v>604</v>
      </c>
    </row>
    <row r="53" spans="5:5" x14ac:dyDescent="0.15">
      <c r="E53" s="125" t="s">
        <v>635</v>
      </c>
    </row>
    <row r="55" spans="5:5" x14ac:dyDescent="0.15">
      <c r="E55" s="15" t="s">
        <v>630</v>
      </c>
    </row>
    <row r="58" spans="5:5" x14ac:dyDescent="0.15">
      <c r="E58" s="1" t="s">
        <v>689</v>
      </c>
    </row>
    <row r="60" spans="5:5" x14ac:dyDescent="0.15">
      <c r="E60" s="92" t="s">
        <v>742</v>
      </c>
    </row>
    <row r="61" spans="5:5" x14ac:dyDescent="0.15">
      <c r="E61" s="92" t="s">
        <v>756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30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3" width="9.83203125" style="6" customWidth="1"/>
    <col min="4" max="4" width="10" style="6" customWidth="1"/>
    <col min="5" max="6" width="9.33203125" style="6" bestFit="1" customWidth="1"/>
    <col min="7" max="8" width="9.6640625" style="6" bestFit="1" customWidth="1"/>
    <col min="9" max="10" width="10.83203125" style="6" bestFit="1" customWidth="1"/>
    <col min="11" max="12" width="10.6640625" style="6" bestFit="1" customWidth="1"/>
    <col min="13" max="16384" width="9.1640625" style="1"/>
  </cols>
  <sheetData>
    <row r="1" spans="1:13" x14ac:dyDescent="0.15">
      <c r="A1" s="12" t="s">
        <v>139</v>
      </c>
    </row>
    <row r="2" spans="1:13" x14ac:dyDescent="0.15">
      <c r="A2" s="12"/>
      <c r="B2" s="1" t="s">
        <v>140</v>
      </c>
      <c r="C2" s="1" t="s">
        <v>251</v>
      </c>
    </row>
    <row r="3" spans="1:13" x14ac:dyDescent="0.15">
      <c r="A3" s="12"/>
      <c r="B3" s="1" t="s">
        <v>141</v>
      </c>
      <c r="C3" s="1" t="s">
        <v>252</v>
      </c>
    </row>
    <row r="4" spans="1:13" x14ac:dyDescent="0.15">
      <c r="A4" s="12"/>
      <c r="B4" s="1" t="s">
        <v>1</v>
      </c>
      <c r="C4" s="1" t="s">
        <v>270</v>
      </c>
    </row>
    <row r="5" spans="1:13" x14ac:dyDescent="0.15">
      <c r="A5" s="12"/>
      <c r="C5" s="1" t="s">
        <v>271</v>
      </c>
    </row>
    <row r="6" spans="1:13" x14ac:dyDescent="0.15">
      <c r="A6" s="12"/>
      <c r="B6" s="1" t="s">
        <v>253</v>
      </c>
      <c r="C6" s="1" t="s">
        <v>254</v>
      </c>
    </row>
    <row r="7" spans="1:13" x14ac:dyDescent="0.15">
      <c r="A7" s="12"/>
      <c r="B7" s="1" t="s">
        <v>256</v>
      </c>
      <c r="C7" s="1" t="s">
        <v>269</v>
      </c>
    </row>
    <row r="8" spans="1:13" x14ac:dyDescent="0.15">
      <c r="A8" s="12"/>
      <c r="B8" s="1" t="s">
        <v>138</v>
      </c>
      <c r="C8" s="1" t="s">
        <v>259</v>
      </c>
    </row>
    <row r="9" spans="1:13" x14ac:dyDescent="0.15">
      <c r="A9" s="12"/>
      <c r="B9" s="1" t="s">
        <v>3</v>
      </c>
      <c r="C9" s="1" t="s">
        <v>268</v>
      </c>
    </row>
    <row r="10" spans="1:13" x14ac:dyDescent="0.15">
      <c r="A10" s="12"/>
      <c r="B10" s="1" t="s">
        <v>255</v>
      </c>
    </row>
    <row r="11" spans="1:13" x14ac:dyDescent="0.15">
      <c r="A11" s="12"/>
    </row>
    <row r="12" spans="1:13" x14ac:dyDescent="0.1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15">
      <c r="C13" s="1" t="s">
        <v>241</v>
      </c>
      <c r="D13" s="18">
        <v>50000</v>
      </c>
      <c r="M13" s="6"/>
    </row>
    <row r="14" spans="1:13" x14ac:dyDescent="0.1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1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1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1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15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15">
      <c r="C20" s="34" t="s">
        <v>245</v>
      </c>
    </row>
    <row r="24" spans="3:13" x14ac:dyDescent="0.15">
      <c r="C24" s="34" t="s">
        <v>246</v>
      </c>
    </row>
    <row r="25" spans="3:13" x14ac:dyDescent="0.15">
      <c r="C25" s="1" t="s">
        <v>247</v>
      </c>
    </row>
    <row r="26" spans="3:13" x14ac:dyDescent="0.15">
      <c r="C26" s="1" t="s">
        <v>248</v>
      </c>
    </row>
    <row r="27" spans="3:13" x14ac:dyDescent="0.15">
      <c r="C27" s="1" t="s">
        <v>249</v>
      </c>
    </row>
    <row r="28" spans="3:13" x14ac:dyDescent="0.15">
      <c r="C28" s="1" t="s">
        <v>250</v>
      </c>
    </row>
    <row r="31" spans="3:13" x14ac:dyDescent="0.15">
      <c r="C31" s="34" t="s">
        <v>258</v>
      </c>
    </row>
    <row r="33" spans="2:13" x14ac:dyDescent="0.15">
      <c r="C33" s="34" t="s">
        <v>417</v>
      </c>
    </row>
    <row r="34" spans="2:13" x14ac:dyDescent="0.15">
      <c r="C34" s="34"/>
    </row>
    <row r="36" spans="2:13" x14ac:dyDescent="0.1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1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1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1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1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1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1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1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1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1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1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1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1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9</v>
      </c>
    </row>
    <row r="3" spans="1:3" x14ac:dyDescent="0.15">
      <c r="B3" s="1" t="s">
        <v>141</v>
      </c>
      <c r="C3" s="1" t="s">
        <v>150</v>
      </c>
    </row>
    <row r="4" spans="1:3" x14ac:dyDescent="0.15">
      <c r="B4" s="1" t="s">
        <v>1</v>
      </c>
      <c r="C4" s="1" t="s">
        <v>280</v>
      </c>
    </row>
    <row r="5" spans="1:3" x14ac:dyDescent="0.15">
      <c r="B5" s="1" t="s">
        <v>3</v>
      </c>
      <c r="C5" s="1" t="s">
        <v>281</v>
      </c>
    </row>
    <row r="6" spans="1:3" x14ac:dyDescent="0.15">
      <c r="B6" s="1" t="s">
        <v>151</v>
      </c>
      <c r="C6" s="1" t="s">
        <v>152</v>
      </c>
    </row>
    <row r="7" spans="1:3" x14ac:dyDescent="0.15">
      <c r="B7" s="1" t="s">
        <v>138</v>
      </c>
      <c r="C7" s="1" t="s">
        <v>351</v>
      </c>
    </row>
    <row r="8" spans="1:3" x14ac:dyDescent="0.15">
      <c r="B8" s="1" t="s">
        <v>142</v>
      </c>
    </row>
    <row r="9" spans="1:3" x14ac:dyDescent="0.15">
      <c r="C9" s="34" t="s">
        <v>278</v>
      </c>
    </row>
    <row r="12" spans="1:3" x14ac:dyDescent="0.15">
      <c r="B12" s="1" t="s">
        <v>279</v>
      </c>
    </row>
    <row r="13" spans="1:3" x14ac:dyDescent="0.15">
      <c r="C13" s="1" t="s">
        <v>223</v>
      </c>
    </row>
    <row r="14" spans="1:3" x14ac:dyDescent="0.15">
      <c r="B14" s="42">
        <v>39094</v>
      </c>
      <c r="C14" s="1">
        <v>3333</v>
      </c>
    </row>
    <row r="15" spans="1:3" x14ac:dyDescent="0.1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5" x14ac:dyDescent="0.15">
      <c r="A1" s="33" t="s">
        <v>139</v>
      </c>
    </row>
    <row r="2" spans="1:5" x14ac:dyDescent="0.15">
      <c r="B2" t="s">
        <v>82</v>
      </c>
    </row>
    <row r="3" spans="1:5" x14ac:dyDescent="0.15">
      <c r="C3" t="s">
        <v>83</v>
      </c>
    </row>
    <row r="4" spans="1:5" x14ac:dyDescent="0.15">
      <c r="C4" t="s">
        <v>84</v>
      </c>
    </row>
    <row r="5" spans="1:5" x14ac:dyDescent="0.15">
      <c r="C5" t="s">
        <v>79</v>
      </c>
    </row>
    <row r="6" spans="1:5" x14ac:dyDescent="0.15">
      <c r="D6" t="s">
        <v>81</v>
      </c>
    </row>
    <row r="7" spans="1:5" x14ac:dyDescent="0.15">
      <c r="D7" t="s">
        <v>85</v>
      </c>
    </row>
    <row r="8" spans="1:5" x14ac:dyDescent="0.15">
      <c r="E8" t="s">
        <v>86</v>
      </c>
    </row>
    <row r="9" spans="1:5" x14ac:dyDescent="0.15">
      <c r="E9" t="s">
        <v>87</v>
      </c>
    </row>
    <row r="11" spans="1:5" x14ac:dyDescent="0.15">
      <c r="B11" s="14" t="s">
        <v>366</v>
      </c>
    </row>
    <row r="12" spans="1:5" x14ac:dyDescent="0.15">
      <c r="C12" s="14" t="s">
        <v>365</v>
      </c>
    </row>
    <row r="13" spans="1:5" x14ac:dyDescent="0.15">
      <c r="C13" t="s">
        <v>361</v>
      </c>
    </row>
    <row r="14" spans="1:5" x14ac:dyDescent="0.15">
      <c r="C14" t="s">
        <v>405</v>
      </c>
    </row>
    <row r="16" spans="1:5" x14ac:dyDescent="0.15">
      <c r="B16" t="s">
        <v>137</v>
      </c>
    </row>
    <row r="17" spans="2:6" x14ac:dyDescent="0.15">
      <c r="B17" s="13" t="s">
        <v>71</v>
      </c>
      <c r="F17" t="s">
        <v>92</v>
      </c>
    </row>
    <row r="18" spans="2:6" s="31" customFormat="1" x14ac:dyDescent="0.15">
      <c r="B18" s="31" t="s">
        <v>121</v>
      </c>
    </row>
    <row r="19" spans="2:6" x14ac:dyDescent="0.15">
      <c r="B19" t="s">
        <v>99</v>
      </c>
      <c r="C19" t="s">
        <v>96</v>
      </c>
    </row>
    <row r="20" spans="2:6" x14ac:dyDescent="0.15">
      <c r="B20" t="s">
        <v>43</v>
      </c>
      <c r="C20" t="s">
        <v>354</v>
      </c>
    </row>
    <row r="21" spans="2:6" x14ac:dyDescent="0.15">
      <c r="D21" t="s">
        <v>117</v>
      </c>
    </row>
    <row r="22" spans="2:6" x14ac:dyDescent="0.15">
      <c r="D22" t="s">
        <v>97</v>
      </c>
    </row>
    <row r="23" spans="2:6" x14ac:dyDescent="0.15">
      <c r="D23" t="s">
        <v>98</v>
      </c>
    </row>
    <row r="24" spans="2:6" x14ac:dyDescent="0.15">
      <c r="B24" t="s">
        <v>44</v>
      </c>
      <c r="C24" t="s">
        <v>111</v>
      </c>
    </row>
    <row r="25" spans="2:6" x14ac:dyDescent="0.15">
      <c r="B25" t="s">
        <v>115</v>
      </c>
      <c r="C25" t="s">
        <v>114</v>
      </c>
    </row>
    <row r="26" spans="2:6" x14ac:dyDescent="0.15">
      <c r="D26" t="s">
        <v>116</v>
      </c>
    </row>
    <row r="27" spans="2:6" x14ac:dyDescent="0.15">
      <c r="B27" t="s">
        <v>44</v>
      </c>
      <c r="C27" t="s">
        <v>118</v>
      </c>
    </row>
    <row r="28" spans="2:6" x14ac:dyDescent="0.15">
      <c r="B28" t="s">
        <v>43</v>
      </c>
      <c r="C28" t="s">
        <v>119</v>
      </c>
    </row>
    <row r="29" spans="2:6" x14ac:dyDescent="0.15">
      <c r="B29" t="s">
        <v>42</v>
      </c>
      <c r="C29" t="s">
        <v>120</v>
      </c>
    </row>
    <row r="31" spans="2:6" x14ac:dyDescent="0.15">
      <c r="B31" s="31" t="s">
        <v>122</v>
      </c>
    </row>
    <row r="32" spans="2:6" x14ac:dyDescent="0.15">
      <c r="B32" t="s">
        <v>42</v>
      </c>
      <c r="C32" t="s">
        <v>123</v>
      </c>
    </row>
    <row r="34" spans="2:3" x14ac:dyDescent="0.15">
      <c r="C34" s="31" t="s">
        <v>124</v>
      </c>
    </row>
    <row r="35" spans="2:3" x14ac:dyDescent="0.15">
      <c r="B35" t="s">
        <v>126</v>
      </c>
      <c r="C35" s="14" t="s">
        <v>125</v>
      </c>
    </row>
    <row r="36" spans="2:3" x14ac:dyDescent="0.15">
      <c r="B36" t="s">
        <v>44</v>
      </c>
      <c r="C36" s="14" t="s">
        <v>127</v>
      </c>
    </row>
    <row r="37" spans="2:3" x14ac:dyDescent="0.15">
      <c r="B37" t="s">
        <v>129</v>
      </c>
      <c r="C37" s="14" t="s">
        <v>128</v>
      </c>
    </row>
    <row r="38" spans="2:3" x14ac:dyDescent="0.15">
      <c r="B38" s="31"/>
    </row>
    <row r="39" spans="2:3" x14ac:dyDescent="0.15">
      <c r="B39" s="13" t="s">
        <v>69</v>
      </c>
    </row>
    <row r="40" spans="2:3" x14ac:dyDescent="0.15">
      <c r="C40" t="s">
        <v>70</v>
      </c>
    </row>
    <row r="41" spans="2:3" x14ac:dyDescent="0.15">
      <c r="C41" t="s">
        <v>90</v>
      </c>
    </row>
    <row r="43" spans="2:3" x14ac:dyDescent="0.15">
      <c r="B43" t="s">
        <v>115</v>
      </c>
      <c r="C43" t="s">
        <v>72</v>
      </c>
    </row>
    <row r="44" spans="2:3" x14ac:dyDescent="0.15">
      <c r="B44" t="s">
        <v>101</v>
      </c>
      <c r="C44" t="s">
        <v>73</v>
      </c>
    </row>
    <row r="45" spans="2:3" x14ac:dyDescent="0.15">
      <c r="B45" t="s">
        <v>14</v>
      </c>
      <c r="C45" t="s">
        <v>74</v>
      </c>
    </row>
    <row r="46" spans="2:3" x14ac:dyDescent="0.15">
      <c r="B46" t="s">
        <v>129</v>
      </c>
      <c r="C46" t="s">
        <v>75</v>
      </c>
    </row>
    <row r="47" spans="2:3" x14ac:dyDescent="0.15">
      <c r="B47" t="s">
        <v>43</v>
      </c>
      <c r="C47" t="s">
        <v>76</v>
      </c>
    </row>
    <row r="48" spans="2:3" x14ac:dyDescent="0.15">
      <c r="B48" t="s">
        <v>101</v>
      </c>
      <c r="C48" t="s">
        <v>77</v>
      </c>
    </row>
    <row r="49" spans="2:4" x14ac:dyDescent="0.15">
      <c r="B49" t="s">
        <v>44</v>
      </c>
      <c r="C49" t="s">
        <v>78</v>
      </c>
    </row>
    <row r="51" spans="2:4" x14ac:dyDescent="0.15">
      <c r="B51" s="13" t="s">
        <v>80</v>
      </c>
    </row>
    <row r="52" spans="2:4" x14ac:dyDescent="0.15">
      <c r="B52" s="13"/>
      <c r="C52" t="s">
        <v>93</v>
      </c>
    </row>
    <row r="53" spans="2:4" s="14" customFormat="1" x14ac:dyDescent="0.15">
      <c r="B53" s="14" t="s">
        <v>89</v>
      </c>
    </row>
    <row r="54" spans="2:4" s="14" customFormat="1" x14ac:dyDescent="0.15"/>
    <row r="55" spans="2:4" x14ac:dyDescent="0.15">
      <c r="B55" s="13" t="s">
        <v>88</v>
      </c>
    </row>
    <row r="56" spans="2:4" x14ac:dyDescent="0.15">
      <c r="C56" s="14" t="s">
        <v>91</v>
      </c>
    </row>
    <row r="57" spans="2:4" s="14" customFormat="1" x14ac:dyDescent="0.15">
      <c r="B57" s="14" t="s">
        <v>41</v>
      </c>
    </row>
    <row r="58" spans="2:4" s="14" customFormat="1" x14ac:dyDescent="0.15">
      <c r="B58" s="14" t="s">
        <v>130</v>
      </c>
    </row>
    <row r="59" spans="2:4" s="14" customFormat="1" x14ac:dyDescent="0.15"/>
    <row r="60" spans="2:4" s="14" customFormat="1" x14ac:dyDescent="0.15">
      <c r="B60" s="13" t="s">
        <v>131</v>
      </c>
    </row>
    <row r="61" spans="2:4" s="14" customFormat="1" x14ac:dyDescent="0.15">
      <c r="B61" s="14" t="s">
        <v>132</v>
      </c>
    </row>
    <row r="62" spans="2:4" s="14" customFormat="1" x14ac:dyDescent="0.15"/>
    <row r="63" spans="2:4" s="14" customFormat="1" x14ac:dyDescent="0.15">
      <c r="B63" s="13" t="s">
        <v>133</v>
      </c>
    </row>
    <row r="64" spans="2:4" s="14" customFormat="1" x14ac:dyDescent="0.15">
      <c r="B64" s="14" t="s">
        <v>134</v>
      </c>
      <c r="C64" s="14" t="s">
        <v>44</v>
      </c>
      <c r="D64" s="14" t="s">
        <v>135</v>
      </c>
    </row>
    <row r="65" spans="2:4" s="14" customFormat="1" x14ac:dyDescent="0.15"/>
    <row r="66" spans="2:4" s="14" customFormat="1" x14ac:dyDescent="0.15">
      <c r="B66" s="13" t="s">
        <v>136</v>
      </c>
    </row>
    <row r="67" spans="2:4" s="14" customFormat="1" x14ac:dyDescent="0.15"/>
    <row r="68" spans="2:4" s="14" customFormat="1" x14ac:dyDescent="0.15"/>
    <row r="69" spans="2:4" s="14" customFormat="1" x14ac:dyDescent="0.15">
      <c r="B69" s="13" t="s">
        <v>71</v>
      </c>
    </row>
    <row r="70" spans="2:4" x14ac:dyDescent="0.15">
      <c r="B70" t="s">
        <v>39</v>
      </c>
      <c r="C70" t="s">
        <v>43</v>
      </c>
      <c r="D70" t="s">
        <v>109</v>
      </c>
    </row>
    <row r="71" spans="2:4" x14ac:dyDescent="0.15">
      <c r="C71" t="s">
        <v>99</v>
      </c>
      <c r="D71" t="s">
        <v>109</v>
      </c>
    </row>
    <row r="72" spans="2:4" x14ac:dyDescent="0.15">
      <c r="B72" t="s">
        <v>38</v>
      </c>
      <c r="C72" t="s">
        <v>43</v>
      </c>
      <c r="D72" t="s">
        <v>110</v>
      </c>
    </row>
    <row r="73" spans="2:4" x14ac:dyDescent="0.15">
      <c r="B73" t="s">
        <v>40</v>
      </c>
      <c r="C73" t="s">
        <v>44</v>
      </c>
      <c r="D73" t="s">
        <v>113</v>
      </c>
    </row>
    <row r="77" spans="2:4" s="14" customFormat="1" x14ac:dyDescent="0.15">
      <c r="B77" s="13" t="s">
        <v>108</v>
      </c>
    </row>
    <row r="78" spans="2:4" s="14" customFormat="1" x14ac:dyDescent="0.15">
      <c r="B78" s="14" t="s">
        <v>104</v>
      </c>
      <c r="C78" s="14" t="s">
        <v>102</v>
      </c>
      <c r="D78" s="14" t="s">
        <v>103</v>
      </c>
    </row>
    <row r="79" spans="2:4" s="14" customFormat="1" x14ac:dyDescent="0.15">
      <c r="B79" s="14" t="s">
        <v>32</v>
      </c>
      <c r="C79" s="14" t="s">
        <v>43</v>
      </c>
      <c r="D79" t="s">
        <v>94</v>
      </c>
    </row>
    <row r="80" spans="2:4" s="14" customFormat="1" x14ac:dyDescent="0.15">
      <c r="B80" s="14" t="s">
        <v>36</v>
      </c>
      <c r="C80" s="14" t="s">
        <v>43</v>
      </c>
      <c r="D80" s="14" t="s">
        <v>95</v>
      </c>
    </row>
    <row r="81" spans="2:4" x14ac:dyDescent="0.15">
      <c r="B81" s="14" t="s">
        <v>100</v>
      </c>
      <c r="C81" t="s">
        <v>101</v>
      </c>
      <c r="D81" s="14" t="s">
        <v>105</v>
      </c>
    </row>
    <row r="82" spans="2:4" x14ac:dyDescent="0.15">
      <c r="B82" s="14" t="s">
        <v>37</v>
      </c>
      <c r="C82" t="s">
        <v>43</v>
      </c>
      <c r="D82" s="14" t="s">
        <v>106</v>
      </c>
    </row>
    <row r="83" spans="2:4" x14ac:dyDescent="0.15">
      <c r="B83" s="14" t="s">
        <v>353</v>
      </c>
      <c r="C83" t="s">
        <v>43</v>
      </c>
      <c r="D83" s="14"/>
    </row>
    <row r="84" spans="2:4" x14ac:dyDescent="0.15">
      <c r="B84" s="14" t="s">
        <v>5</v>
      </c>
      <c r="C84" t="s">
        <v>42</v>
      </c>
      <c r="D84" s="14" t="s">
        <v>107</v>
      </c>
    </row>
    <row r="85" spans="2:4" x14ac:dyDescent="0.15">
      <c r="B85" s="14" t="s">
        <v>45</v>
      </c>
      <c r="C85" t="s">
        <v>42</v>
      </c>
      <c r="D85" s="14" t="s">
        <v>112</v>
      </c>
    </row>
    <row r="88" spans="2:4" x14ac:dyDescent="0.15">
      <c r="B88" t="s">
        <v>356</v>
      </c>
    </row>
    <row r="89" spans="2:4" x14ac:dyDescent="0.15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406</v>
      </c>
    </row>
    <row r="3" spans="1:3" x14ac:dyDescent="0.15">
      <c r="B3" s="1" t="s">
        <v>57</v>
      </c>
      <c r="C3" s="1" t="s">
        <v>407</v>
      </c>
    </row>
    <row r="4" spans="1:3" x14ac:dyDescent="0.15">
      <c r="B4" s="1" t="s">
        <v>1</v>
      </c>
      <c r="C4" s="1" t="s">
        <v>6</v>
      </c>
    </row>
    <row r="5" spans="1:3" x14ac:dyDescent="0.15">
      <c r="B5" s="1" t="s">
        <v>3</v>
      </c>
      <c r="C5" s="1" t="s">
        <v>161</v>
      </c>
    </row>
    <row r="6" spans="1:3" x14ac:dyDescent="0.15">
      <c r="B6" s="1" t="s">
        <v>233</v>
      </c>
      <c r="C6" s="1" t="s">
        <v>234</v>
      </c>
    </row>
    <row r="7" spans="1:3" x14ac:dyDescent="0.15">
      <c r="B7" s="16" t="s">
        <v>377</v>
      </c>
      <c r="C7" s="16" t="s">
        <v>378</v>
      </c>
    </row>
    <row r="8" spans="1:3" x14ac:dyDescent="0.15">
      <c r="B8" s="16" t="s">
        <v>253</v>
      </c>
      <c r="C8" s="16" t="s">
        <v>408</v>
      </c>
    </row>
    <row r="9" spans="1:3" x14ac:dyDescent="0.15">
      <c r="B9" s="1" t="s">
        <v>142</v>
      </c>
    </row>
    <row r="10" spans="1:3" x14ac:dyDescent="0.15">
      <c r="C10" s="34" t="s">
        <v>313</v>
      </c>
    </row>
    <row r="11" spans="1:3" x14ac:dyDescent="0.15">
      <c r="C11" s="16" t="s">
        <v>312</v>
      </c>
    </row>
    <row r="12" spans="1:3" x14ac:dyDescent="0.15">
      <c r="C12" s="16"/>
    </row>
    <row r="14" spans="1:3" x14ac:dyDescent="0.15">
      <c r="C14" s="34" t="s">
        <v>236</v>
      </c>
    </row>
    <row r="15" spans="1:3" x14ac:dyDescent="0.15">
      <c r="C15" s="16" t="s">
        <v>237</v>
      </c>
    </row>
    <row r="16" spans="1:3" x14ac:dyDescent="0.15">
      <c r="C16" s="1" t="s">
        <v>156</v>
      </c>
    </row>
    <row r="17" spans="3:3" x14ac:dyDescent="0.15">
      <c r="C17" s="1" t="s">
        <v>232</v>
      </c>
    </row>
    <row r="18" spans="3:3" x14ac:dyDescent="0.15">
      <c r="C18" s="15" t="s">
        <v>238</v>
      </c>
    </row>
    <row r="19" spans="3:3" x14ac:dyDescent="0.15">
      <c r="C19" s="1" t="s">
        <v>235</v>
      </c>
    </row>
    <row r="22" spans="3:3" x14ac:dyDescent="0.15">
      <c r="C22" s="34" t="s">
        <v>184</v>
      </c>
    </row>
    <row r="23" spans="3:3" x14ac:dyDescent="0.15">
      <c r="C23" s="1" t="s">
        <v>183</v>
      </c>
    </row>
    <row r="25" spans="3:3" x14ac:dyDescent="0.15">
      <c r="C25" s="34" t="s">
        <v>179</v>
      </c>
    </row>
    <row r="26" spans="3:3" x14ac:dyDescent="0.15">
      <c r="C26" s="1" t="s">
        <v>180</v>
      </c>
    </row>
    <row r="27" spans="3:3" x14ac:dyDescent="0.15">
      <c r="C27" s="1" t="s">
        <v>181</v>
      </c>
    </row>
    <row r="28" spans="3:3" x14ac:dyDescent="0.15">
      <c r="C28" s="20" t="s">
        <v>182</v>
      </c>
    </row>
    <row r="30" spans="3:3" x14ac:dyDescent="0.15">
      <c r="C30" s="34" t="s">
        <v>185</v>
      </c>
    </row>
    <row r="31" spans="3:3" x14ac:dyDescent="0.15">
      <c r="C31" s="1" t="s">
        <v>186</v>
      </c>
    </row>
    <row r="33" spans="3:3" x14ac:dyDescent="0.15">
      <c r="C33" s="1" t="s">
        <v>157</v>
      </c>
    </row>
    <row r="34" spans="3:3" x14ac:dyDescent="0.15">
      <c r="C34" s="1" t="s">
        <v>159</v>
      </c>
    </row>
    <row r="35" spans="3:3" x14ac:dyDescent="0.15">
      <c r="C35" s="1" t="s">
        <v>158</v>
      </c>
    </row>
    <row r="36" spans="3:3" x14ac:dyDescent="0.15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baseColWidth="10" defaultColWidth="9.1640625" defaultRowHeight="13" x14ac:dyDescent="0.15"/>
  <cols>
    <col min="1" max="1" width="5" style="1" bestFit="1" customWidth="1"/>
    <col min="2" max="2" width="11.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54</v>
      </c>
    </row>
    <row r="3" spans="1:3" x14ac:dyDescent="0.15">
      <c r="B3" s="1" t="s">
        <v>53</v>
      </c>
      <c r="C3" s="1" t="s">
        <v>52</v>
      </c>
    </row>
    <row r="4" spans="1:3" x14ac:dyDescent="0.15">
      <c r="B4" s="1" t="s">
        <v>55</v>
      </c>
      <c r="C4" s="1" t="s">
        <v>56</v>
      </c>
    </row>
    <row r="5" spans="1:3" x14ac:dyDescent="0.15">
      <c r="B5" s="1" t="s">
        <v>57</v>
      </c>
      <c r="C5" s="1" t="s">
        <v>64</v>
      </c>
    </row>
    <row r="6" spans="1:3" x14ac:dyDescent="0.15">
      <c r="B6" s="1" t="s">
        <v>58</v>
      </c>
      <c r="C6" s="1" t="s">
        <v>59</v>
      </c>
    </row>
    <row r="7" spans="1:3" x14ac:dyDescent="0.15">
      <c r="B7" s="1" t="s">
        <v>61</v>
      </c>
      <c r="C7" s="1" t="s">
        <v>62</v>
      </c>
    </row>
    <row r="8" spans="1:3" x14ac:dyDescent="0.15">
      <c r="B8" s="1" t="s">
        <v>60</v>
      </c>
      <c r="C8" s="1" t="s">
        <v>63</v>
      </c>
    </row>
    <row r="9" spans="1:3" x14ac:dyDescent="0.15">
      <c r="B9" s="1" t="s">
        <v>3</v>
      </c>
      <c r="C9" s="1" t="s">
        <v>65</v>
      </c>
    </row>
    <row r="10" spans="1:3" x14ac:dyDescent="0.15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267</v>
      </c>
    </row>
    <row r="3" spans="1:3" x14ac:dyDescent="0.15">
      <c r="B3" s="1" t="s">
        <v>1</v>
      </c>
      <c r="C3" s="1" t="s">
        <v>56</v>
      </c>
    </row>
    <row r="4" spans="1:3" x14ac:dyDescent="0.15">
      <c r="B4" s="1" t="s">
        <v>57</v>
      </c>
      <c r="C4" s="1" t="s">
        <v>286</v>
      </c>
    </row>
    <row r="5" spans="1:3" x14ac:dyDescent="0.15">
      <c r="B5" s="1" t="s">
        <v>256</v>
      </c>
      <c r="C5" s="1" t="s">
        <v>285</v>
      </c>
    </row>
    <row r="6" spans="1:3" x14ac:dyDescent="0.15">
      <c r="B6" s="1" t="s">
        <v>142</v>
      </c>
    </row>
    <row r="7" spans="1:3" x14ac:dyDescent="0.15">
      <c r="C7" s="34" t="s">
        <v>311</v>
      </c>
    </row>
    <row r="8" spans="1:3" x14ac:dyDescent="0.15">
      <c r="C8" s="1" t="s">
        <v>334</v>
      </c>
    </row>
    <row r="10" spans="1:3" x14ac:dyDescent="0.15">
      <c r="C10" s="34" t="s">
        <v>309</v>
      </c>
    </row>
    <row r="11" spans="1:3" x14ac:dyDescent="0.15">
      <c r="C11" s="1" t="s">
        <v>310</v>
      </c>
    </row>
    <row r="14" spans="1:3" x14ac:dyDescent="0.15">
      <c r="B14" s="92" t="s">
        <v>491</v>
      </c>
    </row>
    <row r="15" spans="1:3" x14ac:dyDescent="0.15">
      <c r="B15" s="92" t="s">
        <v>492</v>
      </c>
    </row>
    <row r="16" spans="1:3" x14ac:dyDescent="0.15">
      <c r="B16" s="92" t="s">
        <v>493</v>
      </c>
    </row>
    <row r="17" spans="2:2" x14ac:dyDescent="0.15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baseColWidth="10" defaultColWidth="9.1640625" defaultRowHeight="13" x14ac:dyDescent="0.15"/>
  <cols>
    <col min="1" max="1" width="5" style="109" bestFit="1" customWidth="1"/>
    <col min="2" max="2" width="12.33203125" style="109" bestFit="1" customWidth="1"/>
    <col min="3" max="16384" width="9.1640625" style="109"/>
  </cols>
  <sheetData>
    <row r="1" spans="1:4" x14ac:dyDescent="0.15">
      <c r="A1" s="112" t="s">
        <v>139</v>
      </c>
    </row>
    <row r="2" spans="1:4" x14ac:dyDescent="0.15">
      <c r="A2" s="112"/>
      <c r="B2" s="109" t="s">
        <v>140</v>
      </c>
      <c r="C2" s="109" t="s">
        <v>569</v>
      </c>
    </row>
    <row r="3" spans="1:4" x14ac:dyDescent="0.15">
      <c r="A3" s="112"/>
      <c r="B3" s="109" t="s">
        <v>141</v>
      </c>
      <c r="C3" s="109" t="s">
        <v>570</v>
      </c>
    </row>
    <row r="4" spans="1:4" x14ac:dyDescent="0.15">
      <c r="A4" s="112"/>
      <c r="B4" s="111" t="s">
        <v>549</v>
      </c>
      <c r="C4" s="111" t="s">
        <v>548</v>
      </c>
    </row>
    <row r="5" spans="1:4" x14ac:dyDescent="0.15">
      <c r="B5" s="109" t="s">
        <v>142</v>
      </c>
    </row>
    <row r="6" spans="1:4" x14ac:dyDescent="0.15">
      <c r="C6" s="110" t="s">
        <v>545</v>
      </c>
    </row>
    <row r="7" spans="1:4" x14ac:dyDescent="0.15">
      <c r="C7" s="111" t="s">
        <v>546</v>
      </c>
    </row>
    <row r="8" spans="1:4" x14ac:dyDescent="0.15">
      <c r="C8" s="111" t="s">
        <v>553</v>
      </c>
    </row>
    <row r="9" spans="1:4" x14ac:dyDescent="0.15">
      <c r="C9" s="111"/>
    </row>
    <row r="10" spans="1:4" x14ac:dyDescent="0.15">
      <c r="C10" s="111" t="s">
        <v>550</v>
      </c>
    </row>
    <row r="11" spans="1:4" x14ac:dyDescent="0.15">
      <c r="C11" s="111"/>
      <c r="D11" s="111" t="s">
        <v>557</v>
      </c>
    </row>
    <row r="12" spans="1:4" x14ac:dyDescent="0.15">
      <c r="C12" s="111"/>
      <c r="D12" s="111" t="s">
        <v>555</v>
      </c>
    </row>
    <row r="13" spans="1:4" x14ac:dyDescent="0.15">
      <c r="C13" s="111"/>
      <c r="D13" s="111" t="s">
        <v>556</v>
      </c>
    </row>
    <row r="14" spans="1:4" x14ac:dyDescent="0.15">
      <c r="C14" s="111"/>
      <c r="D14" s="111" t="s">
        <v>558</v>
      </c>
    </row>
    <row r="15" spans="1:4" x14ac:dyDescent="0.15">
      <c r="C15" s="111"/>
      <c r="D15" s="111" t="s">
        <v>559</v>
      </c>
    </row>
    <row r="16" spans="1:4" x14ac:dyDescent="0.15">
      <c r="C16" s="111" t="s">
        <v>554</v>
      </c>
    </row>
    <row r="17" spans="3:5" x14ac:dyDescent="0.15">
      <c r="C17" s="111"/>
      <c r="D17" s="111" t="s">
        <v>516</v>
      </c>
      <c r="E17" s="111" t="s">
        <v>517</v>
      </c>
    </row>
    <row r="18" spans="3:5" x14ac:dyDescent="0.15">
      <c r="C18" s="111"/>
      <c r="E18" s="111" t="s">
        <v>518</v>
      </c>
    </row>
    <row r="19" spans="3:5" x14ac:dyDescent="0.15">
      <c r="C19" s="111"/>
      <c r="D19" s="111" t="s">
        <v>557</v>
      </c>
      <c r="E19" s="111"/>
    </row>
    <row r="20" spans="3:5" x14ac:dyDescent="0.15">
      <c r="C20" s="111"/>
      <c r="D20" s="111" t="s">
        <v>560</v>
      </c>
      <c r="E20" s="111"/>
    </row>
    <row r="21" spans="3:5" x14ac:dyDescent="0.15">
      <c r="C21" s="111"/>
      <c r="D21" s="111" t="s">
        <v>561</v>
      </c>
      <c r="E21" s="111"/>
    </row>
    <row r="22" spans="3:5" x14ac:dyDescent="0.15">
      <c r="C22" s="111" t="s">
        <v>551</v>
      </c>
    </row>
    <row r="23" spans="3:5" x14ac:dyDescent="0.15">
      <c r="C23" s="111" t="s">
        <v>552</v>
      </c>
    </row>
    <row r="24" spans="3:5" x14ac:dyDescent="0.15">
      <c r="C24" s="111"/>
      <c r="D24" s="111" t="s">
        <v>562</v>
      </c>
    </row>
    <row r="25" spans="3:5" x14ac:dyDescent="0.15">
      <c r="C25" s="111"/>
      <c r="D25" s="111" t="s">
        <v>547</v>
      </c>
    </row>
    <row r="26" spans="3:5" x14ac:dyDescent="0.15">
      <c r="C26" s="111"/>
    </row>
    <row r="29" spans="3:5" x14ac:dyDescent="0.15">
      <c r="D29" s="111"/>
    </row>
    <row r="31" spans="3:5" x14ac:dyDescent="0.15">
      <c r="D31" s="111"/>
    </row>
    <row r="32" spans="3:5" x14ac:dyDescent="0.15">
      <c r="C32" s="110" t="s">
        <v>519</v>
      </c>
    </row>
    <row r="33" spans="3:4" x14ac:dyDescent="0.15">
      <c r="C33" s="110"/>
    </row>
    <row r="34" spans="3:4" x14ac:dyDescent="0.15">
      <c r="C34" s="111" t="s">
        <v>521</v>
      </c>
    </row>
    <row r="35" spans="3:4" x14ac:dyDescent="0.15">
      <c r="D35" s="111" t="s">
        <v>520</v>
      </c>
    </row>
    <row r="36" spans="3:4" x14ac:dyDescent="0.15">
      <c r="D36" s="113" t="s">
        <v>527</v>
      </c>
    </row>
    <row r="37" spans="3:4" x14ac:dyDescent="0.15">
      <c r="D37" s="113" t="s">
        <v>528</v>
      </c>
    </row>
    <row r="38" spans="3:4" x14ac:dyDescent="0.15">
      <c r="D38" s="114" t="s">
        <v>523</v>
      </c>
    </row>
    <row r="39" spans="3:4" x14ac:dyDescent="0.15">
      <c r="D39" s="113" t="s">
        <v>529</v>
      </c>
    </row>
    <row r="40" spans="3:4" x14ac:dyDescent="0.15">
      <c r="C40" s="111" t="s">
        <v>522</v>
      </c>
    </row>
    <row r="41" spans="3:4" x14ac:dyDescent="0.15">
      <c r="C41" s="111" t="s">
        <v>524</v>
      </c>
    </row>
    <row r="42" spans="3:4" x14ac:dyDescent="0.15">
      <c r="C42" s="111" t="s">
        <v>525</v>
      </c>
    </row>
    <row r="43" spans="3:4" x14ac:dyDescent="0.15">
      <c r="C43" s="111" t="s">
        <v>526</v>
      </c>
    </row>
    <row r="44" spans="3:4" x14ac:dyDescent="0.15">
      <c r="C44" s="111"/>
    </row>
    <row r="45" spans="3:4" x14ac:dyDescent="0.15">
      <c r="C45" s="111" t="s">
        <v>514</v>
      </c>
    </row>
    <row r="46" spans="3:4" x14ac:dyDescent="0.15">
      <c r="C46" s="111" t="s">
        <v>513</v>
      </c>
    </row>
    <row r="47" spans="3:4" x14ac:dyDescent="0.15">
      <c r="D47" s="111" t="s">
        <v>515</v>
      </c>
    </row>
    <row r="49" spans="3:4" x14ac:dyDescent="0.15">
      <c r="C49" s="110" t="s">
        <v>530</v>
      </c>
    </row>
    <row r="50" spans="3:4" x14ac:dyDescent="0.15">
      <c r="C50" s="111" t="s">
        <v>538</v>
      </c>
    </row>
    <row r="51" spans="3:4" x14ac:dyDescent="0.15">
      <c r="C51" s="111"/>
      <c r="D51" s="111" t="s">
        <v>563</v>
      </c>
    </row>
    <row r="52" spans="3:4" x14ac:dyDescent="0.15">
      <c r="C52" s="111"/>
      <c r="D52" s="111" t="s">
        <v>564</v>
      </c>
    </row>
    <row r="53" spans="3:4" x14ac:dyDescent="0.15">
      <c r="C53" s="111"/>
      <c r="D53" s="111" t="s">
        <v>565</v>
      </c>
    </row>
    <row r="54" spans="3:4" x14ac:dyDescent="0.15">
      <c r="C54" s="111"/>
      <c r="D54" s="111" t="s">
        <v>566</v>
      </c>
    </row>
    <row r="55" spans="3:4" x14ac:dyDescent="0.15">
      <c r="C55" s="111"/>
      <c r="D55" s="111" t="s">
        <v>567</v>
      </c>
    </row>
    <row r="56" spans="3:4" x14ac:dyDescent="0.15">
      <c r="C56" s="111" t="s">
        <v>537</v>
      </c>
    </row>
    <row r="57" spans="3:4" x14ac:dyDescent="0.15">
      <c r="C57" s="111" t="s">
        <v>539</v>
      </c>
    </row>
    <row r="58" spans="3:4" x14ac:dyDescent="0.15">
      <c r="C58" s="111" t="s">
        <v>540</v>
      </c>
    </row>
    <row r="59" spans="3:4" x14ac:dyDescent="0.15">
      <c r="C59" s="111" t="s">
        <v>544</v>
      </c>
    </row>
    <row r="60" spans="3:4" x14ac:dyDescent="0.15">
      <c r="C60" s="111" t="s">
        <v>541</v>
      </c>
    </row>
    <row r="61" spans="3:4" x14ac:dyDescent="0.15">
      <c r="C61" s="111" t="s">
        <v>543</v>
      </c>
    </row>
    <row r="62" spans="3:4" x14ac:dyDescent="0.15">
      <c r="C62" s="111"/>
    </row>
    <row r="63" spans="3:4" x14ac:dyDescent="0.15">
      <c r="D63" s="115" t="s">
        <v>542</v>
      </c>
    </row>
    <row r="64" spans="3:4" x14ac:dyDescent="0.15">
      <c r="D64" s="111" t="s">
        <v>531</v>
      </c>
    </row>
    <row r="65" spans="4:4" x14ac:dyDescent="0.15">
      <c r="D65" s="111" t="s">
        <v>532</v>
      </c>
    </row>
    <row r="66" spans="4:4" x14ac:dyDescent="0.15">
      <c r="D66" s="111" t="s">
        <v>533</v>
      </c>
    </row>
    <row r="67" spans="4:4" x14ac:dyDescent="0.15">
      <c r="D67" s="111" t="s">
        <v>534</v>
      </c>
    </row>
    <row r="68" spans="4:4" x14ac:dyDescent="0.15">
      <c r="D68" s="111" t="s">
        <v>535</v>
      </c>
    </row>
    <row r="69" spans="4:4" x14ac:dyDescent="0.15">
      <c r="D69" s="111" t="s">
        <v>536</v>
      </c>
    </row>
    <row r="70" spans="4:4" x14ac:dyDescent="0.15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4.5" bestFit="1" customWidth="1"/>
    <col min="2" max="2" width="13.33203125" customWidth="1"/>
    <col min="3" max="3" width="12.83203125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607</v>
      </c>
    </row>
    <row r="3" spans="1:3" x14ac:dyDescent="0.15">
      <c r="B3" s="95" t="s">
        <v>141</v>
      </c>
      <c r="C3" s="95" t="s">
        <v>590</v>
      </c>
    </row>
    <row r="4" spans="1:3" x14ac:dyDescent="0.15">
      <c r="B4" s="95" t="s">
        <v>1</v>
      </c>
      <c r="C4" s="95" t="s">
        <v>613</v>
      </c>
    </row>
    <row r="5" spans="1:3" x14ac:dyDescent="0.15">
      <c r="B5" s="95" t="s">
        <v>2</v>
      </c>
    </row>
    <row r="6" spans="1:3" x14ac:dyDescent="0.15">
      <c r="B6" s="95" t="s">
        <v>608</v>
      </c>
      <c r="C6" s="95" t="s">
        <v>609</v>
      </c>
    </row>
    <row r="7" spans="1:3" x14ac:dyDescent="0.15">
      <c r="B7" s="95" t="s">
        <v>319</v>
      </c>
      <c r="C7" s="95" t="s">
        <v>611</v>
      </c>
    </row>
    <row r="8" spans="1:3" x14ac:dyDescent="0.15">
      <c r="B8" s="95" t="s">
        <v>57</v>
      </c>
    </row>
    <row r="9" spans="1:3" x14ac:dyDescent="0.15">
      <c r="B9" s="95" t="s">
        <v>606</v>
      </c>
    </row>
    <row r="10" spans="1:3" x14ac:dyDescent="0.15">
      <c r="B10" s="95" t="s">
        <v>142</v>
      </c>
    </row>
    <row r="11" spans="1:3" x14ac:dyDescent="0.15">
      <c r="C11" s="121" t="s">
        <v>615</v>
      </c>
    </row>
    <row r="13" spans="1:3" x14ac:dyDescent="0.15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baseColWidth="10" defaultColWidth="8.83203125" defaultRowHeight="13" x14ac:dyDescent="0.15"/>
  <sheetData>
    <row r="1" spans="1:2" x14ac:dyDescent="0.15">
      <c r="A1" s="12" t="s">
        <v>139</v>
      </c>
    </row>
    <row r="3" spans="1:2" x14ac:dyDescent="0.15">
      <c r="B3" s="95" t="s">
        <v>476</v>
      </c>
    </row>
    <row r="4" spans="1:2" x14ac:dyDescent="0.15">
      <c r="B4" s="95" t="s">
        <v>495</v>
      </c>
    </row>
    <row r="5" spans="1:2" x14ac:dyDescent="0.15">
      <c r="B5" s="95" t="s">
        <v>496</v>
      </c>
    </row>
    <row r="6" spans="1:2" x14ac:dyDescent="0.15">
      <c r="B6" s="95" t="s">
        <v>497</v>
      </c>
    </row>
    <row r="7" spans="1:2" x14ac:dyDescent="0.15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164</v>
      </c>
    </row>
    <row r="3" spans="1:3" x14ac:dyDescent="0.15">
      <c r="B3" s="1" t="s">
        <v>141</v>
      </c>
      <c r="C3" s="1" t="s">
        <v>165</v>
      </c>
    </row>
    <row r="4" spans="1:3" x14ac:dyDescent="0.15">
      <c r="B4" s="1" t="s">
        <v>1</v>
      </c>
      <c r="C4" s="1" t="s">
        <v>272</v>
      </c>
    </row>
    <row r="5" spans="1:3" x14ac:dyDescent="0.15">
      <c r="B5" s="1" t="s">
        <v>57</v>
      </c>
      <c r="C5" s="1" t="s">
        <v>166</v>
      </c>
    </row>
    <row r="6" spans="1:3" x14ac:dyDescent="0.15">
      <c r="B6" s="1" t="s">
        <v>3</v>
      </c>
      <c r="C6" s="1" t="s">
        <v>167</v>
      </c>
    </row>
    <row r="7" spans="1:3" x14ac:dyDescent="0.15">
      <c r="C7" s="1" t="s">
        <v>168</v>
      </c>
    </row>
    <row r="8" spans="1:3" x14ac:dyDescent="0.15">
      <c r="B8" s="1" t="s">
        <v>319</v>
      </c>
      <c r="C8" s="1" t="s">
        <v>320</v>
      </c>
    </row>
    <row r="9" spans="1:3" x14ac:dyDescent="0.15">
      <c r="B9" s="1" t="s">
        <v>318</v>
      </c>
      <c r="C9" s="16" t="s">
        <v>367</v>
      </c>
    </row>
    <row r="10" spans="1:3" x14ac:dyDescent="0.15">
      <c r="B10" s="1" t="s">
        <v>142</v>
      </c>
    </row>
    <row r="13" spans="1:3" x14ac:dyDescent="0.15">
      <c r="C13" s="34" t="s">
        <v>191</v>
      </c>
    </row>
    <row r="14" spans="1:3" x14ac:dyDescent="0.15">
      <c r="C14" s="16" t="s">
        <v>190</v>
      </c>
    </row>
    <row r="15" spans="1:3" x14ac:dyDescent="0.15">
      <c r="C15" s="1" t="s">
        <v>189</v>
      </c>
    </row>
    <row r="17" spans="3:3" x14ac:dyDescent="0.15">
      <c r="C17" s="34" t="s">
        <v>273</v>
      </c>
    </row>
    <row r="18" spans="3:3" x14ac:dyDescent="0.15">
      <c r="C18" s="1" t="s">
        <v>274</v>
      </c>
    </row>
    <row r="19" spans="3:3" x14ac:dyDescent="0.15">
      <c r="C19" s="1" t="s">
        <v>275</v>
      </c>
    </row>
    <row r="20" spans="3:3" x14ac:dyDescent="0.15">
      <c r="C20" s="1" t="s">
        <v>276</v>
      </c>
    </row>
    <row r="21" spans="3:3" x14ac:dyDescent="0.15">
      <c r="C21" s="1" t="s">
        <v>316</v>
      </c>
    </row>
    <row r="23" spans="3:3" x14ac:dyDescent="0.15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1"/>
  <sheetViews>
    <sheetView tabSelected="1" zoomScale="160" zoomScaleNormal="160" workbookViewId="0">
      <pane xSplit="2" ySplit="2" topLeftCell="CB50" activePane="bottomRight" state="frozen"/>
      <selection pane="topRight" activeCell="B1" sqref="B1"/>
      <selection pane="bottomLeft" activeCell="A2" sqref="A2"/>
      <selection pane="bottomRight" activeCell="CG61" sqref="CG61"/>
    </sheetView>
  </sheetViews>
  <sheetFormatPr baseColWidth="10" defaultColWidth="9.1640625" defaultRowHeight="13" x14ac:dyDescent="0.15"/>
  <cols>
    <col min="1" max="1" width="5.1640625" style="1" bestFit="1" customWidth="1"/>
    <col min="2" max="2" width="27.6640625" style="1" bestFit="1" customWidth="1"/>
    <col min="3" max="18" width="7.5" style="76" hidden="1" customWidth="1"/>
    <col min="19" max="30" width="7.1640625" style="76" hidden="1" customWidth="1"/>
    <col min="31" max="36" width="7.1640625" style="76" customWidth="1"/>
    <col min="37" max="37" width="8.83203125" style="76" bestFit="1" customWidth="1"/>
    <col min="38" max="40" width="7.1640625" style="76" customWidth="1"/>
    <col min="41" max="41" width="8.83203125" style="76" bestFit="1" customWidth="1"/>
    <col min="42" max="74" width="7.1640625" style="76" customWidth="1"/>
    <col min="75" max="92" width="7.1640625" style="142" customWidth="1"/>
    <col min="93" max="93" width="4.5" customWidth="1"/>
    <col min="94" max="96" width="6.5" customWidth="1"/>
    <col min="97" max="99" width="5.6640625" customWidth="1"/>
    <col min="100" max="100" width="5.6640625" style="1" customWidth="1"/>
    <col min="101" max="101" width="5.6640625" style="76" customWidth="1"/>
    <col min="102" max="103" width="6.5" style="76" customWidth="1"/>
    <col min="104" max="105" width="8" style="136" customWidth="1"/>
    <col min="106" max="109" width="8" style="76" customWidth="1"/>
    <col min="110" max="111" width="7.6640625" style="76" customWidth="1"/>
    <col min="112" max="115" width="7.5" style="142" customWidth="1"/>
    <col min="116" max="117" width="8.1640625" style="142" customWidth="1"/>
    <col min="118" max="120" width="8.1640625" customWidth="1"/>
    <col min="124" max="130" width="7.5" customWidth="1"/>
    <col min="131" max="16384" width="9.1640625" style="1"/>
  </cols>
  <sheetData>
    <row r="1" spans="1:130" x14ac:dyDescent="0.15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I1" s="139"/>
      <c r="DL1" s="139"/>
    </row>
    <row r="2" spans="1:130" s="92" customFormat="1" x14ac:dyDescent="0.15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649</v>
      </c>
      <c r="BD2" s="101" t="s">
        <v>650</v>
      </c>
      <c r="BE2" s="101" t="s">
        <v>651</v>
      </c>
      <c r="BF2" s="101" t="s">
        <v>652</v>
      </c>
      <c r="BG2" s="101" t="s">
        <v>653</v>
      </c>
      <c r="BH2" s="101" t="s">
        <v>654</v>
      </c>
      <c r="BI2" s="101" t="s">
        <v>655</v>
      </c>
      <c r="BJ2" s="101" t="s">
        <v>656</v>
      </c>
      <c r="BK2" s="101" t="s">
        <v>657</v>
      </c>
      <c r="BL2" s="101" t="s">
        <v>658</v>
      </c>
      <c r="BM2" s="101" t="s">
        <v>659</v>
      </c>
      <c r="BN2" s="101" t="s">
        <v>660</v>
      </c>
      <c r="BO2" s="101" t="s">
        <v>661</v>
      </c>
      <c r="BP2" s="101" t="s">
        <v>662</v>
      </c>
      <c r="BQ2" s="101" t="s">
        <v>663</v>
      </c>
      <c r="BR2" s="101" t="s">
        <v>664</v>
      </c>
      <c r="BS2" s="101" t="s">
        <v>665</v>
      </c>
      <c r="BT2" s="101" t="s">
        <v>666</v>
      </c>
      <c r="BU2" s="101" t="s">
        <v>667</v>
      </c>
      <c r="BV2" s="101" t="s">
        <v>668</v>
      </c>
      <c r="BW2" s="139" t="s">
        <v>669</v>
      </c>
      <c r="BX2" s="139" t="s">
        <v>670</v>
      </c>
      <c r="BY2" s="139" t="s">
        <v>671</v>
      </c>
      <c r="BZ2" s="139" t="s">
        <v>672</v>
      </c>
      <c r="CA2" s="139" t="s">
        <v>673</v>
      </c>
      <c r="CB2" s="139" t="s">
        <v>674</v>
      </c>
      <c r="CC2" s="139" t="s">
        <v>675</v>
      </c>
      <c r="CD2" s="139" t="s">
        <v>676</v>
      </c>
      <c r="CE2" s="139" t="s">
        <v>648</v>
      </c>
      <c r="CF2" s="139" t="s">
        <v>677</v>
      </c>
      <c r="CG2" s="139" t="s">
        <v>678</v>
      </c>
      <c r="CH2" s="139" t="s">
        <v>679</v>
      </c>
      <c r="CI2" s="139" t="s">
        <v>697</v>
      </c>
      <c r="CJ2" s="139" t="s">
        <v>698</v>
      </c>
      <c r="CK2" s="139" t="s">
        <v>699</v>
      </c>
      <c r="CL2" s="139" t="s">
        <v>700</v>
      </c>
      <c r="CM2" s="139"/>
      <c r="CN2" s="139"/>
      <c r="CO2" s="95"/>
      <c r="CP2" s="139">
        <v>1999</v>
      </c>
      <c r="CQ2" s="139">
        <v>2000</v>
      </c>
      <c r="CR2" s="139">
        <v>2001</v>
      </c>
      <c r="CS2" s="139">
        <v>2002</v>
      </c>
      <c r="CT2" s="139">
        <v>2003</v>
      </c>
      <c r="CU2" s="139">
        <v>2004</v>
      </c>
      <c r="CV2" s="101">
        <v>2005</v>
      </c>
      <c r="CW2" s="101">
        <v>2006</v>
      </c>
      <c r="CX2" s="101">
        <v>2007</v>
      </c>
      <c r="CY2" s="101">
        <v>2008</v>
      </c>
      <c r="CZ2" s="135">
        <v>2009</v>
      </c>
      <c r="DA2" s="135">
        <v>2010</v>
      </c>
      <c r="DB2" s="101">
        <v>2011</v>
      </c>
      <c r="DC2" s="101">
        <v>2012</v>
      </c>
      <c r="DD2" s="101">
        <v>2013</v>
      </c>
      <c r="DE2" s="101">
        <v>2014</v>
      </c>
      <c r="DF2" s="101">
        <v>2015</v>
      </c>
      <c r="DG2" s="101">
        <v>2016</v>
      </c>
      <c r="DH2" s="139">
        <v>2017</v>
      </c>
      <c r="DI2" s="139">
        <v>2018</v>
      </c>
      <c r="DJ2" s="139">
        <v>2019</v>
      </c>
      <c r="DK2" s="139">
        <v>2020</v>
      </c>
      <c r="DL2" s="139">
        <v>2021</v>
      </c>
      <c r="DM2" s="139">
        <v>2022</v>
      </c>
      <c r="DN2" s="95">
        <v>2023</v>
      </c>
      <c r="DO2" s="95">
        <v>2024</v>
      </c>
      <c r="DP2" s="95">
        <v>2025</v>
      </c>
      <c r="DQ2" s="95">
        <f>+DP2+1</f>
        <v>2026</v>
      </c>
      <c r="DR2" s="95">
        <f t="shared" ref="DR2:DU2" si="0">+DQ2+1</f>
        <v>2027</v>
      </c>
      <c r="DS2" s="95">
        <f t="shared" si="0"/>
        <v>2028</v>
      </c>
      <c r="DT2" s="95">
        <f t="shared" si="0"/>
        <v>2029</v>
      </c>
      <c r="DU2" s="95">
        <f t="shared" si="0"/>
        <v>2030</v>
      </c>
      <c r="DV2" s="95">
        <f t="shared" ref="DV2" si="1">+DU2+1</f>
        <v>2031</v>
      </c>
      <c r="DW2" s="95">
        <f t="shared" ref="DW2" si="2">+DV2+1</f>
        <v>2032</v>
      </c>
      <c r="DX2" s="95">
        <f t="shared" ref="DX2" si="3">+DW2+1</f>
        <v>2033</v>
      </c>
      <c r="DY2" s="95">
        <f t="shared" ref="DY2" si="4">+DX2+1</f>
        <v>2034</v>
      </c>
      <c r="DZ2" s="95">
        <f t="shared" ref="DZ2" si="5">+DY2+1</f>
        <v>2035</v>
      </c>
    </row>
    <row r="3" spans="1:130" s="92" customFormat="1" x14ac:dyDescent="0.15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40">
        <f>SUM(BQ9:BQ17)+BQ27</f>
        <v>3783</v>
      </c>
      <c r="BR3" s="140">
        <f>SUM(BR9:BR17)+BR27</f>
        <v>4108</v>
      </c>
      <c r="BS3" s="140">
        <f t="shared" ref="BS3:CL3" si="6">SUM(BS9:BS17)+BS27</f>
        <v>3673</v>
      </c>
      <c r="BT3" s="140">
        <f t="shared" si="6"/>
        <v>0</v>
      </c>
      <c r="BU3" s="140">
        <f t="shared" si="6"/>
        <v>4254</v>
      </c>
      <c r="BV3" s="140">
        <f t="shared" si="6"/>
        <v>4606</v>
      </c>
      <c r="BW3" s="140">
        <f t="shared" si="6"/>
        <v>4166</v>
      </c>
      <c r="BX3" s="140">
        <f t="shared" si="6"/>
        <v>4037</v>
      </c>
      <c r="BY3" s="140">
        <f t="shared" si="6"/>
        <v>4566</v>
      </c>
      <c r="BZ3" s="140">
        <f t="shared" si="6"/>
        <v>4296</v>
      </c>
      <c r="CA3" s="140">
        <f t="shared" si="6"/>
        <v>3633</v>
      </c>
      <c r="CB3" s="140">
        <f t="shared" si="6"/>
        <v>3955</v>
      </c>
      <c r="CC3" s="140">
        <f t="shared" si="6"/>
        <v>4208</v>
      </c>
      <c r="CD3" s="140">
        <f t="shared" si="6"/>
        <v>4522</v>
      </c>
      <c r="CE3" s="140">
        <f t="shared" si="6"/>
        <v>3715</v>
      </c>
      <c r="CF3" s="140">
        <f t="shared" si="6"/>
        <v>4233</v>
      </c>
      <c r="CG3" s="140">
        <f t="shared" si="6"/>
        <v>4507</v>
      </c>
      <c r="CH3" s="140">
        <f t="shared" si="6"/>
        <v>4516.46</v>
      </c>
      <c r="CI3" s="140">
        <f t="shared" si="6"/>
        <v>3906.6300000000006</v>
      </c>
      <c r="CJ3" s="140">
        <f t="shared" si="6"/>
        <v>4448.6000000000004</v>
      </c>
      <c r="CK3" s="140">
        <f t="shared" si="6"/>
        <v>4714.9000000000005</v>
      </c>
      <c r="CL3" s="140">
        <f t="shared" si="6"/>
        <v>4724.4592000000002</v>
      </c>
      <c r="CM3" s="139"/>
      <c r="CN3" s="139"/>
      <c r="CO3" s="95"/>
      <c r="CP3" s="139"/>
      <c r="CQ3" s="139"/>
      <c r="CR3" s="139"/>
      <c r="CS3" s="139"/>
      <c r="CT3" s="139"/>
      <c r="CU3" s="139"/>
      <c r="CV3" s="101"/>
      <c r="CW3" s="101"/>
      <c r="CX3" s="101"/>
      <c r="CY3" s="101"/>
      <c r="CZ3" s="135"/>
      <c r="DA3" s="135"/>
      <c r="DB3" s="140">
        <f t="shared" ref="DB3:DJ3" si="7">+DB14+DB15+DB16+DB17+DB26+DB27+DB9+DB10+DB11+DB12+DB13</f>
        <v>6904.6130000000003</v>
      </c>
      <c r="DC3" s="140">
        <f t="shared" si="7"/>
        <v>8033.4750000000004</v>
      </c>
      <c r="DD3" s="140">
        <f t="shared" si="7"/>
        <v>9119.3490000000002</v>
      </c>
      <c r="DE3" s="140">
        <f t="shared" si="7"/>
        <v>9912.8819999999996</v>
      </c>
      <c r="DF3" s="140">
        <f t="shared" si="7"/>
        <v>10395.085550000002</v>
      </c>
      <c r="DG3" s="140">
        <f t="shared" si="7"/>
        <v>11214.300562500002</v>
      </c>
      <c r="DH3" s="140">
        <f t="shared" si="7"/>
        <v>0</v>
      </c>
      <c r="DI3" s="140">
        <f t="shared" si="7"/>
        <v>0</v>
      </c>
      <c r="DJ3" s="140">
        <f t="shared" si="7"/>
        <v>0</v>
      </c>
      <c r="DK3" s="140">
        <f>+DK14+DK15+DK16+DK17+DK26+DK27+DK9+DK10+DK11+DK12+DK13</f>
        <v>17065</v>
      </c>
      <c r="DL3" s="140">
        <f t="shared" ref="DL3:DZ3" si="8">+DL14+DL15+DL16+DL17+DL26+DL27+DL9+DL10+DL11+DL12+DL13</f>
        <v>16318</v>
      </c>
      <c r="DM3" s="140">
        <f t="shared" si="8"/>
        <v>16971.46</v>
      </c>
      <c r="DN3" s="140">
        <f t="shared" si="8"/>
        <v>17794.589200000002</v>
      </c>
      <c r="DO3" s="140">
        <f t="shared" si="8"/>
        <v>16493.649740000004</v>
      </c>
      <c r="DP3" s="140">
        <f t="shared" si="8"/>
        <v>14963.376253000002</v>
      </c>
      <c r="DQ3" s="140">
        <f t="shared" si="8"/>
        <v>12133.615025300001</v>
      </c>
      <c r="DR3" s="140">
        <f t="shared" si="8"/>
        <v>9901.5990325300027</v>
      </c>
      <c r="DS3" s="140">
        <f t="shared" si="8"/>
        <v>9220.6575567529999</v>
      </c>
      <c r="DT3" s="140">
        <f t="shared" si="8"/>
        <v>8720.0433265002994</v>
      </c>
      <c r="DU3" s="140">
        <f t="shared" si="8"/>
        <v>8261.18734493378</v>
      </c>
      <c r="DV3" s="140">
        <f t="shared" si="8"/>
        <v>7828.8364841629382</v>
      </c>
      <c r="DW3" s="140">
        <f t="shared" si="8"/>
        <v>7420.1600098023764</v>
      </c>
      <c r="DX3" s="140">
        <f t="shared" si="8"/>
        <v>3834.0538102398987</v>
      </c>
      <c r="DY3" s="140">
        <f t="shared" si="8"/>
        <v>606.55958268798997</v>
      </c>
      <c r="DZ3" s="140">
        <f t="shared" si="8"/>
        <v>261.49473976639905</v>
      </c>
    </row>
    <row r="4" spans="1:130" s="92" customFormat="1" x14ac:dyDescent="0.15">
      <c r="B4" s="92" t="s">
        <v>35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95"/>
      <c r="CP4" s="139"/>
      <c r="CQ4" s="139"/>
      <c r="CR4" s="139"/>
      <c r="CS4" s="139"/>
      <c r="CT4" s="139"/>
      <c r="CU4" s="139"/>
      <c r="CV4" s="101"/>
      <c r="CW4" s="101"/>
      <c r="CX4" s="101"/>
      <c r="CY4" s="101"/>
      <c r="CZ4" s="135"/>
      <c r="DA4" s="135"/>
      <c r="DB4" s="93"/>
      <c r="DC4" s="93"/>
      <c r="DD4" s="93"/>
      <c r="DE4" s="93"/>
      <c r="DF4" s="93"/>
      <c r="DG4" s="93"/>
      <c r="DH4" s="140"/>
      <c r="DI4" s="140"/>
      <c r="DJ4" s="140"/>
      <c r="DK4" s="140"/>
      <c r="DL4"/>
      <c r="DM4"/>
      <c r="DN4"/>
      <c r="DO4"/>
      <c r="DP4"/>
      <c r="DQ4" s="95"/>
      <c r="DR4" s="95"/>
      <c r="DS4" s="95"/>
      <c r="DT4" s="95"/>
      <c r="DU4" s="95"/>
      <c r="DV4" s="95"/>
      <c r="DW4" s="95"/>
      <c r="DX4" s="95"/>
      <c r="DY4" s="95"/>
      <c r="DZ4" s="95"/>
    </row>
    <row r="5" spans="1:130" s="92" customFormat="1" x14ac:dyDescent="0.15">
      <c r="B5" s="92" t="s">
        <v>353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95"/>
      <c r="CP5" s="139"/>
      <c r="CQ5" s="139"/>
      <c r="CR5" s="139"/>
      <c r="CS5" s="139"/>
      <c r="CT5" s="139"/>
      <c r="CU5" s="139"/>
      <c r="CV5" s="101"/>
      <c r="CW5" s="101"/>
      <c r="CX5" s="101"/>
      <c r="CY5" s="101"/>
      <c r="CZ5" s="135"/>
      <c r="DA5" s="135"/>
      <c r="DB5" s="93"/>
      <c r="DC5" s="93"/>
      <c r="DD5" s="93"/>
      <c r="DE5" s="93"/>
      <c r="DF5" s="93"/>
      <c r="DG5" s="93"/>
      <c r="DH5" s="140"/>
      <c r="DI5" s="140"/>
      <c r="DJ5" s="140"/>
      <c r="DK5" s="140"/>
      <c r="DL5"/>
      <c r="DM5"/>
      <c r="DN5"/>
      <c r="DO5"/>
      <c r="DP5"/>
      <c r="DQ5" s="95"/>
      <c r="DR5" s="95"/>
      <c r="DS5" s="95"/>
      <c r="DT5" s="95"/>
      <c r="DU5" s="95"/>
      <c r="DV5" s="95"/>
      <c r="DW5" s="95"/>
      <c r="DX5" s="95"/>
      <c r="DY5" s="95"/>
      <c r="DZ5" s="95"/>
    </row>
    <row r="6" spans="1:130" s="92" customFormat="1" x14ac:dyDescent="0.15">
      <c r="B6" s="92" t="s">
        <v>100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95"/>
      <c r="CP6" s="139"/>
      <c r="CQ6" s="139"/>
      <c r="CR6" s="139"/>
      <c r="CS6" s="139"/>
      <c r="CT6" s="139"/>
      <c r="CU6" s="139"/>
      <c r="CV6" s="101"/>
      <c r="CW6" s="101"/>
      <c r="CX6" s="101"/>
      <c r="CY6" s="101"/>
      <c r="CZ6" s="135"/>
      <c r="DA6" s="135"/>
      <c r="DB6" s="93"/>
      <c r="DC6" s="93"/>
      <c r="DD6" s="93"/>
      <c r="DE6" s="93"/>
      <c r="DF6" s="93"/>
      <c r="DG6" s="93"/>
      <c r="DH6" s="140"/>
      <c r="DI6" s="140"/>
      <c r="DJ6" s="140"/>
      <c r="DK6" s="140"/>
      <c r="DL6"/>
      <c r="DM6"/>
      <c r="DN6"/>
      <c r="DO6"/>
      <c r="DP6"/>
      <c r="DQ6" s="95"/>
      <c r="DR6" s="95"/>
      <c r="DS6" s="95"/>
      <c r="DT6" s="95"/>
      <c r="DU6" s="95"/>
      <c r="DV6" s="95"/>
      <c r="DW6" s="95"/>
      <c r="DX6" s="95"/>
      <c r="DY6" s="95"/>
      <c r="DZ6" s="95"/>
    </row>
    <row r="7" spans="1:130" s="92" customFormat="1" x14ac:dyDescent="0.15">
      <c r="B7" s="92" t="s">
        <v>646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95"/>
      <c r="CP7" s="139"/>
      <c r="CQ7" s="139"/>
      <c r="CR7" s="139"/>
      <c r="CS7" s="139"/>
      <c r="CT7" s="139"/>
      <c r="CU7" s="139"/>
      <c r="CV7" s="101"/>
      <c r="CW7" s="101"/>
      <c r="CX7" s="101"/>
      <c r="CY7" s="101"/>
      <c r="CZ7" s="135"/>
      <c r="DA7" s="135"/>
      <c r="DB7" s="93"/>
      <c r="DC7" s="93"/>
      <c r="DD7" s="93"/>
      <c r="DE7" s="93"/>
      <c r="DF7" s="93"/>
      <c r="DG7" s="93"/>
      <c r="DH7" s="140"/>
      <c r="DI7" s="140"/>
      <c r="DJ7" s="140"/>
      <c r="DK7" s="140"/>
      <c r="DL7"/>
      <c r="DM7"/>
      <c r="DN7"/>
      <c r="DO7"/>
      <c r="DP7"/>
      <c r="DQ7" s="95"/>
      <c r="DR7" s="95"/>
      <c r="DS7" s="95"/>
      <c r="DT7" s="95"/>
      <c r="DU7" s="95"/>
      <c r="DV7" s="95"/>
      <c r="DW7" s="95"/>
      <c r="DX7" s="95"/>
      <c r="DY7" s="95"/>
      <c r="DZ7" s="95"/>
    </row>
    <row r="8" spans="1:130" s="92" customFormat="1" x14ac:dyDescent="0.15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95"/>
      <c r="CP8" s="139"/>
      <c r="CQ8" s="139"/>
      <c r="CR8" s="139"/>
      <c r="CS8" s="139"/>
      <c r="CT8" s="139"/>
      <c r="CU8" s="139"/>
      <c r="CV8" s="101"/>
      <c r="CW8" s="101"/>
      <c r="CX8" s="101"/>
      <c r="CY8" s="101"/>
      <c r="CZ8" s="135"/>
      <c r="DA8" s="135"/>
      <c r="DB8" s="93"/>
      <c r="DC8" s="93"/>
      <c r="DD8" s="93"/>
      <c r="DE8" s="93"/>
      <c r="DF8" s="93"/>
      <c r="DG8" s="93"/>
      <c r="DH8" s="140"/>
      <c r="DI8" s="140"/>
      <c r="DJ8" s="140"/>
      <c r="DK8" s="140"/>
      <c r="DL8"/>
      <c r="DM8"/>
      <c r="DN8"/>
      <c r="DO8"/>
      <c r="DP8"/>
      <c r="DQ8" s="95"/>
      <c r="DR8" s="95"/>
      <c r="DS8" s="95"/>
      <c r="DT8" s="95"/>
      <c r="DU8" s="95"/>
      <c r="DV8" s="95"/>
      <c r="DW8" s="95"/>
      <c r="DX8" s="95"/>
      <c r="DY8" s="95"/>
      <c r="DZ8" s="95"/>
    </row>
    <row r="9" spans="1:130" s="100" customFormat="1" x14ac:dyDescent="0.15">
      <c r="B9" s="100" t="s">
        <v>723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40">
        <v>793</v>
      </c>
      <c r="BT9" s="140"/>
      <c r="BU9" s="140">
        <v>1259</v>
      </c>
      <c r="BV9" s="140">
        <v>1570</v>
      </c>
      <c r="BW9" s="140">
        <v>1693</v>
      </c>
      <c r="BX9" s="140">
        <v>1604</v>
      </c>
      <c r="BY9" s="140">
        <v>1891</v>
      </c>
      <c r="BZ9" s="140">
        <v>2071</v>
      </c>
      <c r="CA9" s="140">
        <v>1824</v>
      </c>
      <c r="CB9" s="140">
        <v>1994</v>
      </c>
      <c r="CC9" s="140">
        <v>2276</v>
      </c>
      <c r="CD9" s="140">
        <v>2530</v>
      </c>
      <c r="CE9" s="140">
        <v>2151</v>
      </c>
      <c r="CF9" s="140">
        <v>2556</v>
      </c>
      <c r="CG9" s="140">
        <v>2766</v>
      </c>
      <c r="CH9" s="140">
        <f t="shared" ref="CH9:CL9" si="9">+CD9*1.1</f>
        <v>2783</v>
      </c>
      <c r="CI9" s="140">
        <f t="shared" si="9"/>
        <v>2366.1000000000004</v>
      </c>
      <c r="CJ9" s="140">
        <f t="shared" si="9"/>
        <v>2811.6000000000004</v>
      </c>
      <c r="CK9" s="140">
        <f t="shared" si="9"/>
        <v>3042.6000000000004</v>
      </c>
      <c r="CL9" s="140">
        <f t="shared" si="9"/>
        <v>3061.3</v>
      </c>
      <c r="CM9" s="140"/>
      <c r="CN9" s="140"/>
      <c r="CO9" s="154"/>
      <c r="CP9" s="140"/>
      <c r="CQ9" s="140"/>
      <c r="CR9" s="140"/>
      <c r="CS9" s="140"/>
      <c r="CT9" s="140"/>
      <c r="CU9" s="140"/>
      <c r="CV9" s="93"/>
      <c r="CW9" s="93"/>
      <c r="CX9" s="93"/>
      <c r="CY9" s="93"/>
      <c r="CZ9" s="103"/>
      <c r="DA9" s="103"/>
      <c r="DB9" s="93"/>
      <c r="DC9" s="93"/>
      <c r="DD9" s="93"/>
      <c r="DE9" s="93"/>
      <c r="DF9" s="93"/>
      <c r="DG9" s="93"/>
      <c r="DH9" s="140"/>
      <c r="DI9" s="140"/>
      <c r="DJ9" s="140"/>
      <c r="DK9" s="140">
        <f>SUM(BW9:BZ9)</f>
        <v>7259</v>
      </c>
      <c r="DL9" s="79">
        <f>SUM(CA9:CD9)</f>
        <v>8624</v>
      </c>
      <c r="DM9" s="79">
        <f>SUM(CE9:CH9)</f>
        <v>10256</v>
      </c>
      <c r="DN9" s="79">
        <f>SUM(CI9:CL9)</f>
        <v>11281.600000000002</v>
      </c>
      <c r="DO9" s="79">
        <f>+DN9*0.95</f>
        <v>10717.520000000002</v>
      </c>
      <c r="DP9" s="79">
        <f t="shared" ref="DP9:DW9" si="10">+DO9*0.95</f>
        <v>10181.644000000002</v>
      </c>
      <c r="DQ9" s="79">
        <f t="shared" si="10"/>
        <v>9672.5618000000013</v>
      </c>
      <c r="DR9" s="79">
        <f t="shared" si="10"/>
        <v>9188.9337100000012</v>
      </c>
      <c r="DS9" s="79">
        <f t="shared" si="10"/>
        <v>8729.4870245000002</v>
      </c>
      <c r="DT9" s="79">
        <f t="shared" si="10"/>
        <v>8293.0126732749995</v>
      </c>
      <c r="DU9" s="79">
        <f t="shared" si="10"/>
        <v>7878.3620396112492</v>
      </c>
      <c r="DV9" s="79">
        <f t="shared" si="10"/>
        <v>7484.4439376306864</v>
      </c>
      <c r="DW9" s="79">
        <f t="shared" si="10"/>
        <v>7110.2217407491516</v>
      </c>
      <c r="DX9" s="79">
        <f>+DW9*0.5</f>
        <v>3555.1108703745758</v>
      </c>
      <c r="DY9" s="79">
        <f>+DX9*0.1</f>
        <v>355.51108703745763</v>
      </c>
      <c r="DZ9" s="79">
        <f>+DY9*0.1</f>
        <v>35.551108703745761</v>
      </c>
    </row>
    <row r="10" spans="1:130" s="100" customFormat="1" x14ac:dyDescent="0.15">
      <c r="B10" s="100" t="s">
        <v>728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40">
        <v>342</v>
      </c>
      <c r="BT10" s="140"/>
      <c r="BU10" s="140">
        <v>363</v>
      </c>
      <c r="BV10" s="140">
        <v>437</v>
      </c>
      <c r="BW10" s="140">
        <v>458</v>
      </c>
      <c r="BX10" s="140">
        <v>417</v>
      </c>
      <c r="BY10" s="140">
        <v>508</v>
      </c>
      <c r="BZ10" s="140">
        <v>478</v>
      </c>
      <c r="CA10" s="140">
        <v>359</v>
      </c>
      <c r="CB10" s="140">
        <v>435</v>
      </c>
      <c r="CC10" s="140">
        <v>433</v>
      </c>
      <c r="CD10" s="140">
        <v>473</v>
      </c>
      <c r="CE10" s="140">
        <v>374</v>
      </c>
      <c r="CF10" s="140">
        <v>460</v>
      </c>
      <c r="CG10" s="140">
        <v>500</v>
      </c>
      <c r="CH10" s="140">
        <f t="shared" ref="CH10:CL10" si="11">+CD10*1.02</f>
        <v>482.46000000000004</v>
      </c>
      <c r="CI10" s="140">
        <f t="shared" si="11"/>
        <v>381.48</v>
      </c>
      <c r="CJ10" s="140">
        <f t="shared" si="11"/>
        <v>469.2</v>
      </c>
      <c r="CK10" s="140">
        <f t="shared" si="11"/>
        <v>510</v>
      </c>
      <c r="CL10" s="140">
        <f t="shared" si="11"/>
        <v>492.10920000000004</v>
      </c>
      <c r="CM10" s="140"/>
      <c r="CN10" s="140"/>
      <c r="CO10" s="154"/>
      <c r="CP10" s="140"/>
      <c r="CQ10" s="140"/>
      <c r="CR10" s="140"/>
      <c r="CS10" s="140"/>
      <c r="CT10" s="140"/>
      <c r="CU10" s="140"/>
      <c r="CV10" s="93"/>
      <c r="CW10" s="93"/>
      <c r="CX10" s="93"/>
      <c r="CY10" s="93"/>
      <c r="CZ10" s="103"/>
      <c r="DA10" s="103"/>
      <c r="DB10" s="93"/>
      <c r="DC10" s="93"/>
      <c r="DD10" s="93"/>
      <c r="DE10" s="93"/>
      <c r="DF10" s="93"/>
      <c r="DG10" s="93"/>
      <c r="DH10" s="140"/>
      <c r="DI10" s="140"/>
      <c r="DJ10" s="140"/>
      <c r="DK10" s="140">
        <f t="shared" ref="DK10:DK38" si="12">SUM(BW10:BZ10)</f>
        <v>1861</v>
      </c>
      <c r="DL10" s="79">
        <f t="shared" ref="DL10:DL38" si="13">SUM(CA10:CD10)</f>
        <v>1700</v>
      </c>
      <c r="DM10" s="79">
        <f t="shared" ref="DM10:DM38" si="14">SUM(CE10:CH10)</f>
        <v>1816.46</v>
      </c>
      <c r="DN10" s="79">
        <f t="shared" ref="DN10:DN38" si="15">SUM(CI10:CL10)</f>
        <v>1852.7892000000002</v>
      </c>
      <c r="DO10" s="79">
        <f t="shared" ref="DO10:DP10" si="16">+DN10*0.95</f>
        <v>1760.1497400000001</v>
      </c>
      <c r="DP10" s="79">
        <f t="shared" si="16"/>
        <v>1672.142253</v>
      </c>
      <c r="DQ10" s="79">
        <f>+DP10*0.1</f>
        <v>167.21422530000001</v>
      </c>
      <c r="DR10" s="79">
        <f t="shared" ref="DR10:DZ10" si="17">+DQ10*0.1</f>
        <v>16.721422530000002</v>
      </c>
      <c r="DS10" s="79">
        <f t="shared" si="17"/>
        <v>1.6721422530000003</v>
      </c>
      <c r="DT10" s="79">
        <f t="shared" si="17"/>
        <v>0.16721422530000005</v>
      </c>
      <c r="DU10" s="79">
        <f t="shared" si="17"/>
        <v>1.6721422530000005E-2</v>
      </c>
      <c r="DV10" s="79">
        <f t="shared" si="17"/>
        <v>1.6721422530000007E-3</v>
      </c>
      <c r="DW10" s="79">
        <f t="shared" si="17"/>
        <v>1.6721422530000007E-4</v>
      </c>
      <c r="DX10" s="79">
        <f t="shared" si="17"/>
        <v>1.6721422530000007E-5</v>
      </c>
      <c r="DY10" s="79">
        <f t="shared" si="17"/>
        <v>1.6721422530000008E-6</v>
      </c>
      <c r="DZ10" s="79">
        <f t="shared" si="17"/>
        <v>1.6721422530000009E-7</v>
      </c>
    </row>
    <row r="11" spans="1:130" s="100" customFormat="1" x14ac:dyDescent="0.15">
      <c r="B11" s="100" t="s">
        <v>738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40">
        <v>824</v>
      </c>
      <c r="BX11" s="140">
        <v>816</v>
      </c>
      <c r="BY11" s="140">
        <v>846</v>
      </c>
      <c r="BZ11" s="140">
        <v>852</v>
      </c>
      <c r="CA11" s="140">
        <v>673</v>
      </c>
      <c r="CB11" s="140">
        <v>706</v>
      </c>
      <c r="CC11" s="140">
        <v>744</v>
      </c>
      <c r="CD11" s="140">
        <v>756</v>
      </c>
      <c r="CE11" s="140">
        <v>582</v>
      </c>
      <c r="CF11" s="140">
        <v>582</v>
      </c>
      <c r="CG11" s="140">
        <v>600</v>
      </c>
      <c r="CH11" s="140">
        <f t="shared" ref="CH11:CL11" si="18">+CG11-10</f>
        <v>590</v>
      </c>
      <c r="CI11" s="140">
        <f t="shared" si="18"/>
        <v>580</v>
      </c>
      <c r="CJ11" s="140">
        <f t="shared" si="18"/>
        <v>570</v>
      </c>
      <c r="CK11" s="140">
        <f t="shared" si="18"/>
        <v>560</v>
      </c>
      <c r="CL11" s="140">
        <f t="shared" si="18"/>
        <v>550</v>
      </c>
      <c r="CM11" s="140"/>
      <c r="CN11" s="140"/>
      <c r="CO11" s="154"/>
      <c r="CP11" s="140"/>
      <c r="CQ11" s="140"/>
      <c r="CR11" s="140"/>
      <c r="CS11" s="140"/>
      <c r="CT11" s="140"/>
      <c r="CU11" s="140"/>
      <c r="CV11" s="93"/>
      <c r="CW11" s="93"/>
      <c r="CX11" s="93"/>
      <c r="CY11" s="93"/>
      <c r="CZ11" s="103"/>
      <c r="DA11" s="103"/>
      <c r="DB11" s="93"/>
      <c r="DC11" s="93"/>
      <c r="DD11" s="93"/>
      <c r="DE11" s="93"/>
      <c r="DF11" s="93"/>
      <c r="DG11" s="93"/>
      <c r="DH11" s="140"/>
      <c r="DI11" s="140"/>
      <c r="DJ11" s="140"/>
      <c r="DK11" s="140">
        <f t="shared" si="12"/>
        <v>3338</v>
      </c>
      <c r="DL11" s="79">
        <f t="shared" si="13"/>
        <v>2879</v>
      </c>
      <c r="DM11" s="79">
        <f t="shared" si="14"/>
        <v>2354</v>
      </c>
      <c r="DN11" s="79">
        <f t="shared" si="15"/>
        <v>2260</v>
      </c>
      <c r="DO11" s="79">
        <f>+DN11*0.9</f>
        <v>2034</v>
      </c>
      <c r="DP11" s="79">
        <f t="shared" ref="DP11:DQ11" si="19">+DO11*0.9</f>
        <v>1830.6000000000001</v>
      </c>
      <c r="DQ11" s="79">
        <f t="shared" si="19"/>
        <v>1647.5400000000002</v>
      </c>
      <c r="DR11" s="79">
        <f>+DQ11*0.1</f>
        <v>164.75400000000002</v>
      </c>
      <c r="DS11" s="79">
        <f t="shared" ref="DS11:DZ11" si="20">+DR11*0.1</f>
        <v>16.475400000000004</v>
      </c>
      <c r="DT11" s="79">
        <f t="shared" si="20"/>
        <v>1.6475400000000004</v>
      </c>
      <c r="DU11" s="79">
        <f t="shared" si="20"/>
        <v>0.16475400000000007</v>
      </c>
      <c r="DV11" s="79">
        <f t="shared" si="20"/>
        <v>1.6475400000000008E-2</v>
      </c>
      <c r="DW11" s="79">
        <f t="shared" si="20"/>
        <v>1.6475400000000009E-3</v>
      </c>
      <c r="DX11" s="79">
        <f t="shared" si="20"/>
        <v>1.6475400000000011E-4</v>
      </c>
      <c r="DY11" s="79">
        <f t="shared" si="20"/>
        <v>1.6475400000000012E-5</v>
      </c>
      <c r="DZ11" s="79">
        <f t="shared" si="20"/>
        <v>1.6475400000000012E-6</v>
      </c>
    </row>
    <row r="12" spans="1:130" s="100" customFormat="1" x14ac:dyDescent="0.15">
      <c r="B12" s="100" t="s">
        <v>739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40">
        <v>409</v>
      </c>
      <c r="BX12" s="140">
        <v>382</v>
      </c>
      <c r="BY12" s="140">
        <v>437</v>
      </c>
      <c r="BZ12" s="140">
        <v>444</v>
      </c>
      <c r="CA12" s="140">
        <v>367</v>
      </c>
      <c r="CB12" s="140">
        <v>382</v>
      </c>
      <c r="CC12" s="140">
        <v>399</v>
      </c>
      <c r="CD12" s="140">
        <v>420</v>
      </c>
      <c r="CE12" s="140">
        <v>339</v>
      </c>
      <c r="CF12" s="140">
        <v>364</v>
      </c>
      <c r="CG12" s="140">
        <v>374</v>
      </c>
      <c r="CH12" s="140">
        <f t="shared" ref="CH12:CL12" si="21">+CD12*0.95</f>
        <v>399</v>
      </c>
      <c r="CI12" s="140">
        <f t="shared" si="21"/>
        <v>322.05</v>
      </c>
      <c r="CJ12" s="140">
        <f t="shared" si="21"/>
        <v>345.8</v>
      </c>
      <c r="CK12" s="140">
        <f t="shared" si="21"/>
        <v>355.3</v>
      </c>
      <c r="CL12" s="140">
        <f t="shared" si="21"/>
        <v>379.04999999999995</v>
      </c>
      <c r="CM12" s="140"/>
      <c r="CN12" s="140"/>
      <c r="CO12" s="154"/>
      <c r="CP12" s="140"/>
      <c r="CQ12" s="140"/>
      <c r="CR12" s="140"/>
      <c r="CS12" s="140"/>
      <c r="CT12" s="140"/>
      <c r="CU12" s="140"/>
      <c r="CV12" s="93"/>
      <c r="CW12" s="93"/>
      <c r="CX12" s="93"/>
      <c r="CY12" s="93"/>
      <c r="CZ12" s="103"/>
      <c r="DA12" s="103"/>
      <c r="DB12" s="93"/>
      <c r="DC12" s="93"/>
      <c r="DD12" s="93"/>
      <c r="DE12" s="93"/>
      <c r="DF12" s="93"/>
      <c r="DG12" s="93"/>
      <c r="DH12" s="140"/>
      <c r="DI12" s="140"/>
      <c r="DJ12" s="140"/>
      <c r="DK12" s="140">
        <f t="shared" si="12"/>
        <v>1672</v>
      </c>
      <c r="DL12" s="79">
        <f t="shared" si="13"/>
        <v>1568</v>
      </c>
      <c r="DM12" s="79">
        <f t="shared" si="14"/>
        <v>1476</v>
      </c>
      <c r="DN12" s="79">
        <f t="shared" si="15"/>
        <v>1402.2</v>
      </c>
      <c r="DO12" s="79">
        <f>+DN12*0.9</f>
        <v>1261.98</v>
      </c>
      <c r="DP12" s="79">
        <f>+DO12*0.5</f>
        <v>630.99</v>
      </c>
      <c r="DQ12" s="154">
        <f>+DP12*0.1</f>
        <v>63.099000000000004</v>
      </c>
      <c r="DR12" s="154">
        <f t="shared" ref="DR12:DZ12" si="22">+DQ12*0.1</f>
        <v>6.3099000000000007</v>
      </c>
      <c r="DS12" s="154">
        <f t="shared" si="22"/>
        <v>0.63099000000000016</v>
      </c>
      <c r="DT12" s="154">
        <f t="shared" si="22"/>
        <v>6.3099000000000016E-2</v>
      </c>
      <c r="DU12" s="154">
        <f t="shared" si="22"/>
        <v>6.309900000000002E-3</v>
      </c>
      <c r="DV12" s="154">
        <f t="shared" si="22"/>
        <v>6.3099000000000022E-4</v>
      </c>
      <c r="DW12" s="154">
        <f t="shared" si="22"/>
        <v>6.3099000000000027E-5</v>
      </c>
      <c r="DX12" s="154">
        <f t="shared" si="22"/>
        <v>6.3099000000000029E-6</v>
      </c>
      <c r="DY12" s="154">
        <f t="shared" si="22"/>
        <v>6.3099000000000033E-7</v>
      </c>
      <c r="DZ12" s="154">
        <f t="shared" si="22"/>
        <v>6.3099000000000041E-8</v>
      </c>
    </row>
    <row r="13" spans="1:130" s="100" customFormat="1" x14ac:dyDescent="0.15">
      <c r="B13" s="100" t="s">
        <v>740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40">
        <v>112</v>
      </c>
      <c r="BX13" s="140">
        <v>132</v>
      </c>
      <c r="BY13" s="140">
        <v>118</v>
      </c>
      <c r="BZ13" s="140">
        <v>126</v>
      </c>
      <c r="CA13" s="140">
        <v>135</v>
      </c>
      <c r="CB13" s="140">
        <v>129</v>
      </c>
      <c r="CC13" s="140">
        <v>130</v>
      </c>
      <c r="CD13" s="140">
        <v>137</v>
      </c>
      <c r="CE13" s="140">
        <v>132</v>
      </c>
      <c r="CF13" s="140">
        <v>126</v>
      </c>
      <c r="CG13" s="140">
        <v>130</v>
      </c>
      <c r="CH13" s="140">
        <f t="shared" ref="CH13:CL14" si="23">+CG13-1</f>
        <v>129</v>
      </c>
      <c r="CI13" s="140">
        <f t="shared" si="23"/>
        <v>128</v>
      </c>
      <c r="CJ13" s="140">
        <f t="shared" si="23"/>
        <v>127</v>
      </c>
      <c r="CK13" s="140">
        <f t="shared" si="23"/>
        <v>126</v>
      </c>
      <c r="CL13" s="140">
        <f t="shared" si="23"/>
        <v>125</v>
      </c>
      <c r="CM13" s="140"/>
      <c r="CN13" s="140"/>
      <c r="CO13" s="154"/>
      <c r="CP13" s="140"/>
      <c r="CQ13" s="140"/>
      <c r="CR13" s="140"/>
      <c r="CS13" s="140"/>
      <c r="CT13" s="140"/>
      <c r="CU13" s="140"/>
      <c r="CV13" s="93"/>
      <c r="CW13" s="93"/>
      <c r="CX13" s="93"/>
      <c r="CY13" s="93"/>
      <c r="CZ13" s="103"/>
      <c r="DA13" s="103"/>
      <c r="DB13" s="93"/>
      <c r="DC13" s="93"/>
      <c r="DD13" s="93"/>
      <c r="DE13" s="93"/>
      <c r="DF13" s="93"/>
      <c r="DG13" s="93"/>
      <c r="DH13" s="140"/>
      <c r="DI13" s="140"/>
      <c r="DJ13" s="140"/>
      <c r="DK13" s="140">
        <f t="shared" si="12"/>
        <v>488</v>
      </c>
      <c r="DL13" s="79">
        <f t="shared" si="13"/>
        <v>531</v>
      </c>
      <c r="DM13" s="79">
        <f t="shared" si="14"/>
        <v>517</v>
      </c>
      <c r="DN13" s="79">
        <f t="shared" si="15"/>
        <v>506</v>
      </c>
      <c r="DO13" s="79">
        <f>+DN13*0.9</f>
        <v>455.40000000000003</v>
      </c>
      <c r="DP13" s="79">
        <f t="shared" ref="DP13:DZ13" si="24">+DO13*0.9</f>
        <v>409.86</v>
      </c>
      <c r="DQ13" s="79">
        <f t="shared" si="24"/>
        <v>368.87400000000002</v>
      </c>
      <c r="DR13" s="79">
        <f t="shared" si="24"/>
        <v>331.98660000000001</v>
      </c>
      <c r="DS13" s="79">
        <f t="shared" si="24"/>
        <v>298.78793999999999</v>
      </c>
      <c r="DT13" s="79">
        <f t="shared" si="24"/>
        <v>268.90914600000002</v>
      </c>
      <c r="DU13" s="79">
        <f t="shared" si="24"/>
        <v>242.01823140000002</v>
      </c>
      <c r="DV13" s="79">
        <f t="shared" si="24"/>
        <v>217.81640826000003</v>
      </c>
      <c r="DW13" s="79">
        <f t="shared" si="24"/>
        <v>196.03476743400003</v>
      </c>
      <c r="DX13" s="79">
        <f t="shared" si="24"/>
        <v>176.43129069060004</v>
      </c>
      <c r="DY13" s="79">
        <f t="shared" si="24"/>
        <v>158.78816162154004</v>
      </c>
      <c r="DZ13" s="79">
        <f t="shared" si="24"/>
        <v>142.90934545938603</v>
      </c>
    </row>
    <row r="14" spans="1:130" s="15" customFormat="1" x14ac:dyDescent="0.15">
      <c r="B14" s="92" t="s">
        <v>726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7">
        <v>0</v>
      </c>
      <c r="AN14" s="127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7">
        <v>269.52</v>
      </c>
      <c r="BA14" s="93">
        <f>+AZ14+35</f>
        <v>304.52</v>
      </c>
      <c r="BB14" s="93">
        <f t="shared" ref="BB14" si="25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40">
        <v>53</v>
      </c>
      <c r="BX14" s="140">
        <v>59</v>
      </c>
      <c r="BY14" s="140">
        <v>42</v>
      </c>
      <c r="BZ14" s="140">
        <v>42</v>
      </c>
      <c r="CA14" s="140">
        <v>46</v>
      </c>
      <c r="CB14" s="140">
        <v>51</v>
      </c>
      <c r="CC14" s="140">
        <v>42</v>
      </c>
      <c r="CD14" s="140">
        <v>50</v>
      </c>
      <c r="CE14" s="140">
        <v>32</v>
      </c>
      <c r="CF14" s="140">
        <v>33</v>
      </c>
      <c r="CG14" s="140">
        <v>32</v>
      </c>
      <c r="CH14" s="140">
        <f t="shared" si="23"/>
        <v>31</v>
      </c>
      <c r="CI14" s="140">
        <f t="shared" si="23"/>
        <v>30</v>
      </c>
      <c r="CJ14" s="140">
        <f t="shared" si="23"/>
        <v>29</v>
      </c>
      <c r="CK14" s="140">
        <f t="shared" si="23"/>
        <v>28</v>
      </c>
      <c r="CL14" s="140">
        <f t="shared" si="23"/>
        <v>27</v>
      </c>
      <c r="CM14" s="140"/>
      <c r="CN14" s="140"/>
      <c r="CO14" s="13"/>
      <c r="CP14" s="155"/>
      <c r="CQ14" s="155"/>
      <c r="CR14" s="155"/>
      <c r="CS14" s="155"/>
      <c r="CT14" s="155"/>
      <c r="CU14" s="155"/>
      <c r="CV14" s="85"/>
      <c r="CW14" s="93"/>
      <c r="CX14" s="93"/>
      <c r="CY14" s="93"/>
      <c r="CZ14" s="103"/>
      <c r="DA14" s="103"/>
      <c r="DB14" s="93">
        <f>SUM(AM14:AP14)</f>
        <v>0</v>
      </c>
      <c r="DC14" s="93">
        <f>SUM(AQ14:AT14)</f>
        <v>57.536000000000001</v>
      </c>
      <c r="DD14" s="83">
        <f>SUM(AU14:AX14)</f>
        <v>539.25599999999997</v>
      </c>
      <c r="DE14" s="93">
        <f>SUM(AY14:BB14)</f>
        <v>1128.8309999999999</v>
      </c>
      <c r="DF14" s="93">
        <f>+DE14*1.5</f>
        <v>1693.2464999999997</v>
      </c>
      <c r="DG14" s="93">
        <f>+DF14*1.5</f>
        <v>2539.8697499999998</v>
      </c>
      <c r="DH14" s="140"/>
      <c r="DI14" s="140"/>
      <c r="DJ14" s="140"/>
      <c r="DK14" s="140">
        <f t="shared" si="12"/>
        <v>196</v>
      </c>
      <c r="DL14" s="79">
        <f t="shared" si="13"/>
        <v>189</v>
      </c>
      <c r="DM14" s="79">
        <f t="shared" si="14"/>
        <v>128</v>
      </c>
      <c r="DN14" s="79">
        <f t="shared" si="15"/>
        <v>114</v>
      </c>
      <c r="DO14" s="79">
        <f t="shared" ref="DO14:DZ14" si="26">+DN14*0.9</f>
        <v>102.60000000000001</v>
      </c>
      <c r="DP14" s="79">
        <f t="shared" si="26"/>
        <v>92.34</v>
      </c>
      <c r="DQ14" s="79">
        <f t="shared" si="26"/>
        <v>83.106000000000009</v>
      </c>
      <c r="DR14" s="79">
        <f t="shared" si="26"/>
        <v>74.795400000000015</v>
      </c>
      <c r="DS14" s="79">
        <f t="shared" si="26"/>
        <v>67.315860000000015</v>
      </c>
      <c r="DT14" s="79">
        <f t="shared" si="26"/>
        <v>60.584274000000015</v>
      </c>
      <c r="DU14" s="79">
        <f t="shared" si="26"/>
        <v>54.525846600000015</v>
      </c>
      <c r="DV14" s="79">
        <f t="shared" si="26"/>
        <v>49.073261940000016</v>
      </c>
      <c r="DW14" s="79">
        <f t="shared" si="26"/>
        <v>44.165935746000017</v>
      </c>
      <c r="DX14" s="79">
        <f t="shared" si="26"/>
        <v>39.749342171400016</v>
      </c>
      <c r="DY14" s="79">
        <f t="shared" si="26"/>
        <v>35.774407954260013</v>
      </c>
      <c r="DZ14" s="79">
        <f t="shared" si="26"/>
        <v>32.196967158834013</v>
      </c>
    </row>
    <row r="15" spans="1:130" s="16" customFormat="1" x14ac:dyDescent="0.15">
      <c r="B15" s="92" t="s">
        <v>727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8">
        <v>715.80399999999997</v>
      </c>
      <c r="AK15" s="104">
        <v>742.7</v>
      </c>
      <c r="AL15" s="104"/>
      <c r="AM15" s="128">
        <v>744.51199999999994</v>
      </c>
      <c r="AN15" s="128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8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1">
        <v>95</v>
      </c>
      <c r="BX15" s="141">
        <v>103</v>
      </c>
      <c r="BY15" s="141">
        <v>113</v>
      </c>
      <c r="BZ15" s="141">
        <v>38</v>
      </c>
      <c r="CA15" s="104"/>
      <c r="CB15" s="141">
        <v>60</v>
      </c>
      <c r="CC15" s="141">
        <v>27</v>
      </c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"/>
      <c r="CP15" s="14"/>
      <c r="CQ15" s="14"/>
      <c r="CR15" s="14"/>
      <c r="CS15" s="14"/>
      <c r="CT15" s="14"/>
      <c r="CU15" s="14"/>
      <c r="CW15" s="83">
        <f>V15+U15</f>
        <v>205.76900000000001</v>
      </c>
      <c r="CX15" s="83">
        <v>903.38099999999997</v>
      </c>
      <c r="CY15" s="83">
        <v>1572.4549999999999</v>
      </c>
      <c r="CZ15" s="108">
        <f>SUM(AE15:AH15)</f>
        <v>2382.1130000000003</v>
      </c>
      <c r="DA15" s="108">
        <v>2926.1129999999998</v>
      </c>
      <c r="DB15" s="93">
        <f t="shared" ref="DB15" si="27">SUM(AM15:AP15)</f>
        <v>3224.5189999999998</v>
      </c>
      <c r="DC15" s="93">
        <f t="shared" ref="DC15" si="28">SUM(AQ15:AT15)</f>
        <v>3574.4830000000002</v>
      </c>
      <c r="DD15" s="93">
        <f t="shared" ref="DD15" si="29">SUM(AU15:AX15)</f>
        <v>3648.4960000000001</v>
      </c>
      <c r="DE15" s="93">
        <f>SUM(AY15:BB15)</f>
        <v>3361.7180000000003</v>
      </c>
      <c r="DF15" s="83">
        <f t="shared" ref="DF15:DG15" si="30">DE15*1.05</f>
        <v>3529.8039000000003</v>
      </c>
      <c r="DG15" s="83">
        <f t="shared" si="30"/>
        <v>3706.2940950000007</v>
      </c>
      <c r="DH15" s="143"/>
      <c r="DI15" s="143"/>
      <c r="DJ15" s="143"/>
      <c r="DK15" s="140">
        <f t="shared" si="12"/>
        <v>349</v>
      </c>
      <c r="DL15" s="79">
        <f t="shared" si="13"/>
        <v>87</v>
      </c>
      <c r="DM15" s="79">
        <f>SUM(CE15:CH15)</f>
        <v>0</v>
      </c>
      <c r="DN15" s="79">
        <f t="shared" si="15"/>
        <v>0</v>
      </c>
      <c r="DO15" s="79">
        <f t="shared" ref="DO15:DZ15" si="31">+DN15*0.9</f>
        <v>0</v>
      </c>
      <c r="DP15" s="79">
        <f t="shared" si="31"/>
        <v>0</v>
      </c>
      <c r="DQ15" s="79">
        <f t="shared" si="31"/>
        <v>0</v>
      </c>
      <c r="DR15" s="79">
        <f t="shared" si="31"/>
        <v>0</v>
      </c>
      <c r="DS15" s="79">
        <f t="shared" si="31"/>
        <v>0</v>
      </c>
      <c r="DT15" s="79">
        <f t="shared" si="31"/>
        <v>0</v>
      </c>
      <c r="DU15" s="79">
        <f t="shared" si="31"/>
        <v>0</v>
      </c>
      <c r="DV15" s="79">
        <f t="shared" si="31"/>
        <v>0</v>
      </c>
      <c r="DW15" s="79">
        <f t="shared" si="31"/>
        <v>0</v>
      </c>
      <c r="DX15" s="79">
        <f t="shared" si="31"/>
        <v>0</v>
      </c>
      <c r="DY15" s="79">
        <f t="shared" si="31"/>
        <v>0</v>
      </c>
      <c r="DZ15" s="79">
        <f t="shared" si="31"/>
        <v>0</v>
      </c>
    </row>
    <row r="16" spans="1:130" s="17" customFormat="1" x14ac:dyDescent="0.15">
      <c r="B16" s="100" t="s">
        <v>725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8">
        <v>641.68200000000002</v>
      </c>
      <c r="AK16" s="104">
        <v>668.7</v>
      </c>
      <c r="AL16" s="104"/>
      <c r="AM16" s="128">
        <v>673.11099999999999</v>
      </c>
      <c r="AN16" s="128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8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1">
        <v>406</v>
      </c>
      <c r="BX16" s="141">
        <v>387</v>
      </c>
      <c r="BY16" s="141">
        <v>509</v>
      </c>
      <c r="BZ16" s="141">
        <v>146</v>
      </c>
      <c r="CA16" s="141">
        <v>135</v>
      </c>
      <c r="CB16" s="141">
        <v>108</v>
      </c>
      <c r="CC16" s="141">
        <v>67</v>
      </c>
      <c r="CD16" s="141">
        <v>61</v>
      </c>
      <c r="CE16" s="141">
        <v>38</v>
      </c>
      <c r="CF16" s="141">
        <v>34</v>
      </c>
      <c r="CG16" s="141">
        <v>30</v>
      </c>
      <c r="CH16" s="141">
        <f t="shared" ref="CH16:CL16" si="32">+CG16-1</f>
        <v>29</v>
      </c>
      <c r="CI16" s="141">
        <f t="shared" si="32"/>
        <v>28</v>
      </c>
      <c r="CJ16" s="141">
        <f t="shared" si="32"/>
        <v>27</v>
      </c>
      <c r="CK16" s="141">
        <f t="shared" si="32"/>
        <v>26</v>
      </c>
      <c r="CL16" s="141">
        <f t="shared" si="32"/>
        <v>25</v>
      </c>
      <c r="CM16" s="141"/>
      <c r="CN16" s="141"/>
      <c r="CO16" s="79"/>
      <c r="CP16" s="79"/>
      <c r="CQ16" s="79"/>
      <c r="CR16" s="79"/>
      <c r="CS16" s="79"/>
      <c r="CT16" s="79"/>
      <c r="CU16" s="79">
        <v>67.962426450334931</v>
      </c>
      <c r="CV16" s="17">
        <v>567.79999999999995</v>
      </c>
      <c r="CW16" s="82">
        <f>SUM(S16:V16)</f>
        <v>1194.29</v>
      </c>
      <c r="CX16" s="82"/>
      <c r="CY16" s="82"/>
      <c r="CZ16" s="105">
        <f>SUM(AE16:AH16)</f>
        <v>2489.6820000000002</v>
      </c>
      <c r="DA16" s="105">
        <f>SUM(AI16:AL16)</f>
        <v>1310.3820000000001</v>
      </c>
      <c r="DB16" s="93">
        <f>SUM(AM16:AP16)</f>
        <v>2874.7139999999999</v>
      </c>
      <c r="DC16" s="93">
        <f>SUM(AQ16:AT16)</f>
        <v>3181.11</v>
      </c>
      <c r="DD16" s="83">
        <f>SUM(AU16:AX16)</f>
        <v>3135.7709999999997</v>
      </c>
      <c r="DE16" s="93">
        <f>SUM(AY16:BB16)</f>
        <v>3194.53</v>
      </c>
      <c r="DF16" s="82">
        <f>+DE16*0.9</f>
        <v>2875.0770000000002</v>
      </c>
      <c r="DG16" s="82">
        <f t="shared" ref="DG16" si="33">+DF16*0.9</f>
        <v>2587.5693000000001</v>
      </c>
      <c r="DH16" s="141"/>
      <c r="DI16" s="141"/>
      <c r="DJ16" s="141"/>
      <c r="DK16" s="140">
        <f t="shared" si="12"/>
        <v>1448</v>
      </c>
      <c r="DL16" s="79">
        <f t="shared" si="13"/>
        <v>371</v>
      </c>
      <c r="DM16" s="79">
        <f t="shared" si="14"/>
        <v>131</v>
      </c>
      <c r="DN16" s="79">
        <f t="shared" si="15"/>
        <v>106</v>
      </c>
      <c r="DO16" s="79">
        <f t="shared" ref="DO16:DZ16" si="34">+DN16*0.9</f>
        <v>95.4</v>
      </c>
      <c r="DP16" s="79">
        <f t="shared" si="34"/>
        <v>85.860000000000014</v>
      </c>
      <c r="DQ16" s="79">
        <f t="shared" si="34"/>
        <v>77.274000000000015</v>
      </c>
      <c r="DR16" s="79">
        <f t="shared" si="34"/>
        <v>69.546600000000012</v>
      </c>
      <c r="DS16" s="79">
        <f t="shared" si="34"/>
        <v>62.591940000000015</v>
      </c>
      <c r="DT16" s="79">
        <f t="shared" si="34"/>
        <v>56.332746000000014</v>
      </c>
      <c r="DU16" s="79">
        <f t="shared" si="34"/>
        <v>50.699471400000014</v>
      </c>
      <c r="DV16" s="79">
        <f t="shared" si="34"/>
        <v>45.629524260000011</v>
      </c>
      <c r="DW16" s="79">
        <f t="shared" si="34"/>
        <v>41.066571834000008</v>
      </c>
      <c r="DX16" s="79">
        <f t="shared" si="34"/>
        <v>36.959914650600005</v>
      </c>
      <c r="DY16" s="79">
        <f t="shared" si="34"/>
        <v>33.263923185540008</v>
      </c>
      <c r="DZ16" s="79">
        <f t="shared" si="34"/>
        <v>29.937530866986009</v>
      </c>
    </row>
    <row r="17" spans="2:130" s="17" customFormat="1" x14ac:dyDescent="0.15">
      <c r="B17" s="100" t="s">
        <v>724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8">
        <v>176.172</v>
      </c>
      <c r="AK17" s="104">
        <v>184.2</v>
      </c>
      <c r="AL17" s="104"/>
      <c r="AM17" s="128">
        <v>168.39500000000001</v>
      </c>
      <c r="AN17" s="128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8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1">
        <v>40</v>
      </c>
      <c r="BX17" s="141">
        <v>65</v>
      </c>
      <c r="BY17" s="141">
        <v>32</v>
      </c>
      <c r="BZ17" s="141">
        <v>48</v>
      </c>
      <c r="CA17" s="141">
        <v>31</v>
      </c>
      <c r="CB17" s="141">
        <v>28</v>
      </c>
      <c r="CC17" s="141">
        <v>26</v>
      </c>
      <c r="CD17" s="141">
        <v>26</v>
      </c>
      <c r="CE17" s="141">
        <v>23</v>
      </c>
      <c r="CF17" s="141">
        <v>24</v>
      </c>
      <c r="CG17" s="141">
        <v>22</v>
      </c>
      <c r="CH17" s="141">
        <f t="shared" ref="CH17:CL17" si="35">+CG17-1</f>
        <v>21</v>
      </c>
      <c r="CI17" s="141">
        <f t="shared" si="35"/>
        <v>20</v>
      </c>
      <c r="CJ17" s="141">
        <f t="shared" si="35"/>
        <v>19</v>
      </c>
      <c r="CK17" s="141">
        <f t="shared" si="35"/>
        <v>18</v>
      </c>
      <c r="CL17" s="141">
        <f t="shared" si="35"/>
        <v>17</v>
      </c>
      <c r="CM17" s="141"/>
      <c r="CN17" s="141"/>
      <c r="CO17" s="79"/>
      <c r="CP17" s="79"/>
      <c r="CQ17" s="79"/>
      <c r="CR17" s="79">
        <v>15.586</v>
      </c>
      <c r="CS17" s="79">
        <v>225.78199999999998</v>
      </c>
      <c r="CT17" s="79">
        <v>566.5</v>
      </c>
      <c r="CU17" s="79">
        <v>782.97351970781381</v>
      </c>
      <c r="CV17" s="17">
        <v>778.7</v>
      </c>
      <c r="CW17" s="82">
        <f>SUM(S17:V17)</f>
        <v>689.33900000000006</v>
      </c>
      <c r="CX17" s="82">
        <f>SUM(W17:Z17)</f>
        <v>613.16399999999999</v>
      </c>
      <c r="CY17" s="82">
        <f>SUM(AA17:AD17)</f>
        <v>621.18700000000001</v>
      </c>
      <c r="CZ17" s="105">
        <f>SUM(AE17:AH17)</f>
        <v>667.54099999999994</v>
      </c>
      <c r="DA17" s="105"/>
      <c r="DB17" s="93">
        <f>SUM(AM17:AP17)</f>
        <v>737.88000000000011</v>
      </c>
      <c r="DC17" s="93">
        <f>SUM(AQ17:AT17)</f>
        <v>848.697</v>
      </c>
      <c r="DD17" s="83">
        <f>SUM(AU17:AX17)</f>
        <v>958.96900000000005</v>
      </c>
      <c r="DE17" s="93">
        <f>SUM(AY17:BB17)</f>
        <v>1005.1469999999999</v>
      </c>
      <c r="DF17" s="82">
        <f t="shared" ref="DF17:DG17" si="36">DE17*0.95</f>
        <v>954.88964999999985</v>
      </c>
      <c r="DG17" s="82">
        <f t="shared" si="36"/>
        <v>907.14516749999984</v>
      </c>
      <c r="DH17" s="141"/>
      <c r="DI17" s="140"/>
      <c r="DJ17" s="140"/>
      <c r="DK17" s="140">
        <f t="shared" si="12"/>
        <v>185</v>
      </c>
      <c r="DL17" s="79">
        <f t="shared" si="13"/>
        <v>111</v>
      </c>
      <c r="DM17" s="79">
        <f t="shared" si="14"/>
        <v>90</v>
      </c>
      <c r="DN17" s="79">
        <f t="shared" si="15"/>
        <v>74</v>
      </c>
      <c r="DO17" s="79">
        <f t="shared" ref="DO17:DZ17" si="37">+DN17*0.9</f>
        <v>66.600000000000009</v>
      </c>
      <c r="DP17" s="79">
        <f t="shared" si="37"/>
        <v>59.940000000000012</v>
      </c>
      <c r="DQ17" s="79">
        <f t="shared" si="37"/>
        <v>53.946000000000012</v>
      </c>
      <c r="DR17" s="79">
        <f t="shared" si="37"/>
        <v>48.551400000000015</v>
      </c>
      <c r="DS17" s="79">
        <f t="shared" si="37"/>
        <v>43.696260000000017</v>
      </c>
      <c r="DT17" s="79">
        <f t="shared" si="37"/>
        <v>39.326634000000013</v>
      </c>
      <c r="DU17" s="79">
        <f t="shared" si="37"/>
        <v>35.39397060000001</v>
      </c>
      <c r="DV17" s="79">
        <f t="shared" si="37"/>
        <v>31.854573540000011</v>
      </c>
      <c r="DW17" s="79">
        <f t="shared" si="37"/>
        <v>28.669116186000011</v>
      </c>
      <c r="DX17" s="79">
        <f t="shared" si="37"/>
        <v>25.802204567400011</v>
      </c>
      <c r="DY17" s="79">
        <f t="shared" si="37"/>
        <v>23.22198411066001</v>
      </c>
      <c r="DZ17" s="79">
        <f t="shared" si="37"/>
        <v>20.899785699594009</v>
      </c>
    </row>
    <row r="18" spans="2:130" s="15" customFormat="1" x14ac:dyDescent="0.15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7">
        <v>0</v>
      </c>
      <c r="AN18" s="127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7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3"/>
      <c r="CP18" s="155"/>
      <c r="CQ18" s="155"/>
      <c r="CR18" s="155"/>
      <c r="CS18" s="155"/>
      <c r="CT18" s="155"/>
      <c r="CU18" s="155"/>
      <c r="CV18" s="85"/>
      <c r="CW18" s="93"/>
      <c r="CX18" s="93"/>
      <c r="CY18" s="93"/>
      <c r="CZ18" s="103"/>
      <c r="DA18" s="103"/>
      <c r="DB18" s="93">
        <f>SUM(AM18:AP18)</f>
        <v>0</v>
      </c>
      <c r="DC18" s="93">
        <f>SUM(AQ18:AT18)</f>
        <v>0</v>
      </c>
      <c r="DD18" s="83">
        <f>SUM(AU18:AX18)</f>
        <v>139.435</v>
      </c>
      <c r="DE18" s="93">
        <f t="shared" ref="DE18:DE38" si="38">SUM(AY18:BB18)</f>
        <v>13215.327000000001</v>
      </c>
      <c r="DF18" s="93">
        <f>+DE18*1.2</f>
        <v>15858.392400000001</v>
      </c>
      <c r="DG18" s="93">
        <f>+DF18*1.01</f>
        <v>16016.976324000001</v>
      </c>
      <c r="DH18" s="140"/>
      <c r="DI18" s="140"/>
      <c r="DJ18" s="140"/>
      <c r="DK18" s="140">
        <f t="shared" si="12"/>
        <v>0</v>
      </c>
      <c r="DL18" s="79">
        <f t="shared" si="13"/>
        <v>0</v>
      </c>
      <c r="DM18" s="79">
        <f t="shared" si="14"/>
        <v>0</v>
      </c>
      <c r="DN18" s="79">
        <f t="shared" si="15"/>
        <v>0</v>
      </c>
      <c r="DO18" s="79">
        <f t="shared" ref="DO18:DZ18" si="39">+DN18*0.9</f>
        <v>0</v>
      </c>
      <c r="DP18" s="79">
        <f t="shared" si="39"/>
        <v>0</v>
      </c>
      <c r="DQ18" s="79">
        <f t="shared" si="39"/>
        <v>0</v>
      </c>
      <c r="DR18" s="79">
        <f t="shared" si="39"/>
        <v>0</v>
      </c>
      <c r="DS18" s="79">
        <f t="shared" si="39"/>
        <v>0</v>
      </c>
      <c r="DT18" s="79">
        <f t="shared" si="39"/>
        <v>0</v>
      </c>
      <c r="DU18" s="79">
        <f t="shared" si="39"/>
        <v>0</v>
      </c>
      <c r="DV18" s="79">
        <f t="shared" si="39"/>
        <v>0</v>
      </c>
      <c r="DW18" s="79">
        <f t="shared" si="39"/>
        <v>0</v>
      </c>
      <c r="DX18" s="79">
        <f t="shared" si="39"/>
        <v>0</v>
      </c>
      <c r="DY18" s="79">
        <f t="shared" si="39"/>
        <v>0</v>
      </c>
      <c r="DZ18" s="79">
        <f t="shared" si="39"/>
        <v>0</v>
      </c>
    </row>
    <row r="19" spans="2:130" s="15" customFormat="1" x14ac:dyDescent="0.15">
      <c r="B19" s="92" t="s">
        <v>627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7">
        <v>0</v>
      </c>
      <c r="AN19" s="127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7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3"/>
      <c r="CP19" s="155"/>
      <c r="CQ19" s="155"/>
      <c r="CR19" s="155"/>
      <c r="CS19" s="155"/>
      <c r="CT19" s="155"/>
      <c r="CU19" s="155"/>
      <c r="CV19" s="85"/>
      <c r="CW19" s="93"/>
      <c r="CX19" s="93"/>
      <c r="CY19" s="93"/>
      <c r="CZ19" s="103"/>
      <c r="DA19" s="103"/>
      <c r="DB19" s="93">
        <f t="shared" ref="DB19" si="40">SUM(AM19:AP19)</f>
        <v>0</v>
      </c>
      <c r="DC19" s="93">
        <f t="shared" ref="DC19" si="41">SUM(AQ19:AT19)</f>
        <v>0</v>
      </c>
      <c r="DD19" s="83">
        <f t="shared" ref="DD19" si="42">SUM(AU19:AX19)</f>
        <v>0</v>
      </c>
      <c r="DE19" s="93">
        <f t="shared" si="38"/>
        <v>1000</v>
      </c>
      <c r="DF19" s="93">
        <v>2000</v>
      </c>
      <c r="DG19" s="93">
        <v>2500</v>
      </c>
      <c r="DH19" s="140"/>
      <c r="DI19" s="140"/>
      <c r="DJ19" s="140"/>
      <c r="DK19" s="140">
        <f t="shared" si="12"/>
        <v>0</v>
      </c>
      <c r="DL19" s="79">
        <f t="shared" si="13"/>
        <v>0</v>
      </c>
      <c r="DM19" s="79">
        <f t="shared" si="14"/>
        <v>0</v>
      </c>
      <c r="DN19" s="79">
        <f t="shared" si="15"/>
        <v>0</v>
      </c>
      <c r="DO19" s="79">
        <f t="shared" ref="DO19:DZ19" si="43">+DN19*0.9</f>
        <v>0</v>
      </c>
      <c r="DP19" s="79">
        <f t="shared" si="43"/>
        <v>0</v>
      </c>
      <c r="DQ19" s="79">
        <f t="shared" si="43"/>
        <v>0</v>
      </c>
      <c r="DR19" s="79">
        <f t="shared" si="43"/>
        <v>0</v>
      </c>
      <c r="DS19" s="79">
        <f t="shared" si="43"/>
        <v>0</v>
      </c>
      <c r="DT19" s="79">
        <f t="shared" si="43"/>
        <v>0</v>
      </c>
      <c r="DU19" s="79">
        <f t="shared" si="43"/>
        <v>0</v>
      </c>
      <c r="DV19" s="79">
        <f t="shared" si="43"/>
        <v>0</v>
      </c>
      <c r="DW19" s="79">
        <f t="shared" si="43"/>
        <v>0</v>
      </c>
      <c r="DX19" s="79">
        <f t="shared" si="43"/>
        <v>0</v>
      </c>
      <c r="DY19" s="79">
        <f t="shared" si="43"/>
        <v>0</v>
      </c>
      <c r="DZ19" s="79">
        <f t="shared" si="43"/>
        <v>0</v>
      </c>
    </row>
    <row r="20" spans="2:130" s="15" customFormat="1" x14ac:dyDescent="0.15">
      <c r="B20" s="92" t="s">
        <v>696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7"/>
      <c r="AN20" s="127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7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40">
        <v>112</v>
      </c>
      <c r="BX20" s="140">
        <v>67</v>
      </c>
      <c r="BY20" s="140">
        <v>84</v>
      </c>
      <c r="BZ20" s="140">
        <v>9</v>
      </c>
      <c r="CA20" s="140">
        <v>56</v>
      </c>
      <c r="CB20" s="140">
        <v>62</v>
      </c>
      <c r="CC20" s="140">
        <v>45</v>
      </c>
      <c r="CD20" s="140">
        <v>49</v>
      </c>
      <c r="CE20" s="140">
        <v>35</v>
      </c>
      <c r="CF20" s="140">
        <v>23</v>
      </c>
      <c r="CG20" s="140">
        <v>25</v>
      </c>
      <c r="CH20" s="140">
        <f t="shared" ref="CH20:CL20" si="44">+CG20-1</f>
        <v>24</v>
      </c>
      <c r="CI20" s="140">
        <f t="shared" si="44"/>
        <v>23</v>
      </c>
      <c r="CJ20" s="140">
        <f t="shared" si="44"/>
        <v>22</v>
      </c>
      <c r="CK20" s="140">
        <f t="shared" si="44"/>
        <v>21</v>
      </c>
      <c r="CL20" s="140">
        <f t="shared" si="44"/>
        <v>20</v>
      </c>
      <c r="CM20" s="140"/>
      <c r="CN20" s="140"/>
      <c r="CO20" s="13"/>
      <c r="CP20" s="155"/>
      <c r="CQ20" s="155"/>
      <c r="CR20" s="155"/>
      <c r="CS20" s="155"/>
      <c r="CT20" s="155"/>
      <c r="CU20" s="155"/>
      <c r="CV20" s="85"/>
      <c r="CW20" s="93"/>
      <c r="CX20" s="93"/>
      <c r="CY20" s="93"/>
      <c r="CZ20" s="103"/>
      <c r="DA20" s="103"/>
      <c r="DB20" s="93"/>
      <c r="DC20" s="93"/>
      <c r="DD20" s="83"/>
      <c r="DE20" s="93"/>
      <c r="DF20" s="93"/>
      <c r="DG20" s="93"/>
      <c r="DH20" s="140"/>
      <c r="DI20" s="140"/>
      <c r="DJ20" s="140"/>
      <c r="DK20" s="140">
        <f t="shared" si="12"/>
        <v>272</v>
      </c>
      <c r="DL20" s="79">
        <f t="shared" si="13"/>
        <v>212</v>
      </c>
      <c r="DM20" s="79">
        <f t="shared" si="14"/>
        <v>107</v>
      </c>
      <c r="DN20" s="79">
        <f t="shared" si="15"/>
        <v>86</v>
      </c>
      <c r="DO20" s="79">
        <f t="shared" ref="DO20:DZ20" si="45">+DN20*0.9</f>
        <v>77.400000000000006</v>
      </c>
      <c r="DP20" s="79">
        <f t="shared" si="45"/>
        <v>69.660000000000011</v>
      </c>
      <c r="DQ20" s="79">
        <f t="shared" si="45"/>
        <v>62.69400000000001</v>
      </c>
      <c r="DR20" s="79">
        <f t="shared" si="45"/>
        <v>56.424600000000012</v>
      </c>
      <c r="DS20" s="79">
        <f t="shared" si="45"/>
        <v>50.782140000000012</v>
      </c>
      <c r="DT20" s="79">
        <f t="shared" si="45"/>
        <v>45.70392600000001</v>
      </c>
      <c r="DU20" s="79">
        <f t="shared" si="45"/>
        <v>41.133533400000012</v>
      </c>
      <c r="DV20" s="79">
        <f t="shared" si="45"/>
        <v>37.020180060000008</v>
      </c>
      <c r="DW20" s="79">
        <f t="shared" si="45"/>
        <v>33.318162054000005</v>
      </c>
      <c r="DX20" s="79">
        <f t="shared" si="45"/>
        <v>29.986345848600006</v>
      </c>
      <c r="DY20" s="79">
        <f t="shared" si="45"/>
        <v>26.987711263740007</v>
      </c>
      <c r="DZ20" s="79">
        <f t="shared" si="45"/>
        <v>24.288940137366005</v>
      </c>
    </row>
    <row r="21" spans="2:130" s="15" customFormat="1" x14ac:dyDescent="0.15">
      <c r="B21" s="92" t="s">
        <v>745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7"/>
      <c r="AN21" s="127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7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40">
        <v>136</v>
      </c>
      <c r="BX21" s="140">
        <v>151</v>
      </c>
      <c r="BY21" s="140">
        <v>177</v>
      </c>
      <c r="BZ21" s="140">
        <v>193</v>
      </c>
      <c r="CA21" s="140">
        <v>181</v>
      </c>
      <c r="CB21" s="140">
        <v>200</v>
      </c>
      <c r="CC21" s="140">
        <v>208</v>
      </c>
      <c r="CD21" s="140">
        <v>225</v>
      </c>
      <c r="CE21" s="140">
        <v>200</v>
      </c>
      <c r="CF21" s="140">
        <v>195</v>
      </c>
      <c r="CG21" s="140">
        <v>228</v>
      </c>
      <c r="CH21" s="140">
        <f t="shared" ref="CH21:CL21" si="46">+CG21+1</f>
        <v>229</v>
      </c>
      <c r="CI21" s="140">
        <f t="shared" si="46"/>
        <v>230</v>
      </c>
      <c r="CJ21" s="140">
        <f t="shared" si="46"/>
        <v>231</v>
      </c>
      <c r="CK21" s="140">
        <f t="shared" si="46"/>
        <v>232</v>
      </c>
      <c r="CL21" s="140">
        <f t="shared" si="46"/>
        <v>233</v>
      </c>
      <c r="CM21" s="140"/>
      <c r="CN21" s="140"/>
      <c r="CO21" s="13"/>
      <c r="CP21" s="155"/>
      <c r="CQ21" s="155"/>
      <c r="CR21" s="155"/>
      <c r="CS21" s="155"/>
      <c r="CT21" s="155"/>
      <c r="CU21" s="155"/>
      <c r="CV21" s="85"/>
      <c r="CW21" s="93"/>
      <c r="CX21" s="93"/>
      <c r="CY21" s="93"/>
      <c r="CZ21" s="103"/>
      <c r="DA21" s="103"/>
      <c r="DB21" s="93"/>
      <c r="DC21" s="93"/>
      <c r="DD21" s="83"/>
      <c r="DE21" s="93"/>
      <c r="DF21" s="93"/>
      <c r="DG21" s="93"/>
      <c r="DH21" s="140"/>
      <c r="DI21" s="140"/>
      <c r="DJ21" s="140"/>
      <c r="DK21" s="140">
        <f t="shared" si="12"/>
        <v>657</v>
      </c>
      <c r="DL21" s="79">
        <f t="shared" si="13"/>
        <v>814</v>
      </c>
      <c r="DM21" s="79">
        <f t="shared" si="14"/>
        <v>852</v>
      </c>
      <c r="DN21" s="79">
        <f t="shared" si="15"/>
        <v>926</v>
      </c>
      <c r="DO21" s="79">
        <f>+DN21*0.9</f>
        <v>833.4</v>
      </c>
      <c r="DP21" s="79">
        <f t="shared" ref="DP21:DZ21" si="47">+DO21*0.9</f>
        <v>750.06</v>
      </c>
      <c r="DQ21" s="79">
        <f t="shared" si="47"/>
        <v>675.05399999999997</v>
      </c>
      <c r="DR21" s="79">
        <f t="shared" si="47"/>
        <v>607.54859999999996</v>
      </c>
      <c r="DS21" s="79">
        <f t="shared" si="47"/>
        <v>546.79373999999996</v>
      </c>
      <c r="DT21" s="79">
        <f t="shared" si="47"/>
        <v>492.11436599999996</v>
      </c>
      <c r="DU21" s="79">
        <f t="shared" si="47"/>
        <v>442.90292939999995</v>
      </c>
      <c r="DV21" s="79">
        <f t="shared" si="47"/>
        <v>398.61263645999998</v>
      </c>
      <c r="DW21" s="79">
        <f t="shared" si="47"/>
        <v>358.75137281399998</v>
      </c>
      <c r="DX21" s="79">
        <f t="shared" si="47"/>
        <v>322.87623553259999</v>
      </c>
      <c r="DY21" s="79">
        <f t="shared" si="47"/>
        <v>290.58861197933999</v>
      </c>
      <c r="DZ21" s="79">
        <f t="shared" si="47"/>
        <v>261.52975078140599</v>
      </c>
    </row>
    <row r="22" spans="2:130" s="15" customFormat="1" x14ac:dyDescent="0.15">
      <c r="B22" s="92" t="s">
        <v>695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7"/>
      <c r="AN22" s="127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7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40">
        <v>564</v>
      </c>
      <c r="BX22" s="140">
        <v>335</v>
      </c>
      <c r="BY22" s="140">
        <v>330</v>
      </c>
      <c r="BZ22" s="140">
        <v>370</v>
      </c>
      <c r="CA22" s="140">
        <v>381</v>
      </c>
      <c r="CB22" s="140">
        <v>442</v>
      </c>
      <c r="CC22" s="140">
        <v>332</v>
      </c>
      <c r="CD22" s="140">
        <v>307</v>
      </c>
      <c r="CE22" s="140">
        <v>330</v>
      </c>
      <c r="CF22" s="140">
        <v>376</v>
      </c>
      <c r="CG22" s="140">
        <v>455</v>
      </c>
      <c r="CH22" s="140">
        <f t="shared" ref="CH22:CL22" si="48">+CG22+1</f>
        <v>456</v>
      </c>
      <c r="CI22" s="140">
        <f t="shared" si="48"/>
        <v>457</v>
      </c>
      <c r="CJ22" s="140">
        <f t="shared" si="48"/>
        <v>458</v>
      </c>
      <c r="CK22" s="140">
        <f t="shared" si="48"/>
        <v>459</v>
      </c>
      <c r="CL22" s="140">
        <f t="shared" si="48"/>
        <v>460</v>
      </c>
      <c r="CM22" s="140"/>
      <c r="CN22" s="140"/>
      <c r="CO22" s="13"/>
      <c r="CP22" s="155"/>
      <c r="CQ22" s="155"/>
      <c r="CR22" s="155"/>
      <c r="CS22" s="155"/>
      <c r="CT22" s="155"/>
      <c r="CU22" s="155"/>
      <c r="CV22" s="85"/>
      <c r="CW22" s="93"/>
      <c r="CX22" s="93"/>
      <c r="CY22" s="93"/>
      <c r="CZ22" s="103"/>
      <c r="DA22" s="103"/>
      <c r="DB22" s="93"/>
      <c r="DC22" s="93"/>
      <c r="DD22" s="83"/>
      <c r="DE22" s="93"/>
      <c r="DF22" s="93"/>
      <c r="DG22" s="93"/>
      <c r="DH22" s="140"/>
      <c r="DI22" s="140"/>
      <c r="DJ22" s="140"/>
      <c r="DK22" s="140">
        <f t="shared" si="12"/>
        <v>1599</v>
      </c>
      <c r="DL22" s="79">
        <f t="shared" si="13"/>
        <v>1462</v>
      </c>
      <c r="DM22" s="79">
        <f t="shared" si="14"/>
        <v>1617</v>
      </c>
      <c r="DN22" s="79">
        <f t="shared" si="15"/>
        <v>1834</v>
      </c>
      <c r="DO22"/>
      <c r="DP22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2:130" s="15" customFormat="1" x14ac:dyDescent="0.15">
      <c r="B23" s="92" t="s">
        <v>718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7"/>
      <c r="AN23" s="127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7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40">
        <v>48</v>
      </c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3"/>
      <c r="CP23" s="155"/>
      <c r="CQ23" s="155"/>
      <c r="CR23" s="155"/>
      <c r="CS23" s="155"/>
      <c r="CT23" s="155"/>
      <c r="CU23" s="155"/>
      <c r="CV23" s="85"/>
      <c r="CW23" s="93"/>
      <c r="CX23" s="93"/>
      <c r="CY23" s="93"/>
      <c r="CZ23" s="103"/>
      <c r="DA23" s="103"/>
      <c r="DB23" s="93"/>
      <c r="DC23" s="93"/>
      <c r="DD23" s="83"/>
      <c r="DE23" s="93"/>
      <c r="DF23" s="93"/>
      <c r="DG23" s="93"/>
      <c r="DH23" s="140"/>
      <c r="DI23" s="140"/>
      <c r="DJ23" s="140"/>
      <c r="DK23" s="140">
        <f t="shared" si="12"/>
        <v>48</v>
      </c>
      <c r="DL23" s="79">
        <f t="shared" si="13"/>
        <v>0</v>
      </c>
      <c r="DM23" s="79">
        <f t="shared" si="14"/>
        <v>0</v>
      </c>
      <c r="DN23" s="79">
        <f t="shared" si="15"/>
        <v>0</v>
      </c>
      <c r="DO23"/>
      <c r="DP2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2:130" s="17" customFormat="1" x14ac:dyDescent="0.15">
      <c r="B24" s="100" t="s">
        <v>683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8"/>
      <c r="AK24" s="104"/>
      <c r="AL24" s="104"/>
      <c r="AM24" s="128"/>
      <c r="AN24" s="128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8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1">
        <v>0</v>
      </c>
      <c r="BX24" s="141">
        <v>3</v>
      </c>
      <c r="BY24" s="141">
        <v>2</v>
      </c>
      <c r="BZ24" s="141">
        <v>3</v>
      </c>
      <c r="CA24" s="141">
        <v>8</v>
      </c>
      <c r="CB24" s="141">
        <v>9</v>
      </c>
      <c r="CC24" s="141">
        <v>13</v>
      </c>
      <c r="CD24" s="141">
        <v>14</v>
      </c>
      <c r="CE24" s="141">
        <v>13</v>
      </c>
      <c r="CF24" s="141">
        <v>16</v>
      </c>
      <c r="CG24" s="141">
        <v>14</v>
      </c>
      <c r="CH24" s="141">
        <f t="shared" ref="CH24:CL24" si="49">+CG24+1</f>
        <v>15</v>
      </c>
      <c r="CI24" s="141">
        <f t="shared" si="49"/>
        <v>16</v>
      </c>
      <c r="CJ24" s="141">
        <f t="shared" si="49"/>
        <v>17</v>
      </c>
      <c r="CK24" s="141">
        <f t="shared" si="49"/>
        <v>18</v>
      </c>
      <c r="CL24" s="141">
        <f t="shared" si="49"/>
        <v>19</v>
      </c>
      <c r="CM24" s="141"/>
      <c r="CN24" s="141"/>
      <c r="CO24" s="79"/>
      <c r="CP24" s="79"/>
      <c r="CQ24" s="79"/>
      <c r="CR24" s="79"/>
      <c r="CS24" s="79"/>
      <c r="CT24" s="79"/>
      <c r="CU24" s="79"/>
      <c r="CW24" s="82"/>
      <c r="CX24" s="82"/>
      <c r="CY24" s="82"/>
      <c r="CZ24" s="105"/>
      <c r="DA24" s="105"/>
      <c r="DB24" s="93"/>
      <c r="DC24" s="93"/>
      <c r="DD24" s="83"/>
      <c r="DE24" s="93"/>
      <c r="DF24" s="82"/>
      <c r="DG24" s="82"/>
      <c r="DH24" s="141"/>
      <c r="DI24" s="140"/>
      <c r="DJ24" s="140"/>
      <c r="DK24" s="140">
        <f t="shared" si="12"/>
        <v>8</v>
      </c>
      <c r="DL24" s="79">
        <f t="shared" si="13"/>
        <v>44</v>
      </c>
      <c r="DM24" s="79">
        <f t="shared" si="14"/>
        <v>58</v>
      </c>
      <c r="DN24" s="79">
        <f t="shared" si="15"/>
        <v>70</v>
      </c>
      <c r="DO24"/>
      <c r="DP24"/>
      <c r="DQ24" s="79"/>
      <c r="DR24" s="79"/>
      <c r="DS24" s="79"/>
      <c r="DT24" s="79"/>
      <c r="DU24" s="79"/>
      <c r="DV24" s="79"/>
      <c r="DW24" s="79"/>
      <c r="DX24" s="79"/>
      <c r="DY24" s="79"/>
      <c r="DZ24" s="79"/>
    </row>
    <row r="25" spans="2:130" s="17" customFormat="1" x14ac:dyDescent="0.15">
      <c r="B25" s="100" t="s">
        <v>684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8"/>
      <c r="AK25" s="104"/>
      <c r="AL25" s="104"/>
      <c r="AM25" s="128"/>
      <c r="AN25" s="128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8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1">
        <v>0</v>
      </c>
      <c r="BT25" s="141">
        <v>0</v>
      </c>
      <c r="BU25" s="141">
        <v>0</v>
      </c>
      <c r="BV25" s="141">
        <v>0</v>
      </c>
      <c r="BW25" s="141">
        <v>0</v>
      </c>
      <c r="BX25" s="141">
        <v>0</v>
      </c>
      <c r="BY25" s="141">
        <v>873</v>
      </c>
      <c r="BZ25" s="141">
        <v>1938</v>
      </c>
      <c r="CA25" s="141">
        <v>1456</v>
      </c>
      <c r="CB25" s="141">
        <v>829</v>
      </c>
      <c r="CC25" s="141">
        <v>1923</v>
      </c>
      <c r="CD25" s="141">
        <v>1357</v>
      </c>
      <c r="CE25" s="141">
        <v>1535</v>
      </c>
      <c r="CF25" s="141">
        <v>445</v>
      </c>
      <c r="CG25" s="141">
        <v>925</v>
      </c>
      <c r="CH25" s="141">
        <f t="shared" ref="CH25:CL25" si="50">+CG25-1</f>
        <v>924</v>
      </c>
      <c r="CI25" s="141">
        <f t="shared" si="50"/>
        <v>923</v>
      </c>
      <c r="CJ25" s="141">
        <f t="shared" si="50"/>
        <v>922</v>
      </c>
      <c r="CK25" s="141">
        <f t="shared" si="50"/>
        <v>921</v>
      </c>
      <c r="CL25" s="141">
        <f t="shared" si="50"/>
        <v>920</v>
      </c>
      <c r="CM25" s="141"/>
      <c r="CN25" s="141"/>
      <c r="CO25" s="79"/>
      <c r="CP25" s="79"/>
      <c r="CQ25" s="79"/>
      <c r="CR25" s="79"/>
      <c r="CS25" s="79"/>
      <c r="CT25" s="79"/>
      <c r="CU25" s="79"/>
      <c r="CW25" s="82"/>
      <c r="CX25" s="82"/>
      <c r="CY25" s="82"/>
      <c r="CZ25" s="105"/>
      <c r="DA25" s="105"/>
      <c r="DB25" s="93"/>
      <c r="DC25" s="93"/>
      <c r="DD25" s="83"/>
      <c r="DE25" s="93"/>
      <c r="DF25" s="82"/>
      <c r="DG25" s="82"/>
      <c r="DH25" s="141"/>
      <c r="DI25" s="140"/>
      <c r="DJ25" s="140"/>
      <c r="DK25" s="140">
        <f t="shared" si="12"/>
        <v>2811</v>
      </c>
      <c r="DL25" s="79">
        <f t="shared" si="13"/>
        <v>5565</v>
      </c>
      <c r="DM25" s="79">
        <f t="shared" si="14"/>
        <v>3829</v>
      </c>
      <c r="DN25" s="79">
        <f t="shared" si="15"/>
        <v>3686</v>
      </c>
      <c r="DO25"/>
      <c r="DP25"/>
      <c r="DQ25" s="79"/>
      <c r="DR25" s="79"/>
      <c r="DS25" s="79"/>
      <c r="DT25" s="79"/>
      <c r="DU25" s="79"/>
      <c r="DV25" s="79"/>
      <c r="DW25" s="79"/>
      <c r="DX25" s="79"/>
      <c r="DY25" s="79"/>
      <c r="DZ25" s="79"/>
    </row>
    <row r="26" spans="2:130" s="17" customFormat="1" x14ac:dyDescent="0.15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8">
        <v>6.7450000000000001</v>
      </c>
      <c r="AK26" s="104">
        <v>6.7</v>
      </c>
      <c r="AL26" s="104"/>
      <c r="AM26" s="128">
        <v>6.5759999999999996</v>
      </c>
      <c r="AN26" s="128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8">
        <v>7.343</v>
      </c>
      <c r="BA26" s="82">
        <f t="shared" ref="BA26:BB26" si="51">+AZ26</f>
        <v>7.343</v>
      </c>
      <c r="BB26" s="82">
        <f t="shared" si="51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79"/>
      <c r="CP26" s="79"/>
      <c r="CQ26" s="79"/>
      <c r="CR26" s="79"/>
      <c r="CS26" s="79"/>
      <c r="CT26" s="79">
        <v>10</v>
      </c>
      <c r="CU26" s="79">
        <v>57.779492890373753</v>
      </c>
      <c r="CV26" s="17">
        <v>47.4</v>
      </c>
      <c r="CW26" s="82">
        <f>SUM(S26:V26)</f>
        <v>36.472000000000001</v>
      </c>
      <c r="CX26" s="82">
        <f>SUM(W26:Z26)</f>
        <v>31.492999999999999</v>
      </c>
      <c r="CY26" s="82">
        <f>SUM(AA26:AD26)</f>
        <v>31.08</v>
      </c>
      <c r="CZ26" s="105">
        <f>SUM(AE26:AH26)</f>
        <v>28.059000000000001</v>
      </c>
      <c r="DA26" s="105">
        <f t="shared" ref="DA26:DA37" si="52">SUM(AI26:AL26)</f>
        <v>13.445</v>
      </c>
      <c r="DB26" s="93">
        <f t="shared" ref="DB26:DB38" si="53">SUM(AM26:AP26)</f>
        <v>28.796999999999997</v>
      </c>
      <c r="DC26" s="93">
        <f t="shared" ref="DC26:DC38" si="54">SUM(AQ26:AT26)</f>
        <v>29.448999999999998</v>
      </c>
      <c r="DD26" s="83">
        <f t="shared" ref="DD26:DD38" si="55">SUM(AU26:AX26)</f>
        <v>27.404999999999998</v>
      </c>
      <c r="DE26" s="93">
        <f t="shared" si="38"/>
        <v>28.530999999999999</v>
      </c>
      <c r="DF26" s="82">
        <f t="shared" ref="DF26:DG31" si="56">DE26</f>
        <v>28.530999999999999</v>
      </c>
      <c r="DG26" s="82">
        <f t="shared" si="56"/>
        <v>28.530999999999999</v>
      </c>
      <c r="DH26" s="141"/>
      <c r="DI26" s="140"/>
      <c r="DJ26" s="140"/>
      <c r="DK26" s="140">
        <f t="shared" si="12"/>
        <v>0</v>
      </c>
      <c r="DL26" s="79">
        <f t="shared" si="13"/>
        <v>0</v>
      </c>
      <c r="DM26" s="79">
        <f t="shared" si="14"/>
        <v>0</v>
      </c>
      <c r="DN26" s="79">
        <f t="shared" si="15"/>
        <v>0</v>
      </c>
      <c r="DO26"/>
      <c r="DP26"/>
      <c r="DQ26" s="79"/>
      <c r="DR26" s="79"/>
      <c r="DS26" s="79"/>
      <c r="DT26" s="79"/>
      <c r="DU26" s="79"/>
      <c r="DV26" s="79"/>
      <c r="DW26" s="79"/>
      <c r="DX26" s="79"/>
      <c r="DY26" s="79"/>
      <c r="DZ26" s="79"/>
    </row>
    <row r="27" spans="2:130" s="17" customFormat="1" x14ac:dyDescent="0.15">
      <c r="B27" s="100" t="s">
        <v>645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8">
        <v>0</v>
      </c>
      <c r="AK27" s="104"/>
      <c r="AL27" s="104"/>
      <c r="AM27" s="128">
        <v>0</v>
      </c>
      <c r="AN27" s="128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8">
        <v>299.464</v>
      </c>
      <c r="BA27" s="82">
        <f t="shared" ref="BA27:BB27" si="57">+AZ27+15</f>
        <v>314.464</v>
      </c>
      <c r="BB27" s="82">
        <f t="shared" si="57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1">
        <v>76</v>
      </c>
      <c r="BX27" s="141">
        <v>72</v>
      </c>
      <c r="BY27" s="141">
        <v>70</v>
      </c>
      <c r="BZ27" s="141">
        <v>51</v>
      </c>
      <c r="CA27" s="141">
        <v>63</v>
      </c>
      <c r="CB27" s="141">
        <v>62</v>
      </c>
      <c r="CC27" s="141">
        <v>64</v>
      </c>
      <c r="CD27" s="141">
        <v>69</v>
      </c>
      <c r="CE27" s="141">
        <v>44</v>
      </c>
      <c r="CF27" s="141">
        <v>54</v>
      </c>
      <c r="CG27" s="141">
        <f>+CF27-1</f>
        <v>53</v>
      </c>
      <c r="CH27" s="141">
        <f t="shared" ref="CH27:CL27" si="58">+CG27-1</f>
        <v>52</v>
      </c>
      <c r="CI27" s="141">
        <f t="shared" si="58"/>
        <v>51</v>
      </c>
      <c r="CJ27" s="141">
        <f t="shared" si="58"/>
        <v>50</v>
      </c>
      <c r="CK27" s="141">
        <f t="shared" si="58"/>
        <v>49</v>
      </c>
      <c r="CL27" s="141">
        <f t="shared" si="58"/>
        <v>48</v>
      </c>
      <c r="CM27" s="141"/>
      <c r="CN27" s="141"/>
      <c r="CO27" s="79"/>
      <c r="CP27" s="79"/>
      <c r="CQ27" s="79"/>
      <c r="CR27" s="79"/>
      <c r="CS27" s="79"/>
      <c r="CT27" s="79"/>
      <c r="CU27" s="79"/>
      <c r="CW27" s="82"/>
      <c r="CX27" s="82"/>
      <c r="CY27" s="82"/>
      <c r="CZ27" s="105"/>
      <c r="DA27" s="105"/>
      <c r="DB27" s="93">
        <f t="shared" si="53"/>
        <v>38.703000000000003</v>
      </c>
      <c r="DC27" s="93">
        <f t="shared" si="54"/>
        <v>342.2</v>
      </c>
      <c r="DD27" s="83">
        <f t="shared" si="55"/>
        <v>809.452</v>
      </c>
      <c r="DE27" s="93">
        <f t="shared" si="38"/>
        <v>1194.125</v>
      </c>
      <c r="DF27" s="82">
        <f>+DE27*1.1</f>
        <v>1313.5375000000001</v>
      </c>
      <c r="DG27" s="82">
        <f t="shared" ref="DG27" si="59">+DF27*1.1</f>
        <v>1444.8912500000004</v>
      </c>
      <c r="DH27" s="141"/>
      <c r="DI27" s="141"/>
      <c r="DJ27" s="141"/>
      <c r="DK27" s="140">
        <f t="shared" si="12"/>
        <v>269</v>
      </c>
      <c r="DL27" s="79">
        <f t="shared" si="13"/>
        <v>258</v>
      </c>
      <c r="DM27" s="79">
        <f t="shared" si="14"/>
        <v>203</v>
      </c>
      <c r="DN27" s="79">
        <f t="shared" si="15"/>
        <v>198</v>
      </c>
      <c r="DO27"/>
      <c r="DP27"/>
      <c r="DQ27" s="79"/>
      <c r="DR27" s="79"/>
      <c r="DS27" s="79"/>
      <c r="DT27" s="79"/>
      <c r="DU27" s="79"/>
      <c r="DV27" s="79"/>
      <c r="DW27" s="79"/>
      <c r="DX27" s="79"/>
      <c r="DY27" s="79"/>
      <c r="DZ27" s="79"/>
    </row>
    <row r="28" spans="2:130" s="17" customFormat="1" x14ac:dyDescent="0.15">
      <c r="B28" s="100" t="s">
        <v>685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8"/>
      <c r="AK28" s="104"/>
      <c r="AL28" s="104"/>
      <c r="AM28" s="128"/>
      <c r="AN28" s="128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8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1">
        <v>0</v>
      </c>
      <c r="BX28" s="141">
        <v>1</v>
      </c>
      <c r="BY28" s="141">
        <v>9</v>
      </c>
      <c r="BZ28" s="141">
        <v>34</v>
      </c>
      <c r="CA28" s="141">
        <v>31</v>
      </c>
      <c r="CB28" s="141">
        <v>41</v>
      </c>
      <c r="CC28" s="141">
        <v>47</v>
      </c>
      <c r="CD28" s="141">
        <v>57</v>
      </c>
      <c r="CE28" s="141">
        <v>63</v>
      </c>
      <c r="CF28" s="141">
        <v>73</v>
      </c>
      <c r="CG28" s="141">
        <f>+CF28+2</f>
        <v>75</v>
      </c>
      <c r="CH28" s="141">
        <f t="shared" ref="CH28:CL28" si="60">+CG28+2</f>
        <v>77</v>
      </c>
      <c r="CI28" s="141">
        <f t="shared" si="60"/>
        <v>79</v>
      </c>
      <c r="CJ28" s="141">
        <f t="shared" si="60"/>
        <v>81</v>
      </c>
      <c r="CK28" s="141">
        <f t="shared" si="60"/>
        <v>83</v>
      </c>
      <c r="CL28" s="141">
        <f t="shared" si="60"/>
        <v>85</v>
      </c>
      <c r="CM28" s="141"/>
      <c r="CN28" s="141"/>
      <c r="CO28" s="79"/>
      <c r="CP28" s="79"/>
      <c r="CQ28" s="79"/>
      <c r="CR28" s="79"/>
      <c r="CS28" s="79"/>
      <c r="CT28" s="79"/>
      <c r="CU28" s="79"/>
      <c r="CW28" s="82"/>
      <c r="CX28" s="82"/>
      <c r="CY28" s="82"/>
      <c r="CZ28" s="105"/>
      <c r="DA28" s="105"/>
      <c r="DB28" s="93"/>
      <c r="DC28" s="93"/>
      <c r="DD28" s="83"/>
      <c r="DE28" s="93"/>
      <c r="DF28" s="82"/>
      <c r="DG28" s="82"/>
      <c r="DH28" s="141"/>
      <c r="DI28" s="141"/>
      <c r="DJ28" s="141"/>
      <c r="DK28" s="140">
        <f t="shared" si="12"/>
        <v>44</v>
      </c>
      <c r="DL28" s="79">
        <f t="shared" si="13"/>
        <v>176</v>
      </c>
      <c r="DM28" s="79">
        <f t="shared" si="14"/>
        <v>288</v>
      </c>
      <c r="DN28" s="79">
        <f t="shared" si="15"/>
        <v>328</v>
      </c>
      <c r="DO28"/>
      <c r="DP28"/>
      <c r="DQ28" s="79"/>
      <c r="DR28" s="79"/>
      <c r="DS28" s="79"/>
      <c r="DT28" s="79"/>
      <c r="DU28" s="79"/>
      <c r="DV28" s="79"/>
      <c r="DW28" s="79"/>
      <c r="DX28" s="79"/>
      <c r="DY28" s="79"/>
      <c r="DZ28" s="79"/>
    </row>
    <row r="29" spans="2:130" s="17" customFormat="1" x14ac:dyDescent="0.15">
      <c r="B29" s="100" t="s">
        <v>686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8"/>
      <c r="AK29" s="104"/>
      <c r="AL29" s="104"/>
      <c r="AM29" s="128"/>
      <c r="AN29" s="128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8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1">
        <v>140</v>
      </c>
      <c r="BX29" s="141">
        <v>156</v>
      </c>
      <c r="BY29" s="141">
        <v>138</v>
      </c>
      <c r="BZ29" s="141">
        <v>129</v>
      </c>
      <c r="CA29" s="141">
        <v>160</v>
      </c>
      <c r="CB29" s="141">
        <v>178</v>
      </c>
      <c r="CC29" s="141">
        <v>175</v>
      </c>
      <c r="CD29" s="141">
        <v>182</v>
      </c>
      <c r="CE29" s="141">
        <v>211</v>
      </c>
      <c r="CF29" s="141">
        <v>295</v>
      </c>
      <c r="CG29" s="141">
        <v>317</v>
      </c>
      <c r="CH29" s="141">
        <f t="shared" ref="CH29:CK29" si="61">+CG29+3</f>
        <v>320</v>
      </c>
      <c r="CI29" s="141">
        <f t="shared" si="61"/>
        <v>323</v>
      </c>
      <c r="CJ29" s="141">
        <f t="shared" si="61"/>
        <v>326</v>
      </c>
      <c r="CK29" s="141">
        <f t="shared" si="61"/>
        <v>329</v>
      </c>
      <c r="CL29" s="141">
        <f t="shared" ref="CL29" si="62">+CK29+3</f>
        <v>332</v>
      </c>
      <c r="CM29" s="141"/>
      <c r="CN29" s="141"/>
      <c r="CO29" s="79"/>
      <c r="CP29" s="79"/>
      <c r="CQ29" s="79"/>
      <c r="CR29" s="79"/>
      <c r="CS29" s="79"/>
      <c r="CT29" s="79"/>
      <c r="CU29" s="79"/>
      <c r="CW29" s="82"/>
      <c r="CX29" s="82"/>
      <c r="CY29" s="82"/>
      <c r="CZ29" s="105"/>
      <c r="DA29" s="105"/>
      <c r="DB29" s="93"/>
      <c r="DC29" s="93"/>
      <c r="DD29" s="83"/>
      <c r="DE29" s="93"/>
      <c r="DF29" s="82"/>
      <c r="DG29" s="82"/>
      <c r="DH29" s="141"/>
      <c r="DI29" s="141"/>
      <c r="DJ29" s="141"/>
      <c r="DK29" s="140">
        <f t="shared" si="12"/>
        <v>563</v>
      </c>
      <c r="DL29" s="79">
        <f t="shared" si="13"/>
        <v>695</v>
      </c>
      <c r="DM29" s="79">
        <f t="shared" si="14"/>
        <v>1143</v>
      </c>
      <c r="DN29" s="79">
        <f t="shared" si="15"/>
        <v>1310</v>
      </c>
      <c r="DO29"/>
      <c r="DP29"/>
      <c r="DQ29" s="79"/>
      <c r="DR29" s="79"/>
      <c r="DS29" s="79"/>
      <c r="DT29" s="79"/>
      <c r="DU29" s="79"/>
      <c r="DV29" s="79"/>
      <c r="DW29" s="79"/>
      <c r="DX29" s="79"/>
      <c r="DY29" s="79"/>
      <c r="DZ29" s="79"/>
    </row>
    <row r="30" spans="2:130" s="17" customFormat="1" x14ac:dyDescent="0.15">
      <c r="B30" s="100" t="s">
        <v>687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8"/>
      <c r="AK30" s="104"/>
      <c r="AL30" s="104"/>
      <c r="AM30" s="128"/>
      <c r="AN30" s="128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8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1">
        <v>0</v>
      </c>
      <c r="BT30" s="141">
        <v>0</v>
      </c>
      <c r="BU30" s="141">
        <v>0</v>
      </c>
      <c r="BV30" s="141">
        <v>0</v>
      </c>
      <c r="BW30" s="141">
        <v>0</v>
      </c>
      <c r="BX30" s="141">
        <v>0</v>
      </c>
      <c r="BY30" s="141">
        <v>0</v>
      </c>
      <c r="BZ30" s="141">
        <v>49</v>
      </c>
      <c r="CA30" s="141">
        <v>72</v>
      </c>
      <c r="CB30" s="141">
        <v>89</v>
      </c>
      <c r="CC30" s="141">
        <v>101</v>
      </c>
      <c r="CD30" s="141">
        <v>118</v>
      </c>
      <c r="CE30" s="141">
        <v>146</v>
      </c>
      <c r="CF30" s="141">
        <v>159</v>
      </c>
      <c r="CG30" s="141">
        <v>180</v>
      </c>
      <c r="CH30" s="141">
        <f t="shared" ref="CH30:CK30" si="63">+CG30+3</f>
        <v>183</v>
      </c>
      <c r="CI30" s="141">
        <f t="shared" si="63"/>
        <v>186</v>
      </c>
      <c r="CJ30" s="141">
        <f t="shared" si="63"/>
        <v>189</v>
      </c>
      <c r="CK30" s="141">
        <f t="shared" si="63"/>
        <v>192</v>
      </c>
      <c r="CL30" s="141">
        <f t="shared" ref="CL30" si="64">+CK30+3</f>
        <v>195</v>
      </c>
      <c r="CM30" s="141"/>
      <c r="CN30" s="141"/>
      <c r="CO30" s="79"/>
      <c r="CP30" s="79"/>
      <c r="CQ30" s="79"/>
      <c r="CR30" s="79"/>
      <c r="CS30" s="79"/>
      <c r="CT30" s="79"/>
      <c r="CU30" s="79"/>
      <c r="CW30" s="82"/>
      <c r="CX30" s="82"/>
      <c r="CY30" s="82"/>
      <c r="CZ30" s="105"/>
      <c r="DA30" s="105"/>
      <c r="DB30" s="93"/>
      <c r="DC30" s="93"/>
      <c r="DD30" s="83"/>
      <c r="DE30" s="93"/>
      <c r="DF30" s="82"/>
      <c r="DG30" s="82"/>
      <c r="DH30" s="141"/>
      <c r="DI30" s="141"/>
      <c r="DJ30" s="141"/>
      <c r="DK30" s="140">
        <f t="shared" si="12"/>
        <v>49</v>
      </c>
      <c r="DL30" s="79">
        <f t="shared" si="13"/>
        <v>380</v>
      </c>
      <c r="DM30" s="79">
        <f t="shared" si="14"/>
        <v>668</v>
      </c>
      <c r="DN30" s="79">
        <f t="shared" si="15"/>
        <v>762</v>
      </c>
      <c r="DO30"/>
      <c r="DP30"/>
      <c r="DQ30" s="79"/>
      <c r="DR30" s="79"/>
      <c r="DS30" s="79"/>
      <c r="DT30" s="79"/>
      <c r="DU30" s="79"/>
      <c r="DV30" s="79"/>
      <c r="DW30" s="79"/>
      <c r="DX30" s="79"/>
      <c r="DY30" s="79"/>
      <c r="DZ30" s="79"/>
    </row>
    <row r="31" spans="2:130" s="17" customFormat="1" x14ac:dyDescent="0.15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8">
        <v>51.334000000000003</v>
      </c>
      <c r="AK31" s="104">
        <v>47.5</v>
      </c>
      <c r="AL31" s="104"/>
      <c r="AM31" s="128">
        <v>38.095999999999997</v>
      </c>
      <c r="AN31" s="128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8">
        <v>17</v>
      </c>
      <c r="BA31" s="82">
        <f t="shared" ref="BA31:BB31" si="65">+AZ31</f>
        <v>17</v>
      </c>
      <c r="BB31" s="82">
        <f t="shared" si="65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79"/>
      <c r="CP31" s="79">
        <v>0</v>
      </c>
      <c r="CQ31" s="79">
        <v>0</v>
      </c>
      <c r="CR31" s="79">
        <v>0</v>
      </c>
      <c r="CS31" s="79">
        <v>4.6790000000000003</v>
      </c>
      <c r="CT31" s="79">
        <v>50.4</v>
      </c>
      <c r="CU31" s="79">
        <v>112.5</v>
      </c>
      <c r="CV31" s="17">
        <v>186.6</v>
      </c>
      <c r="CW31" s="82">
        <f>SUM(S31:V31)</f>
        <v>230.53199999999998</v>
      </c>
      <c r="CX31" s="82">
        <f>SUM(W31:Z31)</f>
        <v>302.72199999999998</v>
      </c>
      <c r="CY31" s="82">
        <f>SUM(AA31:AD31)</f>
        <v>341.02299999999997</v>
      </c>
      <c r="CZ31" s="105">
        <f>SUM(AE31:AH31)</f>
        <v>270.71600000000001</v>
      </c>
      <c r="DA31" s="105">
        <f t="shared" si="52"/>
        <v>98.834000000000003</v>
      </c>
      <c r="DB31" s="93">
        <f t="shared" si="53"/>
        <v>145.648</v>
      </c>
      <c r="DC31" s="93">
        <f t="shared" si="54"/>
        <v>108.315</v>
      </c>
      <c r="DD31" s="83">
        <f t="shared" si="55"/>
        <v>81.094999999999999</v>
      </c>
      <c r="DE31" s="93">
        <f t="shared" si="38"/>
        <v>62.722999999999999</v>
      </c>
      <c r="DF31" s="82">
        <f t="shared" si="56"/>
        <v>62.722999999999999</v>
      </c>
      <c r="DG31" s="82">
        <f t="shared" si="56"/>
        <v>62.722999999999999</v>
      </c>
      <c r="DH31" s="141"/>
      <c r="DI31" s="140"/>
      <c r="DJ31" s="140"/>
      <c r="DK31" s="140">
        <f t="shared" si="12"/>
        <v>0</v>
      </c>
      <c r="DL31" s="79">
        <f t="shared" si="13"/>
        <v>0</v>
      </c>
      <c r="DM31" s="79">
        <f t="shared" si="14"/>
        <v>0</v>
      </c>
      <c r="DN31" s="79">
        <f t="shared" si="15"/>
        <v>0</v>
      </c>
      <c r="DO31"/>
      <c r="DP31"/>
      <c r="DQ31" s="79"/>
      <c r="DR31" s="79"/>
      <c r="DS31" s="79"/>
      <c r="DT31" s="79"/>
      <c r="DU31" s="79"/>
      <c r="DV31" s="79"/>
      <c r="DW31" s="79"/>
      <c r="DX31" s="79"/>
      <c r="DY31" s="79"/>
      <c r="DZ31" s="79"/>
    </row>
    <row r="32" spans="2:130" s="92" customFormat="1" x14ac:dyDescent="0.15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7"/>
      <c r="AN32" s="127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7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40">
        <v>20</v>
      </c>
      <c r="BX32" s="140">
        <v>18</v>
      </c>
      <c r="BY32" s="140"/>
      <c r="BZ32" s="140">
        <v>17</v>
      </c>
      <c r="CA32" s="140"/>
      <c r="CB32" s="140">
        <v>22</v>
      </c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95"/>
      <c r="CP32" s="154"/>
      <c r="CQ32" s="154"/>
      <c r="CR32" s="154"/>
      <c r="CS32" s="154"/>
      <c r="CT32" s="154"/>
      <c r="CU32" s="154"/>
      <c r="CV32" s="100"/>
      <c r="CW32" s="93"/>
      <c r="CX32" s="93"/>
      <c r="CY32" s="93"/>
      <c r="CZ32" s="103"/>
      <c r="DA32" s="103"/>
      <c r="DB32" s="93">
        <f t="shared" si="53"/>
        <v>0</v>
      </c>
      <c r="DC32" s="93">
        <f t="shared" si="54"/>
        <v>0</v>
      </c>
      <c r="DD32" s="83">
        <f t="shared" si="55"/>
        <v>0</v>
      </c>
      <c r="DE32" s="93">
        <f t="shared" si="38"/>
        <v>0</v>
      </c>
      <c r="DF32" s="103">
        <v>100</v>
      </c>
      <c r="DG32" s="103">
        <v>150</v>
      </c>
      <c r="DH32" s="140"/>
      <c r="DI32" s="140"/>
      <c r="DJ32" s="140"/>
      <c r="DK32" s="140">
        <f t="shared" si="12"/>
        <v>55</v>
      </c>
      <c r="DL32" s="79">
        <f t="shared" si="13"/>
        <v>22</v>
      </c>
      <c r="DM32" s="79">
        <f t="shared" si="14"/>
        <v>0</v>
      </c>
      <c r="DN32" s="79">
        <f t="shared" si="15"/>
        <v>0</v>
      </c>
      <c r="DO32"/>
      <c r="DP32"/>
      <c r="DQ32" s="95"/>
      <c r="DR32" s="95"/>
      <c r="DS32" s="95"/>
      <c r="DT32" s="95"/>
      <c r="DU32" s="95"/>
      <c r="DV32" s="95"/>
      <c r="DW32" s="95"/>
      <c r="DX32" s="95"/>
      <c r="DY32" s="95"/>
      <c r="DZ32" s="95"/>
    </row>
    <row r="33" spans="2:130" s="17" customFormat="1" x14ac:dyDescent="0.15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8">
        <v>78.174000000000007</v>
      </c>
      <c r="AK33" s="104">
        <v>75.099999999999994</v>
      </c>
      <c r="AL33" s="104"/>
      <c r="AM33" s="128">
        <v>78.506</v>
      </c>
      <c r="AN33" s="128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8">
        <v>94.793999999999997</v>
      </c>
      <c r="BA33" s="82">
        <f t="shared" ref="BA33:BB33" si="66">+AZ33</f>
        <v>94.793999999999997</v>
      </c>
      <c r="BB33" s="82">
        <f t="shared" si="66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1">
        <v>119</v>
      </c>
      <c r="BX33" s="141">
        <v>95</v>
      </c>
      <c r="BY33" s="141">
        <v>111</v>
      </c>
      <c r="BZ33" s="141">
        <v>111</v>
      </c>
      <c r="CA33" s="141">
        <v>121</v>
      </c>
      <c r="CB33" s="141">
        <v>156</v>
      </c>
      <c r="CC33" s="141">
        <v>143</v>
      </c>
      <c r="CD33" s="141">
        <v>120</v>
      </c>
      <c r="CE33" s="141">
        <v>144</v>
      </c>
      <c r="CF33" s="141">
        <v>132</v>
      </c>
      <c r="CG33" s="141">
        <v>105</v>
      </c>
      <c r="CH33" s="141">
        <f t="shared" ref="CH33:CL33" si="67">+CG33-1</f>
        <v>104</v>
      </c>
      <c r="CI33" s="141">
        <f t="shared" si="67"/>
        <v>103</v>
      </c>
      <c r="CJ33" s="141">
        <f t="shared" si="67"/>
        <v>102</v>
      </c>
      <c r="CK33" s="141">
        <f t="shared" si="67"/>
        <v>101</v>
      </c>
      <c r="CL33" s="141">
        <f t="shared" si="67"/>
        <v>100</v>
      </c>
      <c r="CM33" s="141"/>
      <c r="CN33" s="141"/>
      <c r="CO33" s="79"/>
      <c r="CP33" s="79">
        <v>129.17699999999999</v>
      </c>
      <c r="CQ33" s="79">
        <v>141.11799999999999</v>
      </c>
      <c r="CR33" s="79">
        <v>164.53299999999999</v>
      </c>
      <c r="CS33" s="79">
        <v>185.59100000000001</v>
      </c>
      <c r="CT33" s="79">
        <v>198.4</v>
      </c>
      <c r="CU33" s="79">
        <v>211.63799999999998</v>
      </c>
      <c r="CV33" s="17">
        <v>220.7</v>
      </c>
      <c r="CW33" s="82">
        <f>SUM(S33:V33)</f>
        <v>223.00400000000002</v>
      </c>
      <c r="CX33" s="82">
        <f>SUM(W33:Z33)</f>
        <v>262.57100000000003</v>
      </c>
      <c r="CY33" s="82">
        <f>SUM(AA33:AD33)</f>
        <v>289.65100000000001</v>
      </c>
      <c r="CZ33" s="105">
        <f>SUM(AE33:AH33)</f>
        <v>298.59699999999998</v>
      </c>
      <c r="DA33" s="105">
        <f>SUM(AI33:AL33)</f>
        <v>153.274</v>
      </c>
      <c r="DB33" s="93">
        <f t="shared" si="53"/>
        <v>330.11500000000001</v>
      </c>
      <c r="DC33" s="93">
        <f t="shared" si="54"/>
        <v>346.64600000000002</v>
      </c>
      <c r="DD33" s="83">
        <f t="shared" si="55"/>
        <v>351.827</v>
      </c>
      <c r="DE33" s="93">
        <f t="shared" si="38"/>
        <v>376.47499999999997</v>
      </c>
      <c r="DF33" s="82">
        <f t="shared" ref="DF33:DG33" si="68">DE33</f>
        <v>376.47499999999997</v>
      </c>
      <c r="DG33" s="82">
        <f t="shared" si="68"/>
        <v>376.47499999999997</v>
      </c>
      <c r="DH33" s="141"/>
      <c r="DI33" s="140"/>
      <c r="DJ33" s="140"/>
      <c r="DK33" s="140">
        <f t="shared" si="12"/>
        <v>436</v>
      </c>
      <c r="DL33" s="79">
        <f t="shared" si="13"/>
        <v>540</v>
      </c>
      <c r="DM33" s="79">
        <f t="shared" si="14"/>
        <v>485</v>
      </c>
      <c r="DN33" s="79">
        <f t="shared" si="15"/>
        <v>406</v>
      </c>
      <c r="DO33"/>
      <c r="DP33"/>
      <c r="DQ33" s="79"/>
      <c r="DR33" s="79"/>
      <c r="DS33" s="79"/>
      <c r="DT33" s="79"/>
      <c r="DU33" s="79"/>
      <c r="DV33" s="79"/>
      <c r="DW33" s="79"/>
      <c r="DX33" s="79"/>
      <c r="DY33" s="79"/>
      <c r="DZ33" s="79"/>
    </row>
    <row r="34" spans="2:130" s="17" customFormat="1" x14ac:dyDescent="0.15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8">
        <v>60.347999999999999</v>
      </c>
      <c r="AK34" s="104">
        <v>60.4</v>
      </c>
      <c r="AL34" s="104"/>
      <c r="AM34" s="128">
        <v>62.173999999999999</v>
      </c>
      <c r="AN34" s="128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8">
        <v>144.71600000000001</v>
      </c>
      <c r="BA34" s="82">
        <f t="shared" ref="BA34:BB34" si="69">+AZ34+3</f>
        <v>147.71600000000001</v>
      </c>
      <c r="BB34" s="82">
        <f t="shared" si="69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1">
        <v>83</v>
      </c>
      <c r="BX34" s="141">
        <v>80</v>
      </c>
      <c r="BY34" s="141">
        <v>78</v>
      </c>
      <c r="BZ34" s="141">
        <v>73</v>
      </c>
      <c r="CA34" s="141">
        <v>54</v>
      </c>
      <c r="CB34" s="141">
        <v>57</v>
      </c>
      <c r="CC34" s="141">
        <v>46</v>
      </c>
      <c r="CD34" s="141">
        <v>49</v>
      </c>
      <c r="CE34" s="141">
        <v>43</v>
      </c>
      <c r="CF34" s="141">
        <v>49</v>
      </c>
      <c r="CG34" s="141">
        <v>43</v>
      </c>
      <c r="CH34" s="141">
        <f t="shared" ref="CH34:CL34" si="70">+CG34-1</f>
        <v>42</v>
      </c>
      <c r="CI34" s="141">
        <f t="shared" si="70"/>
        <v>41</v>
      </c>
      <c r="CJ34" s="141">
        <f t="shared" si="70"/>
        <v>40</v>
      </c>
      <c r="CK34" s="141">
        <f t="shared" si="70"/>
        <v>39</v>
      </c>
      <c r="CL34" s="141">
        <f t="shared" si="70"/>
        <v>38</v>
      </c>
      <c r="CM34" s="141"/>
      <c r="CN34" s="141"/>
      <c r="CO34" s="79"/>
      <c r="CP34" s="79"/>
      <c r="CQ34" s="79"/>
      <c r="CR34" s="79"/>
      <c r="CS34" s="79"/>
      <c r="CT34" s="79"/>
      <c r="CU34" s="79"/>
      <c r="CW34" s="82"/>
      <c r="CX34" s="82">
        <f>SUM(W34:Z34)</f>
        <v>25.401</v>
      </c>
      <c r="CY34" s="82">
        <f>SUM(AA34:AD34)</f>
        <v>112.518</v>
      </c>
      <c r="CZ34" s="105">
        <f>SUM(AE34:AH34)</f>
        <v>183.94900000000001</v>
      </c>
      <c r="DA34" s="104">
        <f t="shared" si="52"/>
        <v>120.74799999999999</v>
      </c>
      <c r="DB34" s="93">
        <f t="shared" si="53"/>
        <v>293.47199999999998</v>
      </c>
      <c r="DC34" s="93">
        <f t="shared" si="54"/>
        <v>410.05399999999997</v>
      </c>
      <c r="DD34" s="83">
        <f t="shared" si="55"/>
        <v>519.96600000000001</v>
      </c>
      <c r="DE34" s="93">
        <f t="shared" si="38"/>
        <v>566.03300000000002</v>
      </c>
      <c r="DF34" s="82">
        <f t="shared" ref="DF34:DG34" si="71">DE34*1.05</f>
        <v>594.33465000000001</v>
      </c>
      <c r="DG34" s="82">
        <f t="shared" si="71"/>
        <v>624.05138250000005</v>
      </c>
      <c r="DH34" s="141"/>
      <c r="DI34" s="140"/>
      <c r="DJ34" s="140"/>
      <c r="DK34" s="140">
        <f t="shared" si="12"/>
        <v>314</v>
      </c>
      <c r="DL34" s="79">
        <f t="shared" si="13"/>
        <v>206</v>
      </c>
      <c r="DM34" s="79">
        <f t="shared" si="14"/>
        <v>177</v>
      </c>
      <c r="DN34" s="79">
        <f t="shared" si="15"/>
        <v>158</v>
      </c>
      <c r="DO34"/>
      <c r="DP34"/>
      <c r="DQ34" s="79"/>
      <c r="DR34" s="79"/>
      <c r="DS34" s="79"/>
      <c r="DT34" s="79"/>
      <c r="DU34" s="79"/>
      <c r="DV34" s="79"/>
      <c r="DW34" s="79"/>
      <c r="DX34" s="79"/>
      <c r="DY34" s="79"/>
      <c r="DZ34" s="79"/>
    </row>
    <row r="35" spans="2:130" s="17" customFormat="1" x14ac:dyDescent="0.15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8">
        <v>60.46</v>
      </c>
      <c r="AK35" s="104">
        <v>60.3</v>
      </c>
      <c r="AL35" s="104"/>
      <c r="AM35" s="128">
        <v>68.293000000000006</v>
      </c>
      <c r="AN35" s="128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8">
        <v>121.956</v>
      </c>
      <c r="BA35" s="82">
        <f t="shared" ref="BA35:BB35" si="72">+AZ35+3</f>
        <v>124.956</v>
      </c>
      <c r="BB35" s="82">
        <f t="shared" si="7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1">
        <v>8</v>
      </c>
      <c r="BX35" s="141">
        <v>1</v>
      </c>
      <c r="BY35" s="141">
        <v>0</v>
      </c>
      <c r="BZ35" s="141">
        <v>0</v>
      </c>
      <c r="CA35" s="141">
        <v>0</v>
      </c>
      <c r="CB35" s="141">
        <v>2</v>
      </c>
      <c r="CC35" s="141">
        <v>0</v>
      </c>
      <c r="CD35" s="141">
        <v>5</v>
      </c>
      <c r="CE35" s="141">
        <v>0</v>
      </c>
      <c r="CF35" s="141">
        <v>0</v>
      </c>
      <c r="CG35" s="141">
        <v>0</v>
      </c>
      <c r="CH35" s="141">
        <v>0</v>
      </c>
      <c r="CI35" s="141">
        <v>0</v>
      </c>
      <c r="CJ35" s="141">
        <v>0</v>
      </c>
      <c r="CK35" s="141">
        <v>0</v>
      </c>
      <c r="CL35" s="141">
        <v>0</v>
      </c>
      <c r="CM35" s="141"/>
      <c r="CN35" s="141"/>
      <c r="CO35" s="79"/>
      <c r="CP35" s="79"/>
      <c r="CQ35" s="79"/>
      <c r="CR35" s="79"/>
      <c r="CS35" s="79"/>
      <c r="CT35" s="79"/>
      <c r="CU35" s="79"/>
      <c r="CW35" s="82"/>
      <c r="CX35" s="82"/>
      <c r="CY35" s="82"/>
      <c r="CZ35" s="105">
        <f>SUM(AE35:AH35)</f>
        <v>131.06199999999998</v>
      </c>
      <c r="DA35" s="104">
        <f t="shared" si="52"/>
        <v>120.75999999999999</v>
      </c>
      <c r="DB35" s="93">
        <f t="shared" si="53"/>
        <v>320.02100000000002</v>
      </c>
      <c r="DC35" s="93">
        <f t="shared" si="54"/>
        <v>372.94900000000001</v>
      </c>
      <c r="DD35" s="83">
        <f t="shared" si="55"/>
        <v>448.62399999999997</v>
      </c>
      <c r="DE35" s="93">
        <f t="shared" si="38"/>
        <v>486.48600000000005</v>
      </c>
      <c r="DF35" s="82">
        <f t="shared" ref="DF35:DG35" si="73">DE35*1.1</f>
        <v>535.13460000000009</v>
      </c>
      <c r="DG35" s="82">
        <f t="shared" si="73"/>
        <v>588.6480600000001</v>
      </c>
      <c r="DH35" s="141"/>
      <c r="DI35" s="140"/>
      <c r="DJ35" s="140"/>
      <c r="DK35" s="140">
        <f t="shared" si="12"/>
        <v>9</v>
      </c>
      <c r="DL35" s="79">
        <f t="shared" si="13"/>
        <v>7</v>
      </c>
      <c r="DM35" s="79">
        <f t="shared" si="14"/>
        <v>0</v>
      </c>
      <c r="DN35" s="79">
        <f t="shared" si="15"/>
        <v>0</v>
      </c>
      <c r="DO35"/>
      <c r="DP35"/>
      <c r="DQ35" s="79"/>
      <c r="DR35" s="79"/>
      <c r="DS35" s="79"/>
      <c r="DT35" s="79"/>
      <c r="DU35" s="79"/>
      <c r="DV35" s="79"/>
      <c r="DW35" s="79"/>
      <c r="DX35" s="79"/>
      <c r="DY35" s="79"/>
      <c r="DZ35" s="79"/>
    </row>
    <row r="36" spans="2:130" s="17" customFormat="1" x14ac:dyDescent="0.15">
      <c r="B36" s="100" t="s">
        <v>623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8"/>
      <c r="AN36" s="128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8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79"/>
      <c r="CP36" s="79"/>
      <c r="CQ36" s="79"/>
      <c r="CR36" s="79"/>
      <c r="CS36" s="79"/>
      <c r="CT36" s="79"/>
      <c r="CU36" s="79"/>
      <c r="CW36" s="82"/>
      <c r="CX36" s="82"/>
      <c r="CY36" s="82"/>
      <c r="CZ36" s="105"/>
      <c r="DA36" s="104"/>
      <c r="DB36" s="93">
        <f t="shared" si="53"/>
        <v>0</v>
      </c>
      <c r="DC36" s="93">
        <f t="shared" si="54"/>
        <v>0</v>
      </c>
      <c r="DD36" s="83">
        <f t="shared" si="55"/>
        <v>0</v>
      </c>
      <c r="DE36" s="93">
        <f t="shared" si="38"/>
        <v>0</v>
      </c>
      <c r="DF36" s="93" t="s">
        <v>625</v>
      </c>
      <c r="DG36" s="93" t="s">
        <v>626</v>
      </c>
      <c r="DH36" s="141"/>
      <c r="DI36" s="140"/>
      <c r="DJ36" s="140"/>
      <c r="DK36" s="140">
        <f t="shared" si="12"/>
        <v>0</v>
      </c>
      <c r="DL36" s="79">
        <f t="shared" si="13"/>
        <v>0</v>
      </c>
      <c r="DM36" s="79">
        <f t="shared" si="14"/>
        <v>0</v>
      </c>
      <c r="DN36" s="79">
        <f t="shared" si="15"/>
        <v>0</v>
      </c>
      <c r="DO36"/>
      <c r="DP36"/>
      <c r="DQ36" s="79"/>
      <c r="DR36" s="79"/>
      <c r="DS36" s="79"/>
      <c r="DT36" s="79"/>
      <c r="DU36" s="79"/>
      <c r="DV36" s="79"/>
      <c r="DW36" s="79"/>
      <c r="DX36" s="79"/>
      <c r="DY36" s="79"/>
      <c r="DZ36" s="79"/>
    </row>
    <row r="37" spans="2:130" s="17" customFormat="1" x14ac:dyDescent="0.15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8">
        <v>15.342000000000001</v>
      </c>
      <c r="AK37" s="104">
        <v>19.8</v>
      </c>
      <c r="AL37" s="104"/>
      <c r="AM37" s="128"/>
      <c r="AN37" s="128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8">
        <v>39.326999999999998</v>
      </c>
      <c r="BA37" s="82">
        <f t="shared" ref="BA37:BB37" si="74">+AZ37+1</f>
        <v>40.326999999999998</v>
      </c>
      <c r="BB37" s="82">
        <f t="shared" si="7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1">
        <f>63+8</f>
        <v>71</v>
      </c>
      <c r="BX37" s="141">
        <f>49+46+28</f>
        <v>123</v>
      </c>
      <c r="BY37" s="141">
        <f>45+13+50+17</f>
        <v>125</v>
      </c>
      <c r="BZ37" s="141">
        <f>44+9+56-3</f>
        <v>106</v>
      </c>
      <c r="CA37" s="141">
        <f>48+73+66</f>
        <v>187</v>
      </c>
      <c r="CB37" s="141">
        <f>54+45+11</f>
        <v>110</v>
      </c>
      <c r="CC37" s="141">
        <f>43+7+52+13</f>
        <v>115</v>
      </c>
      <c r="CD37" s="141">
        <f>37+64+53</f>
        <v>154</v>
      </c>
      <c r="CE37" s="141">
        <f>14+34+50</f>
        <v>98</v>
      </c>
      <c r="CF37" s="141">
        <f>18+49+76</f>
        <v>143</v>
      </c>
      <c r="CG37" s="141">
        <f t="shared" ref="CG37:CL37" si="75">+CF37-1</f>
        <v>142</v>
      </c>
      <c r="CH37" s="141">
        <f t="shared" si="75"/>
        <v>141</v>
      </c>
      <c r="CI37" s="141">
        <f t="shared" si="75"/>
        <v>140</v>
      </c>
      <c r="CJ37" s="141">
        <f t="shared" si="75"/>
        <v>139</v>
      </c>
      <c r="CK37" s="141">
        <f t="shared" si="75"/>
        <v>138</v>
      </c>
      <c r="CL37" s="141">
        <f t="shared" si="75"/>
        <v>137</v>
      </c>
      <c r="CM37" s="141"/>
      <c r="CN37" s="141"/>
      <c r="CO37" s="79"/>
      <c r="CP37" s="79">
        <v>10.712999999999999</v>
      </c>
      <c r="CQ37" s="79">
        <v>8.5909999999999993</v>
      </c>
      <c r="CR37" s="79">
        <v>10.851000000000001</v>
      </c>
      <c r="CS37" s="79">
        <v>7.827</v>
      </c>
      <c r="CT37" s="79">
        <v>11.041</v>
      </c>
      <c r="CU37" s="79">
        <v>9.4750000000000103</v>
      </c>
      <c r="CV37" s="17">
        <v>8.1690000000001373</v>
      </c>
      <c r="CW37" s="82"/>
      <c r="CX37" s="82">
        <f>SUM(W37:Z37)</f>
        <v>5.1430000000000007</v>
      </c>
      <c r="CY37" s="82">
        <f>SUM(AA37:AD37)</f>
        <v>10.195</v>
      </c>
      <c r="CZ37" s="105">
        <f>SUM(AE37:AH37)</f>
        <v>17.081</v>
      </c>
      <c r="DA37" s="104">
        <f t="shared" si="52"/>
        <v>35.142000000000003</v>
      </c>
      <c r="DB37" s="93">
        <f t="shared" si="53"/>
        <v>85.116</v>
      </c>
      <c r="DC37" s="93">
        <f t="shared" si="54"/>
        <v>126.93199999999999</v>
      </c>
      <c r="DD37" s="83">
        <f t="shared" si="55"/>
        <v>143.399</v>
      </c>
      <c r="DE37" s="93">
        <f t="shared" si="38"/>
        <v>156.86199999999999</v>
      </c>
      <c r="DF37" s="82">
        <f t="shared" ref="DF37:DG37" si="76">+DE37</f>
        <v>156.86199999999999</v>
      </c>
      <c r="DG37" s="82">
        <f t="shared" si="76"/>
        <v>156.86199999999999</v>
      </c>
      <c r="DH37" s="141"/>
      <c r="DI37" s="141"/>
      <c r="DJ37" s="141"/>
      <c r="DK37" s="140">
        <f t="shared" si="12"/>
        <v>425</v>
      </c>
      <c r="DL37" s="79">
        <f t="shared" si="13"/>
        <v>566</v>
      </c>
      <c r="DM37" s="79">
        <f t="shared" si="14"/>
        <v>524</v>
      </c>
      <c r="DN37" s="79">
        <f t="shared" si="15"/>
        <v>554</v>
      </c>
      <c r="DO37"/>
      <c r="DP37"/>
      <c r="DQ37" s="79"/>
      <c r="DR37" s="79"/>
      <c r="DS37" s="79"/>
      <c r="DT37" s="79"/>
      <c r="DU37" s="79"/>
      <c r="DV37" s="79"/>
      <c r="DW37" s="79"/>
      <c r="DX37" s="79"/>
      <c r="DY37" s="79"/>
      <c r="DZ37" s="79"/>
    </row>
    <row r="38" spans="2:130" s="17" customFormat="1" x14ac:dyDescent="0.15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8">
        <v>62.515999999999998</v>
      </c>
      <c r="AN38" s="128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1">
        <v>81</v>
      </c>
      <c r="BX38" s="141">
        <v>76</v>
      </c>
      <c r="BY38" s="141">
        <v>84</v>
      </c>
      <c r="BZ38" s="141">
        <v>93</v>
      </c>
      <c r="CA38" s="141">
        <v>83</v>
      </c>
      <c r="CB38" s="141">
        <v>65</v>
      </c>
      <c r="CC38" s="141">
        <v>65</v>
      </c>
      <c r="CD38" s="141">
        <v>84</v>
      </c>
      <c r="CE38" s="141">
        <v>56</v>
      </c>
      <c r="CF38" s="141">
        <v>122</v>
      </c>
      <c r="CG38" s="141">
        <f>+CF38-1</f>
        <v>121</v>
      </c>
      <c r="CH38" s="141">
        <f t="shared" ref="CH38:CL38" si="77">+CG38-1</f>
        <v>120</v>
      </c>
      <c r="CI38" s="141">
        <f t="shared" si="77"/>
        <v>119</v>
      </c>
      <c r="CJ38" s="141">
        <f t="shared" si="77"/>
        <v>118</v>
      </c>
      <c r="CK38" s="141">
        <f t="shared" si="77"/>
        <v>117</v>
      </c>
      <c r="CL38" s="141">
        <f t="shared" si="77"/>
        <v>116</v>
      </c>
      <c r="CM38" s="141"/>
      <c r="CN38" s="141"/>
      <c r="CO38" s="79"/>
      <c r="CP38" s="79">
        <v>10.430999999999999</v>
      </c>
      <c r="CQ38" s="79">
        <v>24.591000000000001</v>
      </c>
      <c r="CR38" s="79">
        <v>22.969000000000001</v>
      </c>
      <c r="CS38" s="79">
        <v>20.406000000000002</v>
      </c>
      <c r="CT38" s="79">
        <v>25.219000000000001</v>
      </c>
      <c r="CU38" s="79">
        <v>82.450000000000117</v>
      </c>
      <c r="CV38" s="17">
        <v>219.01400000000001</v>
      </c>
      <c r="CW38" s="82">
        <f>SUM(S38:V38)</f>
        <v>437.93100000000004</v>
      </c>
      <c r="CX38" s="82">
        <f>SUM(W38:Z38)</f>
        <v>496.93600000000004</v>
      </c>
      <c r="CY38" s="82">
        <f>SUM(AA38:AD38)</f>
        <v>250.964</v>
      </c>
      <c r="CZ38" s="105">
        <f>SUM(AE38:AH38)</f>
        <v>542.072</v>
      </c>
      <c r="DA38" s="104">
        <f>SUM(AI38:AL38)</f>
        <v>559.49900000000002</v>
      </c>
      <c r="DB38" s="93">
        <f t="shared" si="53"/>
        <v>283.02500000000003</v>
      </c>
      <c r="DC38" s="93">
        <f t="shared" si="54"/>
        <v>304.14600000000002</v>
      </c>
      <c r="DD38" s="83">
        <f t="shared" si="55"/>
        <v>397.99299999999994</v>
      </c>
      <c r="DE38" s="93">
        <f t="shared" si="38"/>
        <v>403.26</v>
      </c>
      <c r="DF38" s="82">
        <f t="shared" ref="DF38:DG38" si="78">DE38*0.9</f>
        <v>362.93400000000003</v>
      </c>
      <c r="DG38" s="82">
        <f t="shared" si="78"/>
        <v>326.64060000000001</v>
      </c>
      <c r="DH38" s="141"/>
      <c r="DI38" s="141"/>
      <c r="DJ38" s="141"/>
      <c r="DK38" s="140">
        <f t="shared" si="12"/>
        <v>334</v>
      </c>
      <c r="DL38" s="79">
        <f t="shared" si="13"/>
        <v>297</v>
      </c>
      <c r="DM38" s="79">
        <f t="shared" si="14"/>
        <v>419</v>
      </c>
      <c r="DN38" s="79">
        <f t="shared" si="15"/>
        <v>470</v>
      </c>
      <c r="DO38"/>
      <c r="DP38"/>
      <c r="DQ38" s="79"/>
      <c r="DR38" s="79"/>
      <c r="DS38" s="79"/>
      <c r="DT38" s="79"/>
      <c r="DU38" s="79"/>
      <c r="DV38" s="79"/>
      <c r="DW38" s="79"/>
      <c r="DX38" s="79"/>
      <c r="DY38" s="79"/>
      <c r="DZ38" s="79"/>
    </row>
    <row r="39" spans="2:130" s="85" customFormat="1" x14ac:dyDescent="0.15">
      <c r="B39" s="85" t="s">
        <v>48</v>
      </c>
      <c r="C39" s="80">
        <f t="shared" ref="C39:J39" si="79">SUM(C38:C38)</f>
        <v>5.3769999999999998</v>
      </c>
      <c r="D39" s="80">
        <f t="shared" si="79"/>
        <v>6.7370000000000001</v>
      </c>
      <c r="E39" s="80">
        <f t="shared" si="79"/>
        <v>4.3819999999999997</v>
      </c>
      <c r="F39" s="80">
        <f t="shared" si="79"/>
        <v>3.91</v>
      </c>
      <c r="G39" s="80">
        <f t="shared" si="79"/>
        <v>7.3840000000000003</v>
      </c>
      <c r="H39" s="80">
        <f t="shared" si="79"/>
        <v>7.0350000000000001</v>
      </c>
      <c r="I39" s="80">
        <f t="shared" si="79"/>
        <v>4.875</v>
      </c>
      <c r="J39" s="80">
        <f t="shared" si="79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80">SUM(AE14:AE38)</f>
        <v>1530.46</v>
      </c>
      <c r="AF39" s="80">
        <f t="shared" si="80"/>
        <v>1647.155</v>
      </c>
      <c r="AG39" s="80">
        <f t="shared" si="80"/>
        <v>1801.3890000000006</v>
      </c>
      <c r="AH39" s="80">
        <f t="shared" si="80"/>
        <v>2031.8679999999997</v>
      </c>
      <c r="AI39" s="80">
        <f t="shared" si="80"/>
        <v>297.79000000000002</v>
      </c>
      <c r="AJ39" s="80">
        <f t="shared" si="80"/>
        <v>1927.2239999999999</v>
      </c>
      <c r="AK39" s="80">
        <f t="shared" si="80"/>
        <v>1937.4970000000001</v>
      </c>
      <c r="AL39" s="80">
        <f t="shared" si="80"/>
        <v>68.448999999999998</v>
      </c>
      <c r="AM39" s="80">
        <f t="shared" si="80"/>
        <v>1902.1790000000001</v>
      </c>
      <c r="AN39" s="80">
        <f t="shared" si="80"/>
        <v>2137.2530000000002</v>
      </c>
      <c r="AO39" s="80">
        <f t="shared" si="80"/>
        <v>2122.2000000000003</v>
      </c>
      <c r="AP39" s="80">
        <f t="shared" si="80"/>
        <v>2200.3779999999997</v>
      </c>
      <c r="AQ39" s="80">
        <f t="shared" si="80"/>
        <v>2282.4489999999996</v>
      </c>
      <c r="AR39" s="80">
        <f t="shared" si="80"/>
        <v>2405.1859999999997</v>
      </c>
      <c r="AS39" s="80">
        <f t="shared" si="80"/>
        <v>2426.5970000000002</v>
      </c>
      <c r="AT39" s="80">
        <f t="shared" si="80"/>
        <v>2588.2849999999999</v>
      </c>
      <c r="AU39" s="80">
        <f t="shared" si="80"/>
        <v>2531.6350000000002</v>
      </c>
      <c r="AV39" s="80">
        <f t="shared" si="80"/>
        <v>2767.3940000000007</v>
      </c>
      <c r="AW39" s="80">
        <f t="shared" si="80"/>
        <v>2782.8330000000001</v>
      </c>
      <c r="AX39" s="80">
        <f t="shared" si="80"/>
        <v>3119.826</v>
      </c>
      <c r="AY39" s="80">
        <f t="shared" si="80"/>
        <v>4998.9560000000019</v>
      </c>
      <c r="AZ39" s="80">
        <f t="shared" si="80"/>
        <v>6534.5040000000008</v>
      </c>
      <c r="BA39" s="80">
        <f t="shared" si="80"/>
        <v>7047.2940000000008</v>
      </c>
      <c r="BB39" s="80">
        <f t="shared" si="80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8">
        <f t="shared" ref="BQ39:CH39" si="81">SUM(BQ9:BQ38)</f>
        <v>5596</v>
      </c>
      <c r="BR39" s="168">
        <f t="shared" si="81"/>
        <v>5795</v>
      </c>
      <c r="BS39" s="168">
        <f t="shared" si="81"/>
        <v>5281</v>
      </c>
      <c r="BT39" s="168">
        <f t="shared" si="81"/>
        <v>0</v>
      </c>
      <c r="BU39" s="168">
        <f t="shared" si="81"/>
        <v>5604</v>
      </c>
      <c r="BV39" s="168">
        <f t="shared" si="81"/>
        <v>5879</v>
      </c>
      <c r="BW39" s="168">
        <f t="shared" si="81"/>
        <v>5548</v>
      </c>
      <c r="BX39" s="168">
        <f t="shared" si="81"/>
        <v>5143</v>
      </c>
      <c r="BY39" s="168">
        <f t="shared" si="81"/>
        <v>6577</v>
      </c>
      <c r="BZ39" s="168">
        <f t="shared" si="81"/>
        <v>7421</v>
      </c>
      <c r="CA39" s="168">
        <f t="shared" si="81"/>
        <v>6423</v>
      </c>
      <c r="CB39" s="168">
        <f t="shared" si="81"/>
        <v>6217</v>
      </c>
      <c r="CC39" s="168">
        <f t="shared" si="81"/>
        <v>7421</v>
      </c>
      <c r="CD39" s="168">
        <f t="shared" si="81"/>
        <v>7243</v>
      </c>
      <c r="CE39" s="168">
        <f t="shared" si="81"/>
        <v>6589</v>
      </c>
      <c r="CF39" s="168">
        <f t="shared" si="81"/>
        <v>6261</v>
      </c>
      <c r="CG39" s="168">
        <f t="shared" si="81"/>
        <v>7137</v>
      </c>
      <c r="CH39" s="168">
        <f t="shared" si="81"/>
        <v>7151.46</v>
      </c>
      <c r="CI39" s="168">
        <f t="shared" ref="CI39" si="82">SUM(CI9:CI38)</f>
        <v>6546.630000000001</v>
      </c>
      <c r="CJ39" s="168">
        <f t="shared" ref="CJ39" si="83">SUM(CJ9:CJ38)</f>
        <v>7093.6</v>
      </c>
      <c r="CK39" s="168">
        <f t="shared" ref="CK39" si="84">SUM(CK9:CK38)</f>
        <v>7364.9000000000005</v>
      </c>
      <c r="CL39" s="168">
        <f t="shared" ref="CL39" si="85">SUM(CL9:CL38)</f>
        <v>7379.4592000000002</v>
      </c>
      <c r="CM39" s="168"/>
      <c r="CN39" s="168"/>
      <c r="CO39" s="155"/>
      <c r="CP39" s="155">
        <f t="shared" ref="CP39:CX39" si="86">SUM(CP3:CP38)</f>
        <v>150.321</v>
      </c>
      <c r="CQ39" s="155">
        <f t="shared" si="86"/>
        <v>174.3</v>
      </c>
      <c r="CR39" s="155">
        <f t="shared" si="86"/>
        <v>213.93899999999999</v>
      </c>
      <c r="CS39" s="155">
        <f t="shared" si="86"/>
        <v>444.28500000000003</v>
      </c>
      <c r="CT39" s="155">
        <f t="shared" si="86"/>
        <v>861.56000000000006</v>
      </c>
      <c r="CU39" s="155">
        <f t="shared" si="86"/>
        <v>1324.7784390485224</v>
      </c>
      <c r="CV39" s="85">
        <f t="shared" si="86"/>
        <v>2028.3830000000003</v>
      </c>
      <c r="CW39" s="85">
        <f t="shared" si="86"/>
        <v>3017.3370000000004</v>
      </c>
      <c r="CX39" s="85">
        <f t="shared" si="86"/>
        <v>2640.8110000000001</v>
      </c>
      <c r="CY39" s="80">
        <f>SUM(CY38:CY38)</f>
        <v>250.964</v>
      </c>
      <c r="CZ39" s="102">
        <f t="shared" ref="CZ39:DP39" si="87">SUM(CZ14:CZ38)</f>
        <v>7010.8720000000003</v>
      </c>
      <c r="DA39" s="102">
        <f t="shared" si="87"/>
        <v>5338.1969999999992</v>
      </c>
      <c r="DB39" s="80">
        <f t="shared" si="87"/>
        <v>8362.01</v>
      </c>
      <c r="DC39" s="80">
        <f t="shared" si="87"/>
        <v>9702.5170000000016</v>
      </c>
      <c r="DD39" s="80">
        <f t="shared" si="87"/>
        <v>11201.687999999998</v>
      </c>
      <c r="DE39" s="80">
        <f t="shared" si="87"/>
        <v>26180.047999999999</v>
      </c>
      <c r="DF39" s="80">
        <f t="shared" si="87"/>
        <v>30441.941200000001</v>
      </c>
      <c r="DG39" s="80">
        <f t="shared" si="87"/>
        <v>32016.676929000001</v>
      </c>
      <c r="DH39" s="168">
        <f t="shared" si="87"/>
        <v>0</v>
      </c>
      <c r="DI39" s="168">
        <f t="shared" si="87"/>
        <v>0</v>
      </c>
      <c r="DJ39" s="168">
        <f t="shared" si="87"/>
        <v>0</v>
      </c>
      <c r="DK39" s="168">
        <f t="shared" si="87"/>
        <v>10071</v>
      </c>
      <c r="DL39" s="168">
        <f t="shared" si="87"/>
        <v>12002</v>
      </c>
      <c r="DM39" s="168">
        <f t="shared" si="87"/>
        <v>10719</v>
      </c>
      <c r="DN39" s="155">
        <f t="shared" si="87"/>
        <v>11082</v>
      </c>
      <c r="DO39" s="155">
        <f t="shared" si="87"/>
        <v>1175.4000000000001</v>
      </c>
      <c r="DP39" s="155">
        <f t="shared" si="87"/>
        <v>1057.8600000000001</v>
      </c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</row>
    <row r="40" spans="2:130" s="17" customFormat="1" x14ac:dyDescent="0.15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1">
        <v>1086</v>
      </c>
      <c r="BR40" s="141">
        <v>1257</v>
      </c>
      <c r="BS40" s="141">
        <v>674</v>
      </c>
      <c r="BT40" s="82"/>
      <c r="BU40" s="82">
        <v>1035</v>
      </c>
      <c r="BV40" s="82">
        <v>1417</v>
      </c>
      <c r="BW40" s="141">
        <v>703</v>
      </c>
      <c r="BX40" s="141">
        <v>798</v>
      </c>
      <c r="BY40" s="141">
        <v>875</v>
      </c>
      <c r="BZ40" s="141">
        <v>918</v>
      </c>
      <c r="CA40" s="141">
        <v>855</v>
      </c>
      <c r="CB40" s="141">
        <v>836</v>
      </c>
      <c r="CC40" s="141">
        <v>736</v>
      </c>
      <c r="CD40" s="141">
        <v>2111</v>
      </c>
      <c r="CE40" s="141">
        <v>825</v>
      </c>
      <c r="CF40" s="141">
        <v>886</v>
      </c>
      <c r="CG40" s="141">
        <f>+CG39-CG41</f>
        <v>1070.5500000000002</v>
      </c>
      <c r="CH40" s="141">
        <f t="shared" ref="CH40:CL40" si="88">+CH39-CH41</f>
        <v>1072.7190000000001</v>
      </c>
      <c r="CI40" s="141">
        <f t="shared" si="88"/>
        <v>981.9945000000007</v>
      </c>
      <c r="CJ40" s="141">
        <f t="shared" si="88"/>
        <v>1064.04</v>
      </c>
      <c r="CK40" s="141">
        <f t="shared" si="88"/>
        <v>1104.7350000000006</v>
      </c>
      <c r="CL40" s="141">
        <f t="shared" si="88"/>
        <v>1106.9188800000002</v>
      </c>
      <c r="CM40" s="141"/>
      <c r="CN40" s="141"/>
      <c r="CO40" s="79"/>
      <c r="CP40" s="79"/>
      <c r="CQ40" s="79"/>
      <c r="CR40" s="79"/>
      <c r="CS40" s="79"/>
      <c r="CT40" s="79"/>
      <c r="CU40" s="79"/>
      <c r="CV40" s="87"/>
      <c r="CW40" s="82"/>
      <c r="CX40" s="82"/>
      <c r="CY40" s="82"/>
      <c r="CZ40" s="104">
        <f t="shared" ref="CZ40:DB40" si="89">CZ39-CZ41</f>
        <v>1567.7789999999995</v>
      </c>
      <c r="DA40" s="104">
        <f t="shared" si="89"/>
        <v>2899.9859999999994</v>
      </c>
      <c r="DB40" s="82">
        <f t="shared" si="89"/>
        <v>2124.4209999999994</v>
      </c>
      <c r="DC40" s="93">
        <f t="shared" ref="DC40:DC43" si="90">SUM(AQ40:AT40)</f>
        <v>2471.3630000000003</v>
      </c>
      <c r="DD40" s="83">
        <f t="shared" ref="DD40" si="91">SUM(AU40:AX40)</f>
        <v>2731.48</v>
      </c>
      <c r="DE40" s="82">
        <f>+DE39-DE41</f>
        <v>3141.6057599999986</v>
      </c>
      <c r="DF40" s="82">
        <f t="shared" ref="DF40:DK40" si="92">+DF39-DF41</f>
        <v>3653.0329439999987</v>
      </c>
      <c r="DG40" s="82">
        <f t="shared" si="92"/>
        <v>3842.0012314800006</v>
      </c>
      <c r="DH40" s="141">
        <f t="shared" si="92"/>
        <v>0</v>
      </c>
      <c r="DI40" s="141">
        <f t="shared" si="92"/>
        <v>0</v>
      </c>
      <c r="DJ40" s="141">
        <f t="shared" si="92"/>
        <v>0</v>
      </c>
      <c r="DK40" s="141">
        <f t="shared" si="92"/>
        <v>1208.5200000000004</v>
      </c>
      <c r="DL40" s="141">
        <f t="shared" ref="DL40:DP40" si="93">+DL39-DL41</f>
        <v>1440.2399999999998</v>
      </c>
      <c r="DM40" s="141">
        <f t="shared" si="93"/>
        <v>1286.2800000000007</v>
      </c>
      <c r="DN40" s="79">
        <f t="shared" si="93"/>
        <v>1329.8400000000001</v>
      </c>
      <c r="DO40" s="79">
        <f t="shared" si="93"/>
        <v>141.048</v>
      </c>
      <c r="DP40" s="79">
        <f t="shared" si="93"/>
        <v>126.94320000000005</v>
      </c>
      <c r="DQ40" s="79"/>
      <c r="DR40" s="79"/>
      <c r="DS40" s="79"/>
      <c r="DT40" s="79"/>
      <c r="DU40" s="79"/>
      <c r="DV40" s="79"/>
      <c r="DW40" s="79"/>
      <c r="DX40" s="79"/>
      <c r="DY40" s="79"/>
      <c r="DZ40" s="79"/>
    </row>
    <row r="41" spans="2:130" s="17" customFormat="1" x14ac:dyDescent="0.15">
      <c r="B41" s="17" t="s">
        <v>50</v>
      </c>
      <c r="C41" s="82">
        <f t="shared" ref="C41:R41" si="94">C39-C40</f>
        <v>-6.665</v>
      </c>
      <c r="D41" s="82">
        <f t="shared" si="94"/>
        <v>-10.981</v>
      </c>
      <c r="E41" s="82">
        <f t="shared" si="94"/>
        <v>-16.03</v>
      </c>
      <c r="F41" s="82">
        <f t="shared" si="94"/>
        <v>-15.641999999999999</v>
      </c>
      <c r="G41" s="82">
        <f t="shared" si="94"/>
        <v>-13.988</v>
      </c>
      <c r="H41" s="82">
        <f t="shared" si="94"/>
        <v>-25.071000000000002</v>
      </c>
      <c r="I41" s="82">
        <f t="shared" si="94"/>
        <v>-21.061</v>
      </c>
      <c r="J41" s="82">
        <f t="shared" si="94"/>
        <v>-27.352</v>
      </c>
      <c r="K41" s="82" t="e">
        <f t="shared" si="94"/>
        <v>#REF!</v>
      </c>
      <c r="L41" s="82" t="e">
        <f t="shared" si="94"/>
        <v>#REF!</v>
      </c>
      <c r="M41" s="82" t="e">
        <f t="shared" si="94"/>
        <v>#REF!</v>
      </c>
      <c r="N41" s="82" t="e">
        <f t="shared" si="94"/>
        <v>#REF!</v>
      </c>
      <c r="O41" s="82" t="e">
        <f t="shared" si="94"/>
        <v>#REF!</v>
      </c>
      <c r="P41" s="82" t="e">
        <f t="shared" si="94"/>
        <v>#REF!</v>
      </c>
      <c r="Q41" s="82" t="e">
        <f t="shared" si="94"/>
        <v>#REF!</v>
      </c>
      <c r="R41" s="82" t="e">
        <f t="shared" si="94"/>
        <v>#REF!</v>
      </c>
      <c r="S41" s="82" t="e">
        <f t="shared" ref="S41:X41" si="95">S39-S40</f>
        <v>#REF!</v>
      </c>
      <c r="T41" s="82" t="e">
        <f t="shared" si="95"/>
        <v>#REF!</v>
      </c>
      <c r="U41" s="82" t="e">
        <f t="shared" si="95"/>
        <v>#REF!</v>
      </c>
      <c r="V41" s="82" t="e">
        <f t="shared" si="95"/>
        <v>#REF!</v>
      </c>
      <c r="W41" s="82" t="e">
        <f t="shared" si="95"/>
        <v>#REF!</v>
      </c>
      <c r="X41" s="82" t="e">
        <f t="shared" si="95"/>
        <v>#REF!</v>
      </c>
      <c r="Y41" s="82" t="e">
        <f t="shared" ref="Y41:AD41" si="96">Y39-Y40</f>
        <v>#REF!</v>
      </c>
      <c r="Z41" s="82" t="e">
        <f t="shared" si="96"/>
        <v>#REF!</v>
      </c>
      <c r="AA41" s="82" t="e">
        <f t="shared" si="96"/>
        <v>#REF!</v>
      </c>
      <c r="AB41" s="82" t="e">
        <f t="shared" si="96"/>
        <v>#REF!</v>
      </c>
      <c r="AC41" s="82" t="e">
        <f t="shared" si="96"/>
        <v>#REF!</v>
      </c>
      <c r="AD41" s="82" t="e">
        <f t="shared" si="96"/>
        <v>#REF!</v>
      </c>
      <c r="AE41" s="82">
        <f t="shared" ref="AE41:AM41" si="97">+AE39-AE40</f>
        <v>1204.3000000000002</v>
      </c>
      <c r="AF41" s="82">
        <f t="shared" si="97"/>
        <v>1266.769</v>
      </c>
      <c r="AG41" s="82">
        <f t="shared" si="97"/>
        <v>1391.6890000000005</v>
      </c>
      <c r="AH41" s="82">
        <f t="shared" si="97"/>
        <v>1580.3349999999996</v>
      </c>
      <c r="AI41" s="82">
        <f t="shared" si="97"/>
        <v>-119.82499999999999</v>
      </c>
      <c r="AJ41" s="82">
        <f t="shared" si="97"/>
        <v>1491.6889999999999</v>
      </c>
      <c r="AK41" s="82">
        <f t="shared" si="97"/>
        <v>1477.6220000000001</v>
      </c>
      <c r="AL41" s="82">
        <f t="shared" si="97"/>
        <v>-411.27499999999998</v>
      </c>
      <c r="AM41" s="82">
        <f t="shared" si="97"/>
        <v>1428.0680000000002</v>
      </c>
      <c r="AN41" s="82">
        <f t="shared" ref="AN41:AO41" si="98">+AN39-AN40</f>
        <v>1603.39</v>
      </c>
      <c r="AO41" s="82">
        <f t="shared" si="98"/>
        <v>1590.2000000000003</v>
      </c>
      <c r="AP41" s="82">
        <f>AP39-AP40</f>
        <v>1615.9309999999996</v>
      </c>
      <c r="AQ41" s="82">
        <f t="shared" ref="AQ41:AY41" si="99">+AQ39-AQ40</f>
        <v>1701.5179999999996</v>
      </c>
      <c r="AR41" s="82">
        <f t="shared" si="99"/>
        <v>1787.8409999999997</v>
      </c>
      <c r="AS41" s="82">
        <f t="shared" si="99"/>
        <v>1829.3280000000002</v>
      </c>
      <c r="AT41" s="82">
        <f t="shared" si="99"/>
        <v>1912.4669999999999</v>
      </c>
      <c r="AU41" s="82">
        <f t="shared" si="99"/>
        <v>1897.1870000000004</v>
      </c>
      <c r="AV41" s="82">
        <f t="shared" si="99"/>
        <v>2106.6270000000004</v>
      </c>
      <c r="AW41" s="82">
        <f t="shared" si="99"/>
        <v>2124.0520000000001</v>
      </c>
      <c r="AX41" s="82">
        <f t="shared" si="99"/>
        <v>2342.3420000000001</v>
      </c>
      <c r="AY41" s="82">
        <f t="shared" si="99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100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1">
        <f>+BQ39-BQ40</f>
        <v>4510</v>
      </c>
      <c r="BR41" s="141">
        <f>+BR39-BR40</f>
        <v>4538</v>
      </c>
      <c r="BS41" s="141">
        <f>+BS39-BS40</f>
        <v>4607</v>
      </c>
      <c r="BT41" s="82"/>
      <c r="BU41" s="141">
        <f t="shared" ref="BU41" si="101">+BU39-BU40</f>
        <v>4569</v>
      </c>
      <c r="BV41" s="141">
        <f>+BV39-BV40</f>
        <v>4462</v>
      </c>
      <c r="BW41" s="141">
        <f>+BW39-BW40</f>
        <v>4845</v>
      </c>
      <c r="BX41" s="141">
        <f>+BX39-BX40</f>
        <v>4345</v>
      </c>
      <c r="BY41" s="141">
        <f>+BY39-BY40</f>
        <v>5702</v>
      </c>
      <c r="BZ41" s="141">
        <f t="shared" ref="BZ41:CE41" si="102">BZ39-BZ40</f>
        <v>6503</v>
      </c>
      <c r="CA41" s="141">
        <f t="shared" si="102"/>
        <v>5568</v>
      </c>
      <c r="CB41" s="141">
        <f t="shared" si="102"/>
        <v>5381</v>
      </c>
      <c r="CC41" s="141">
        <f t="shared" si="102"/>
        <v>6685</v>
      </c>
      <c r="CD41" s="141">
        <f t="shared" si="102"/>
        <v>5132</v>
      </c>
      <c r="CE41" s="141">
        <f t="shared" si="102"/>
        <v>5764</v>
      </c>
      <c r="CF41" s="141">
        <f>+CF39-CF40</f>
        <v>5375</v>
      </c>
      <c r="CG41" s="141">
        <f>+CG39*0.85</f>
        <v>6066.45</v>
      </c>
      <c r="CH41" s="141">
        <f t="shared" ref="CH41:CL41" si="103">+CH39*0.85</f>
        <v>6078.741</v>
      </c>
      <c r="CI41" s="141">
        <f t="shared" si="103"/>
        <v>5564.6355000000003</v>
      </c>
      <c r="CJ41" s="141">
        <f t="shared" si="103"/>
        <v>6029.56</v>
      </c>
      <c r="CK41" s="141">
        <f t="shared" si="103"/>
        <v>6260.165</v>
      </c>
      <c r="CL41" s="141">
        <f t="shared" si="103"/>
        <v>6272.5403200000001</v>
      </c>
      <c r="CM41" s="141"/>
      <c r="CN41" s="141"/>
      <c r="CO41" s="79"/>
      <c r="CP41" s="79"/>
      <c r="CQ41" s="79"/>
      <c r="CR41" s="79"/>
      <c r="CS41" s="79"/>
      <c r="CT41" s="79"/>
      <c r="CU41" s="79"/>
      <c r="CV41" s="87"/>
      <c r="CW41" s="128"/>
      <c r="CX41" s="128"/>
      <c r="CY41" s="82"/>
      <c r="CZ41" s="105">
        <f>SUM(AE41:AH41)</f>
        <v>5443.0930000000008</v>
      </c>
      <c r="DA41" s="104">
        <f>SUM(AI41:AL41)</f>
        <v>2438.2109999999998</v>
      </c>
      <c r="DB41" s="82">
        <f>SUM(AM41:AP41)</f>
        <v>6237.5890000000009</v>
      </c>
      <c r="DC41" s="82">
        <f>+DC39-DC40</f>
        <v>7231.1540000000014</v>
      </c>
      <c r="DD41" s="82">
        <f>+DD39-DD40</f>
        <v>8470.2079999999987</v>
      </c>
      <c r="DE41" s="82">
        <f>+DE39*0.88</f>
        <v>23038.44224</v>
      </c>
      <c r="DF41" s="82">
        <f t="shared" ref="DF41:DP41" si="104">+DF39*0.88</f>
        <v>26788.908256000002</v>
      </c>
      <c r="DG41" s="82">
        <f t="shared" si="104"/>
        <v>28174.675697520001</v>
      </c>
      <c r="DH41" s="141">
        <f t="shared" si="104"/>
        <v>0</v>
      </c>
      <c r="DI41" s="141">
        <f t="shared" si="104"/>
        <v>0</v>
      </c>
      <c r="DJ41" s="141">
        <f t="shared" si="104"/>
        <v>0</v>
      </c>
      <c r="DK41" s="141">
        <f t="shared" si="104"/>
        <v>8862.48</v>
      </c>
      <c r="DL41" s="141">
        <f t="shared" si="104"/>
        <v>10561.76</v>
      </c>
      <c r="DM41" s="141">
        <f t="shared" si="104"/>
        <v>9432.7199999999993</v>
      </c>
      <c r="DN41" s="141">
        <f t="shared" si="104"/>
        <v>9752.16</v>
      </c>
      <c r="DO41" s="141">
        <f t="shared" si="104"/>
        <v>1034.3520000000001</v>
      </c>
      <c r="DP41" s="141">
        <f t="shared" si="104"/>
        <v>930.91680000000008</v>
      </c>
      <c r="DQ41" s="79"/>
      <c r="DR41" s="79"/>
      <c r="DS41" s="79"/>
      <c r="DT41" s="79"/>
      <c r="DU41" s="79"/>
      <c r="DV41" s="79"/>
      <c r="DW41" s="79"/>
      <c r="DX41" s="79"/>
      <c r="DY41" s="79"/>
      <c r="DZ41" s="79"/>
    </row>
    <row r="42" spans="2:130" s="17" customFormat="1" x14ac:dyDescent="0.15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1">
        <v>939</v>
      </c>
      <c r="BR42" s="141">
        <v>939</v>
      </c>
      <c r="BS42" s="141">
        <v>932</v>
      </c>
      <c r="BT42" s="82"/>
      <c r="BU42" s="141">
        <v>4990</v>
      </c>
      <c r="BV42" s="141">
        <v>1103</v>
      </c>
      <c r="BW42" s="141">
        <v>1004</v>
      </c>
      <c r="BX42" s="141">
        <v>1186</v>
      </c>
      <c r="BY42" s="141">
        <v>1155</v>
      </c>
      <c r="BZ42" s="141">
        <v>1512</v>
      </c>
      <c r="CA42" s="141">
        <v>1049</v>
      </c>
      <c r="CB42" s="141">
        <v>1042</v>
      </c>
      <c r="CC42" s="141">
        <v>1109</v>
      </c>
      <c r="CD42" s="141">
        <v>1984</v>
      </c>
      <c r="CE42" s="141">
        <v>1158</v>
      </c>
      <c r="CF42" s="141">
        <v>1102</v>
      </c>
      <c r="CG42" s="141">
        <f t="shared" ref="CG42" si="105">+CC42</f>
        <v>1109</v>
      </c>
      <c r="CH42" s="141">
        <f t="shared" ref="CH42" si="106">+CD42</f>
        <v>1984</v>
      </c>
      <c r="CI42" s="141">
        <f t="shared" ref="CI42" si="107">+CE42</f>
        <v>1158</v>
      </c>
      <c r="CJ42" s="141">
        <f t="shared" ref="CJ42" si="108">+CF42</f>
        <v>1102</v>
      </c>
      <c r="CK42" s="141">
        <f t="shared" ref="CK42" si="109">+CG42</f>
        <v>1109</v>
      </c>
      <c r="CL42" s="141">
        <f t="shared" ref="CL42" si="110">+CH42</f>
        <v>1984</v>
      </c>
      <c r="CM42" s="141"/>
      <c r="CN42" s="141"/>
      <c r="CO42" s="79"/>
      <c r="CP42" s="79">
        <v>110.873</v>
      </c>
      <c r="CQ42" s="79">
        <v>132.339</v>
      </c>
      <c r="CR42" s="79">
        <v>185.553</v>
      </c>
      <c r="CS42" s="79">
        <v>134.75799999999998</v>
      </c>
      <c r="CT42" s="79">
        <v>164.87299999999999</v>
      </c>
      <c r="CU42" s="79">
        <v>223.55200000000008</v>
      </c>
      <c r="CV42" s="17">
        <v>277.73099999999999</v>
      </c>
      <c r="CW42" s="82">
        <f>SUM(S42:V42)</f>
        <v>331.69800000000004</v>
      </c>
      <c r="CX42" s="82">
        <f>SUM(W42:Z42)</f>
        <v>553.28700000000003</v>
      </c>
      <c r="CY42" s="82">
        <f>SUM(AA42:AD42)</f>
        <v>655.245</v>
      </c>
      <c r="CZ42" s="105">
        <f>SUM(AE42:AH42)</f>
        <v>831.32300000000009</v>
      </c>
      <c r="DA42" s="104">
        <f>SUM(AI42:AL42)</f>
        <v>838.90999999999985</v>
      </c>
      <c r="DB42" s="82">
        <f>SUM(AM42:AP42)</f>
        <v>1229.1849999999999</v>
      </c>
      <c r="DC42" s="93">
        <f t="shared" si="90"/>
        <v>1759.9450000000002</v>
      </c>
      <c r="DD42" s="83">
        <f>SUM(AU42:AX42)</f>
        <v>1985.3230000000001</v>
      </c>
      <c r="DE42" s="82"/>
      <c r="DF42" s="82"/>
      <c r="DG42" s="82"/>
      <c r="DH42" s="141"/>
      <c r="DI42" s="141"/>
      <c r="DJ42" s="141"/>
      <c r="DK42" s="141"/>
      <c r="DL42" s="141"/>
      <c r="DM42" s="141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</row>
    <row r="43" spans="2:130" s="17" customFormat="1" x14ac:dyDescent="0.15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111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1">
        <v>948</v>
      </c>
      <c r="BR43" s="141">
        <v>1032</v>
      </c>
      <c r="BS43" s="141">
        <v>1030</v>
      </c>
      <c r="BT43" s="82"/>
      <c r="BU43" s="141">
        <v>1052</v>
      </c>
      <c r="BV43" s="141">
        <v>1204</v>
      </c>
      <c r="BW43" s="141">
        <v>1076</v>
      </c>
      <c r="BX43" s="141">
        <v>1164</v>
      </c>
      <c r="BY43" s="141">
        <v>1095</v>
      </c>
      <c r="BZ43" s="141">
        <v>1499</v>
      </c>
      <c r="CA43" s="141">
        <v>1033</v>
      </c>
      <c r="CB43" s="141">
        <v>1121</v>
      </c>
      <c r="CC43" s="141">
        <v>1178</v>
      </c>
      <c r="CD43" s="141">
        <v>1642</v>
      </c>
      <c r="CE43" s="141">
        <v>1083</v>
      </c>
      <c r="CF43" s="141">
        <v>1272</v>
      </c>
      <c r="CG43" s="141">
        <f>+CC43</f>
        <v>1178</v>
      </c>
      <c r="CH43" s="141">
        <f t="shared" ref="CH43:CL43" si="112">+CD43</f>
        <v>1642</v>
      </c>
      <c r="CI43" s="141">
        <f t="shared" si="112"/>
        <v>1083</v>
      </c>
      <c r="CJ43" s="141">
        <f t="shared" si="112"/>
        <v>1272</v>
      </c>
      <c r="CK43" s="141">
        <f t="shared" si="112"/>
        <v>1178</v>
      </c>
      <c r="CL43" s="141">
        <f t="shared" si="112"/>
        <v>1642</v>
      </c>
      <c r="CM43" s="141"/>
      <c r="CN43" s="141"/>
      <c r="CO43" s="79"/>
      <c r="CP43" s="79">
        <v>99.418999999999997</v>
      </c>
      <c r="CQ43" s="79">
        <v>82.022000000000006</v>
      </c>
      <c r="CR43" s="79">
        <v>125.14100000000001</v>
      </c>
      <c r="CS43" s="79">
        <v>181.30100000000002</v>
      </c>
      <c r="CT43" s="79">
        <v>250.15699999999998</v>
      </c>
      <c r="CU43" s="79">
        <v>302.79300000000029</v>
      </c>
      <c r="CV43" s="17">
        <v>379.18100000000004</v>
      </c>
      <c r="CW43" s="82">
        <f>SUM(S43:V43)</f>
        <v>502.86699999999996</v>
      </c>
      <c r="CX43" s="82">
        <f>SUM(W43:Z43)</f>
        <v>643.60599999999999</v>
      </c>
      <c r="CY43" s="82">
        <f>SUM(AA43:AD43)</f>
        <v>720.81499999999994</v>
      </c>
      <c r="CZ43" s="105">
        <f>SUM(AE43:AH43)</f>
        <v>820.02900000000011</v>
      </c>
      <c r="DA43" s="104">
        <f>SUM(AI43:AL43)</f>
        <v>912.55600000000004</v>
      </c>
      <c r="DB43" s="82">
        <f>SUM(AM43:AP43)</f>
        <v>1241.9559999999999</v>
      </c>
      <c r="DC43" s="93">
        <f t="shared" si="90"/>
        <v>1461.0340000000001</v>
      </c>
      <c r="DD43" s="83">
        <f>SUM(AU43:AX43)</f>
        <v>1598.4379999999999</v>
      </c>
      <c r="DE43" s="82">
        <f>SUM(AY43:BB43)</f>
        <v>2237.7950000000001</v>
      </c>
      <c r="DF43" s="82">
        <f>+DE43</f>
        <v>2237.7950000000001</v>
      </c>
      <c r="DG43" s="82">
        <f t="shared" ref="DG43:DP43" si="113">+DF43</f>
        <v>2237.7950000000001</v>
      </c>
      <c r="DH43" s="141">
        <f t="shared" si="113"/>
        <v>2237.7950000000001</v>
      </c>
      <c r="DI43" s="141">
        <f t="shared" si="113"/>
        <v>2237.7950000000001</v>
      </c>
      <c r="DJ43" s="141">
        <f t="shared" si="113"/>
        <v>2237.7950000000001</v>
      </c>
      <c r="DK43" s="141">
        <f t="shared" si="113"/>
        <v>2237.7950000000001</v>
      </c>
      <c r="DL43" s="141">
        <f t="shared" si="113"/>
        <v>2237.7950000000001</v>
      </c>
      <c r="DM43" s="141">
        <f t="shared" si="113"/>
        <v>2237.7950000000001</v>
      </c>
      <c r="DN43" s="141">
        <f t="shared" si="113"/>
        <v>2237.7950000000001</v>
      </c>
      <c r="DO43" s="141">
        <f t="shared" si="113"/>
        <v>2237.7950000000001</v>
      </c>
      <c r="DP43" s="141">
        <f t="shared" si="113"/>
        <v>2237.7950000000001</v>
      </c>
      <c r="DQ43" s="79"/>
      <c r="DR43" s="79"/>
      <c r="DS43" s="79"/>
      <c r="DT43" s="79"/>
      <c r="DU43" s="79"/>
      <c r="DV43" s="79"/>
      <c r="DW43" s="79"/>
      <c r="DX43" s="79"/>
      <c r="DY43" s="79"/>
      <c r="DZ43" s="79"/>
    </row>
    <row r="44" spans="2:130" s="75" customFormat="1" x14ac:dyDescent="0.15">
      <c r="B44" s="75" t="s">
        <v>49</v>
      </c>
      <c r="C44" s="83">
        <f t="shared" ref="C44:R44" si="114">SUM(C40:C43)</f>
        <v>78.694000000000003</v>
      </c>
      <c r="D44" s="83">
        <f t="shared" si="114"/>
        <v>79.188000000000002</v>
      </c>
      <c r="E44" s="83">
        <f t="shared" si="114"/>
        <v>82.037000000000006</v>
      </c>
      <c r="F44" s="83">
        <f t="shared" si="114"/>
        <v>96.545999999999992</v>
      </c>
      <c r="G44" s="83">
        <f t="shared" si="114"/>
        <v>96.115000000000009</v>
      </c>
      <c r="H44" s="83">
        <f t="shared" si="114"/>
        <v>106.027</v>
      </c>
      <c r="I44" s="83">
        <f t="shared" si="114"/>
        <v>100.13800000000001</v>
      </c>
      <c r="J44" s="83">
        <f t="shared" si="114"/>
        <v>137.96899999999999</v>
      </c>
      <c r="K44" s="83" t="e">
        <f t="shared" si="114"/>
        <v>#REF!</v>
      </c>
      <c r="L44" s="83" t="e">
        <f t="shared" si="114"/>
        <v>#REF!</v>
      </c>
      <c r="M44" s="83" t="e">
        <f t="shared" si="114"/>
        <v>#REF!</v>
      </c>
      <c r="N44" s="83" t="e">
        <f t="shared" si="114"/>
        <v>#REF!</v>
      </c>
      <c r="O44" s="83" t="e">
        <f t="shared" si="114"/>
        <v>#REF!</v>
      </c>
      <c r="P44" s="83" t="e">
        <f t="shared" si="114"/>
        <v>#REF!</v>
      </c>
      <c r="Q44" s="83" t="e">
        <f t="shared" si="114"/>
        <v>#REF!</v>
      </c>
      <c r="R44" s="83" t="e">
        <f t="shared" si="114"/>
        <v>#REF!</v>
      </c>
      <c r="S44" s="83">
        <f t="shared" ref="S44:Z44" si="115">S43+S42</f>
        <v>204.42400000000001</v>
      </c>
      <c r="T44" s="83">
        <f t="shared" si="115"/>
        <v>207.86300000000003</v>
      </c>
      <c r="U44" s="83">
        <f t="shared" si="115"/>
        <v>196.613</v>
      </c>
      <c r="V44" s="82">
        <f t="shared" si="115"/>
        <v>225.66499999999999</v>
      </c>
      <c r="W44" s="83">
        <f t="shared" si="115"/>
        <v>241.88399999999999</v>
      </c>
      <c r="X44" s="83">
        <f t="shared" si="115"/>
        <v>277</v>
      </c>
      <c r="Y44" s="83">
        <f t="shared" si="115"/>
        <v>313.31299999999999</v>
      </c>
      <c r="Z44" s="82">
        <f t="shared" si="115"/>
        <v>364.69600000000003</v>
      </c>
      <c r="AA44" s="82">
        <f t="shared" ref="AA44:AM44" si="116">AA43+AA42</f>
        <v>315.81599999999997</v>
      </c>
      <c r="AB44" s="82">
        <f t="shared" si="116"/>
        <v>362.048</v>
      </c>
      <c r="AC44" s="82">
        <f t="shared" si="116"/>
        <v>338.24900000000002</v>
      </c>
      <c r="AD44" s="82">
        <f t="shared" si="116"/>
        <v>359.947</v>
      </c>
      <c r="AE44" s="82">
        <f t="shared" si="116"/>
        <v>354.9</v>
      </c>
      <c r="AF44" s="82">
        <f t="shared" si="116"/>
        <v>419.26800000000003</v>
      </c>
      <c r="AG44" s="82">
        <f t="shared" si="116"/>
        <v>442.5</v>
      </c>
      <c r="AH44" s="82">
        <f t="shared" si="116"/>
        <v>434.68399999999997</v>
      </c>
      <c r="AI44" s="82">
        <f t="shared" si="116"/>
        <v>425.61</v>
      </c>
      <c r="AJ44" s="82">
        <f t="shared" si="116"/>
        <v>430.95600000000002</v>
      </c>
      <c r="AK44" s="82">
        <f t="shared" si="116"/>
        <v>423.79999999999995</v>
      </c>
      <c r="AL44" s="82">
        <f t="shared" si="116"/>
        <v>471.1</v>
      </c>
      <c r="AM44" s="82">
        <f t="shared" si="116"/>
        <v>550.01400000000001</v>
      </c>
      <c r="AN44" s="82">
        <f t="shared" ref="AN44" si="117">AN43+AN42</f>
        <v>586.67200000000003</v>
      </c>
      <c r="AO44" s="82">
        <f t="shared" ref="AO44" si="118">AO43+AO42</f>
        <v>586</v>
      </c>
      <c r="AP44" s="82">
        <f>+AP43+AP42</f>
        <v>748.45499999999993</v>
      </c>
      <c r="AQ44" s="82">
        <f t="shared" ref="AQ44:AX44" si="119">+AQ43+AQ42</f>
        <v>901.33199999999999</v>
      </c>
      <c r="AR44" s="82">
        <f t="shared" si="119"/>
        <v>728.74900000000002</v>
      </c>
      <c r="AS44" s="82">
        <f t="shared" si="119"/>
        <v>785.41399999999999</v>
      </c>
      <c r="AT44" s="82">
        <f t="shared" si="119"/>
        <v>805.48399999999992</v>
      </c>
      <c r="AU44" s="82">
        <f t="shared" si="119"/>
        <v>871.928</v>
      </c>
      <c r="AV44" s="82">
        <f t="shared" si="119"/>
        <v>864.10699999999997</v>
      </c>
      <c r="AW44" s="82">
        <f t="shared" si="119"/>
        <v>865.37599999999998</v>
      </c>
      <c r="AX44" s="82">
        <f t="shared" si="119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120">+BA43+BA42</f>
        <v>1121.2040000000002</v>
      </c>
      <c r="BB44" s="82">
        <f t="shared" si="120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1">
        <f t="shared" ref="BQ44" si="121">BQ42+BQ43</f>
        <v>1887</v>
      </c>
      <c r="BR44" s="141">
        <f t="shared" ref="BR44:BS44" si="122">BR42+BR43</f>
        <v>1971</v>
      </c>
      <c r="BS44" s="141">
        <f t="shared" si="122"/>
        <v>1962</v>
      </c>
      <c r="BT44" s="82"/>
      <c r="BU44" s="141">
        <f t="shared" ref="BU44:BV44" si="123">BU42+BU43</f>
        <v>6042</v>
      </c>
      <c r="BV44" s="141">
        <f t="shared" si="123"/>
        <v>2307</v>
      </c>
      <c r="BW44" s="141">
        <f t="shared" ref="BW44:BX44" si="124">BW42+BW43</f>
        <v>2080</v>
      </c>
      <c r="BX44" s="141">
        <f t="shared" si="124"/>
        <v>2350</v>
      </c>
      <c r="BY44" s="141">
        <f t="shared" ref="BY44" si="125">BY42+BY43</f>
        <v>2250</v>
      </c>
      <c r="BZ44" s="141">
        <f t="shared" ref="BZ44" si="126">BZ42+BZ43</f>
        <v>3011</v>
      </c>
      <c r="CA44" s="141">
        <f>CA42+CA43</f>
        <v>2082</v>
      </c>
      <c r="CB44" s="141">
        <f t="shared" ref="CB44:CE44" si="127">CB42+CB43</f>
        <v>2163</v>
      </c>
      <c r="CC44" s="141">
        <f t="shared" si="127"/>
        <v>2287</v>
      </c>
      <c r="CD44" s="141">
        <f t="shared" si="127"/>
        <v>3626</v>
      </c>
      <c r="CE44" s="141">
        <f t="shared" si="127"/>
        <v>2241</v>
      </c>
      <c r="CF44" s="141">
        <f t="shared" ref="CF44:CL44" si="128">CF42+CF43</f>
        <v>2374</v>
      </c>
      <c r="CG44" s="141">
        <f t="shared" si="128"/>
        <v>2287</v>
      </c>
      <c r="CH44" s="141">
        <f t="shared" si="128"/>
        <v>3626</v>
      </c>
      <c r="CI44" s="141">
        <f t="shared" si="128"/>
        <v>2241</v>
      </c>
      <c r="CJ44" s="141">
        <f t="shared" si="128"/>
        <v>2374</v>
      </c>
      <c r="CK44" s="141">
        <f t="shared" si="128"/>
        <v>2287</v>
      </c>
      <c r="CL44" s="141">
        <f t="shared" si="128"/>
        <v>3626</v>
      </c>
      <c r="CM44" s="141"/>
      <c r="CN44" s="141"/>
      <c r="CO44" s="156"/>
      <c r="CP44" s="156">
        <f t="shared" ref="CP44:DB44" si="129">CP42+CP43</f>
        <v>210.292</v>
      </c>
      <c r="CQ44" s="156">
        <f t="shared" si="129"/>
        <v>214.36099999999999</v>
      </c>
      <c r="CR44" s="156">
        <f t="shared" si="129"/>
        <v>310.69400000000002</v>
      </c>
      <c r="CS44" s="156">
        <f t="shared" si="129"/>
        <v>316.05899999999997</v>
      </c>
      <c r="CT44" s="156">
        <f t="shared" si="129"/>
        <v>415.03</v>
      </c>
      <c r="CU44" s="156">
        <f t="shared" si="129"/>
        <v>526.34500000000037</v>
      </c>
      <c r="CV44" s="75">
        <f t="shared" si="129"/>
        <v>656.91200000000003</v>
      </c>
      <c r="CW44" s="83">
        <f t="shared" si="129"/>
        <v>834.56500000000005</v>
      </c>
      <c r="CX44" s="83">
        <f t="shared" si="129"/>
        <v>1196.893</v>
      </c>
      <c r="CY44" s="83">
        <f>CY42+CY43</f>
        <v>1376.06</v>
      </c>
      <c r="CZ44" s="105">
        <f>CZ42+CZ43</f>
        <v>1651.3520000000003</v>
      </c>
      <c r="DA44" s="105">
        <f>DA42+DA43</f>
        <v>1751.4659999999999</v>
      </c>
      <c r="DB44" s="83">
        <f t="shared" si="129"/>
        <v>2471.1409999999996</v>
      </c>
      <c r="DC44" s="83">
        <f t="shared" ref="DC44:DH44" si="130">DC42+DC43</f>
        <v>3220.9790000000003</v>
      </c>
      <c r="DD44" s="83">
        <f t="shared" si="130"/>
        <v>3583.761</v>
      </c>
      <c r="DE44" s="83">
        <f t="shared" si="130"/>
        <v>2237.7950000000001</v>
      </c>
      <c r="DF44" s="83">
        <f t="shared" si="130"/>
        <v>2237.7950000000001</v>
      </c>
      <c r="DG44" s="83">
        <f t="shared" si="130"/>
        <v>2237.7950000000001</v>
      </c>
      <c r="DH44" s="143">
        <f t="shared" si="130"/>
        <v>2237.7950000000001</v>
      </c>
      <c r="DI44" s="143">
        <f t="shared" ref="DI44:DK44" si="131">DI42+DI43</f>
        <v>2237.7950000000001</v>
      </c>
      <c r="DJ44" s="143">
        <f t="shared" si="131"/>
        <v>2237.7950000000001</v>
      </c>
      <c r="DK44" s="143">
        <f t="shared" si="131"/>
        <v>2237.7950000000001</v>
      </c>
      <c r="DL44" s="143">
        <f t="shared" ref="DL44:DP44" si="132">DL42+DL43</f>
        <v>2237.7950000000001</v>
      </c>
      <c r="DM44" s="143">
        <f t="shared" si="132"/>
        <v>2237.7950000000001</v>
      </c>
      <c r="DN44" s="156">
        <f t="shared" si="132"/>
        <v>2237.7950000000001</v>
      </c>
      <c r="DO44" s="156">
        <f t="shared" si="132"/>
        <v>2237.7950000000001</v>
      </c>
      <c r="DP44" s="156">
        <f t="shared" si="132"/>
        <v>2237.7950000000001</v>
      </c>
      <c r="DQ44" s="156"/>
      <c r="DR44" s="156"/>
      <c r="DS44" s="156"/>
      <c r="DT44" s="156"/>
      <c r="DU44" s="156"/>
      <c r="DV44" s="156"/>
      <c r="DW44" s="156"/>
      <c r="DX44" s="156"/>
      <c r="DY44" s="156"/>
      <c r="DZ44" s="156"/>
    </row>
    <row r="45" spans="2:130" s="17" customFormat="1" x14ac:dyDescent="0.15">
      <c r="B45" s="100" t="s">
        <v>644</v>
      </c>
      <c r="C45" s="82">
        <f t="shared" ref="C45:R45" si="133">C39-C44</f>
        <v>-73.317000000000007</v>
      </c>
      <c r="D45" s="82">
        <f t="shared" si="133"/>
        <v>-72.451000000000008</v>
      </c>
      <c r="E45" s="82">
        <f t="shared" si="133"/>
        <v>-77.655000000000001</v>
      </c>
      <c r="F45" s="82">
        <f t="shared" si="133"/>
        <v>-92.635999999999996</v>
      </c>
      <c r="G45" s="82">
        <f t="shared" si="133"/>
        <v>-88.731000000000009</v>
      </c>
      <c r="H45" s="82">
        <f t="shared" si="133"/>
        <v>-98.992000000000004</v>
      </c>
      <c r="I45" s="82">
        <f t="shared" si="133"/>
        <v>-95.263000000000005</v>
      </c>
      <c r="J45" s="82">
        <f t="shared" si="133"/>
        <v>-132.04399999999998</v>
      </c>
      <c r="K45" s="82" t="e">
        <f t="shared" si="133"/>
        <v>#REF!</v>
      </c>
      <c r="L45" s="82" t="e">
        <f t="shared" si="133"/>
        <v>#REF!</v>
      </c>
      <c r="M45" s="82" t="e">
        <f t="shared" si="133"/>
        <v>#REF!</v>
      </c>
      <c r="N45" s="82" t="e">
        <f t="shared" si="133"/>
        <v>#REF!</v>
      </c>
      <c r="O45" s="82" t="e">
        <f t="shared" si="133"/>
        <v>#REF!</v>
      </c>
      <c r="P45" s="82" t="e">
        <f t="shared" si="133"/>
        <v>#REF!</v>
      </c>
      <c r="Q45" s="82" t="e">
        <f t="shared" si="133"/>
        <v>#REF!</v>
      </c>
      <c r="R45" s="82" t="e">
        <f t="shared" si="133"/>
        <v>#REF!</v>
      </c>
      <c r="S45" s="82" t="e">
        <f t="shared" ref="S45:Z45" si="134">S41-S44</f>
        <v>#REF!</v>
      </c>
      <c r="T45" s="82" t="e">
        <f t="shared" si="134"/>
        <v>#REF!</v>
      </c>
      <c r="U45" s="82" t="e">
        <f t="shared" si="134"/>
        <v>#REF!</v>
      </c>
      <c r="V45" s="82" t="e">
        <f t="shared" si="134"/>
        <v>#REF!</v>
      </c>
      <c r="W45" s="82" t="e">
        <f t="shared" si="134"/>
        <v>#REF!</v>
      </c>
      <c r="X45" s="82" t="e">
        <f t="shared" si="134"/>
        <v>#REF!</v>
      </c>
      <c r="Y45" s="82" t="e">
        <f t="shared" si="134"/>
        <v>#REF!</v>
      </c>
      <c r="Z45" s="82" t="e">
        <f t="shared" si="134"/>
        <v>#REF!</v>
      </c>
      <c r="AA45" s="82" t="e">
        <f t="shared" ref="AA45:AM45" si="135">AA41-AA44</f>
        <v>#REF!</v>
      </c>
      <c r="AB45" s="82" t="e">
        <f t="shared" si="135"/>
        <v>#REF!</v>
      </c>
      <c r="AC45" s="82" t="e">
        <f t="shared" si="135"/>
        <v>#REF!</v>
      </c>
      <c r="AD45" s="82" t="e">
        <f t="shared" si="135"/>
        <v>#REF!</v>
      </c>
      <c r="AE45" s="82">
        <f t="shared" si="135"/>
        <v>849.4000000000002</v>
      </c>
      <c r="AF45" s="82">
        <f t="shared" si="135"/>
        <v>847.50099999999998</v>
      </c>
      <c r="AG45" s="82">
        <f t="shared" si="135"/>
        <v>949.18900000000053</v>
      </c>
      <c r="AH45" s="82">
        <f t="shared" si="135"/>
        <v>1145.6509999999996</v>
      </c>
      <c r="AI45" s="82">
        <f t="shared" si="135"/>
        <v>-545.43499999999995</v>
      </c>
      <c r="AJ45" s="82">
        <f t="shared" si="135"/>
        <v>1060.7329999999997</v>
      </c>
      <c r="AK45" s="82">
        <f t="shared" si="135"/>
        <v>1053.8220000000001</v>
      </c>
      <c r="AL45" s="82">
        <f t="shared" si="135"/>
        <v>-882.375</v>
      </c>
      <c r="AM45" s="82">
        <f t="shared" si="135"/>
        <v>878.0540000000002</v>
      </c>
      <c r="AN45" s="82">
        <f t="shared" ref="AN45" si="136">AN41-AN44</f>
        <v>1016.7180000000001</v>
      </c>
      <c r="AO45" s="82">
        <f t="shared" ref="AO45" si="137">AO41-AO44</f>
        <v>1004.2000000000003</v>
      </c>
      <c r="AP45" s="82">
        <f>+AP41-AP44</f>
        <v>867.47599999999966</v>
      </c>
      <c r="AQ45" s="82">
        <f t="shared" ref="AQ45:AX45" si="138">+AQ41-AQ44</f>
        <v>800.18599999999958</v>
      </c>
      <c r="AR45" s="82">
        <f t="shared" si="138"/>
        <v>1059.0919999999996</v>
      </c>
      <c r="AS45" s="82">
        <f t="shared" si="138"/>
        <v>1043.9140000000002</v>
      </c>
      <c r="AT45" s="82">
        <f t="shared" si="138"/>
        <v>1106.9829999999999</v>
      </c>
      <c r="AU45" s="82">
        <f t="shared" si="138"/>
        <v>1025.2590000000005</v>
      </c>
      <c r="AV45" s="82">
        <f t="shared" si="138"/>
        <v>1242.5200000000004</v>
      </c>
      <c r="AW45" s="82">
        <f t="shared" si="138"/>
        <v>1258.6760000000002</v>
      </c>
      <c r="AX45" s="82">
        <f t="shared" si="138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39">+BA41-BA44</f>
        <v>5080.4147200000007</v>
      </c>
      <c r="BB45" s="82">
        <f t="shared" si="139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1">
        <f t="shared" ref="BQ45" si="140">BQ41-BQ44</f>
        <v>2623</v>
      </c>
      <c r="BR45" s="141">
        <f t="shared" ref="BR45:BS45" si="141">BR41-BR44</f>
        <v>2567</v>
      </c>
      <c r="BS45" s="141">
        <f t="shared" si="141"/>
        <v>2645</v>
      </c>
      <c r="BT45" s="82"/>
      <c r="BU45" s="141">
        <f t="shared" ref="BU45:BV45" si="142">BU41-BU44</f>
        <v>-1473</v>
      </c>
      <c r="BV45" s="141">
        <f t="shared" si="142"/>
        <v>2155</v>
      </c>
      <c r="BW45" s="141">
        <f t="shared" ref="BW45:BX45" si="143">BW41-BW44</f>
        <v>2765</v>
      </c>
      <c r="BX45" s="141">
        <f t="shared" si="143"/>
        <v>1995</v>
      </c>
      <c r="BY45" s="141">
        <f t="shared" ref="BY45" si="144">BY41-BY44</f>
        <v>3452</v>
      </c>
      <c r="BZ45" s="141">
        <f t="shared" ref="BZ45" si="145">BZ41-BZ44</f>
        <v>3492</v>
      </c>
      <c r="CA45" s="141">
        <f>CA41-CA44</f>
        <v>3486</v>
      </c>
      <c r="CB45" s="141">
        <f t="shared" ref="CB45:CE45" si="146">CB41-CB44</f>
        <v>3218</v>
      </c>
      <c r="CC45" s="141">
        <f t="shared" si="146"/>
        <v>4398</v>
      </c>
      <c r="CD45" s="141">
        <f t="shared" si="146"/>
        <v>1506</v>
      </c>
      <c r="CE45" s="141">
        <f t="shared" si="146"/>
        <v>3523</v>
      </c>
      <c r="CF45" s="141">
        <f t="shared" ref="CF45:CL45" si="147">CF41-CF44</f>
        <v>3001</v>
      </c>
      <c r="CG45" s="141">
        <f t="shared" si="147"/>
        <v>3779.45</v>
      </c>
      <c r="CH45" s="141">
        <f t="shared" si="147"/>
        <v>2452.741</v>
      </c>
      <c r="CI45" s="141">
        <f t="shared" si="147"/>
        <v>3323.6355000000003</v>
      </c>
      <c r="CJ45" s="141">
        <f t="shared" si="147"/>
        <v>3655.5600000000004</v>
      </c>
      <c r="CK45" s="141">
        <f t="shared" si="147"/>
        <v>3973.165</v>
      </c>
      <c r="CL45" s="141">
        <f t="shared" si="147"/>
        <v>2646.5403200000001</v>
      </c>
      <c r="CM45" s="141"/>
      <c r="CN45" s="141"/>
      <c r="CO45" s="79"/>
      <c r="CP45" s="79">
        <f t="shared" ref="CP45:CW45" si="148">CP41-CP44</f>
        <v>-210.292</v>
      </c>
      <c r="CQ45" s="79">
        <f t="shared" si="148"/>
        <v>-214.36099999999999</v>
      </c>
      <c r="CR45" s="79">
        <f t="shared" si="148"/>
        <v>-310.69400000000002</v>
      </c>
      <c r="CS45" s="79">
        <f t="shared" si="148"/>
        <v>-316.05899999999997</v>
      </c>
      <c r="CT45" s="79">
        <f t="shared" si="148"/>
        <v>-415.03</v>
      </c>
      <c r="CU45" s="79">
        <f t="shared" si="148"/>
        <v>-526.34500000000037</v>
      </c>
      <c r="CV45" s="17">
        <f t="shared" si="148"/>
        <v>-656.91200000000003</v>
      </c>
      <c r="CW45" s="82">
        <f t="shared" si="148"/>
        <v>-834.56500000000005</v>
      </c>
      <c r="CX45" s="82">
        <f>CX41-CX44</f>
        <v>-1196.893</v>
      </c>
      <c r="CY45" s="82">
        <f>CY41-CY44</f>
        <v>-1376.06</v>
      </c>
      <c r="CZ45" s="104">
        <f>CZ41-CZ44</f>
        <v>3791.7410000000004</v>
      </c>
      <c r="DA45" s="104">
        <f>DA41-DA44</f>
        <v>686.74499999999989</v>
      </c>
      <c r="DB45" s="82">
        <f t="shared" ref="DB45" si="149">DB41-DB44</f>
        <v>3766.4480000000012</v>
      </c>
      <c r="DC45" s="82">
        <f t="shared" ref="DC45:DH45" si="150">DC41-DC44</f>
        <v>4010.1750000000011</v>
      </c>
      <c r="DD45" s="82">
        <f t="shared" si="150"/>
        <v>4886.4469999999983</v>
      </c>
      <c r="DE45" s="82">
        <f t="shared" si="150"/>
        <v>20800.647239999998</v>
      </c>
      <c r="DF45" s="82">
        <f t="shared" si="150"/>
        <v>24551.113256000004</v>
      </c>
      <c r="DG45" s="82">
        <f t="shared" si="150"/>
        <v>25936.880697519999</v>
      </c>
      <c r="DH45" s="141">
        <f t="shared" si="150"/>
        <v>-2237.7950000000001</v>
      </c>
      <c r="DI45" s="141">
        <f t="shared" ref="DI45:DK45" si="151">DI41-DI44</f>
        <v>-2237.7950000000001</v>
      </c>
      <c r="DJ45" s="141">
        <f t="shared" si="151"/>
        <v>-2237.7950000000001</v>
      </c>
      <c r="DK45" s="141">
        <f t="shared" si="151"/>
        <v>6624.6849999999995</v>
      </c>
      <c r="DL45" s="141">
        <f t="shared" ref="DL45:DP45" si="152">DL41-DL44</f>
        <v>8323.9650000000001</v>
      </c>
      <c r="DM45" s="141">
        <f t="shared" si="152"/>
        <v>7194.9249999999993</v>
      </c>
      <c r="DN45" s="79">
        <f t="shared" si="152"/>
        <v>7514.3649999999998</v>
      </c>
      <c r="DO45" s="79">
        <f t="shared" si="152"/>
        <v>-1203.443</v>
      </c>
      <c r="DP45" s="79">
        <f t="shared" si="152"/>
        <v>-1306.8782000000001</v>
      </c>
      <c r="DQ45" s="79"/>
      <c r="DR45" s="79"/>
      <c r="DS45" s="79"/>
      <c r="DT45" s="79"/>
      <c r="DU45" s="79"/>
      <c r="DV45" s="79"/>
      <c r="DW45" s="79"/>
      <c r="DX45" s="79"/>
      <c r="DY45" s="79"/>
      <c r="DZ45" s="79"/>
    </row>
    <row r="46" spans="2:130" s="17" customFormat="1" x14ac:dyDescent="0.15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53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1">
        <f>-264+305</f>
        <v>41</v>
      </c>
      <c r="BR46" s="141">
        <f>-257+163</f>
        <v>-94</v>
      </c>
      <c r="BS46" s="141">
        <f>-254+170</f>
        <v>-84</v>
      </c>
      <c r="BT46" s="82"/>
      <c r="BU46" s="141">
        <f>-250+222</f>
        <v>-28</v>
      </c>
      <c r="BV46" s="141">
        <f>-243+122</f>
        <v>-121</v>
      </c>
      <c r="BW46" s="141">
        <f>-241+125</f>
        <v>-116</v>
      </c>
      <c r="BX46" s="141">
        <f>-240+250</f>
        <v>10</v>
      </c>
      <c r="BY46" s="141">
        <f>-236-940+983</f>
        <v>-193</v>
      </c>
      <c r="BZ46" s="141">
        <f>-267+46</f>
        <v>-221</v>
      </c>
      <c r="CA46" s="141">
        <f>-257-369</f>
        <v>-626</v>
      </c>
      <c r="CB46" s="141">
        <f>-256-173</f>
        <v>-429</v>
      </c>
      <c r="CC46" s="141">
        <f>-250-154+154</f>
        <v>-250</v>
      </c>
      <c r="CD46" s="141">
        <f>-238+57</f>
        <v>-181</v>
      </c>
      <c r="CE46" s="141">
        <f>-238-111</f>
        <v>-349</v>
      </c>
      <c r="CF46" s="141">
        <f>-242-284+303</f>
        <v>-223</v>
      </c>
      <c r="CG46" s="141"/>
      <c r="CH46" s="141"/>
      <c r="CI46" s="141"/>
      <c r="CJ46" s="141"/>
      <c r="CK46" s="141"/>
      <c r="CL46" s="141"/>
      <c r="CM46" s="141"/>
      <c r="CN46" s="141"/>
      <c r="CO46" s="79"/>
      <c r="CP46" s="79">
        <v>9.916999999999998</v>
      </c>
      <c r="CQ46" s="79">
        <v>13.269</v>
      </c>
      <c r="CR46" s="79">
        <v>11.611000000000001</v>
      </c>
      <c r="CS46" s="79">
        <v>8.4380000000000006</v>
      </c>
      <c r="CT46" s="79">
        <v>-8.8579999999999988</v>
      </c>
      <c r="CU46" s="79">
        <v>11.595000000000001</v>
      </c>
      <c r="CV46" s="17">
        <v>46.717399999999998</v>
      </c>
      <c r="CW46" s="82">
        <v>79.940878614177947</v>
      </c>
      <c r="CX46" s="82">
        <v>135.79390689056299</v>
      </c>
      <c r="CY46" s="82">
        <f>SUM(AA46:AD46)</f>
        <v>47.3</v>
      </c>
      <c r="CZ46" s="105">
        <f>SUM(AE46:AH46)</f>
        <v>-27.263999999999999</v>
      </c>
      <c r="DA46" s="104">
        <f>SUM(AI46:AL46)</f>
        <v>-48.673999999999992</v>
      </c>
      <c r="DB46" s="82"/>
      <c r="DC46" s="93">
        <f t="shared" ref="DC46:DC48" si="154">SUM(AQ46:AT46)</f>
        <v>-400.96699999999998</v>
      </c>
      <c r="DD46" s="83">
        <f>SUM(AU46:AX46)</f>
        <v>-327.334</v>
      </c>
      <c r="DE46" s="82">
        <f>SUM(AY46:BB46)</f>
        <v>-368.346</v>
      </c>
      <c r="DF46" s="82">
        <f t="shared" ref="DF46:DP46" si="155">+DE60*$DU$55</f>
        <v>39.639115400000023</v>
      </c>
      <c r="DG46" s="82">
        <f t="shared" si="155"/>
        <v>132.46920560203503</v>
      </c>
      <c r="DH46" s="141">
        <f t="shared" si="155"/>
        <v>230.88100148632071</v>
      </c>
      <c r="DI46" s="141">
        <f t="shared" si="155"/>
        <v>223.30490114193159</v>
      </c>
      <c r="DJ46" s="141">
        <f t="shared" si="155"/>
        <v>215.70020101874238</v>
      </c>
      <c r="DK46" s="141">
        <f t="shared" si="155"/>
        <v>208.06679315258816</v>
      </c>
      <c r="DL46" s="141">
        <f t="shared" si="155"/>
        <v>233.86043117173915</v>
      </c>
      <c r="DM46" s="141">
        <f t="shared" si="155"/>
        <v>266.1662221744125</v>
      </c>
      <c r="DN46" s="79">
        <f t="shared" si="155"/>
        <v>294.33184153812084</v>
      </c>
      <c r="DO46" s="79">
        <f t="shared" si="155"/>
        <v>323.80967211492725</v>
      </c>
      <c r="DP46" s="79">
        <f t="shared" si="155"/>
        <v>320.48905630216115</v>
      </c>
      <c r="DQ46" s="79"/>
      <c r="DR46" s="79"/>
      <c r="DS46" s="79"/>
      <c r="DT46" s="79"/>
      <c r="DU46" s="79"/>
      <c r="DV46" s="79"/>
      <c r="DW46" s="79"/>
      <c r="DX46" s="79"/>
      <c r="DY46" s="79"/>
      <c r="DZ46" s="79"/>
    </row>
    <row r="47" spans="2:130" s="17" customFormat="1" x14ac:dyDescent="0.15">
      <c r="B47" s="17" t="s">
        <v>26</v>
      </c>
      <c r="C47" s="82">
        <f t="shared" ref="C47:V47" si="156">SUM(C45:C46)</f>
        <v>-71.188000000000002</v>
      </c>
      <c r="D47" s="82">
        <f t="shared" si="156"/>
        <v>-71.296000000000006</v>
      </c>
      <c r="E47" s="82">
        <f t="shared" si="156"/>
        <v>-76.216999999999999</v>
      </c>
      <c r="F47" s="82">
        <f t="shared" si="156"/>
        <v>-88.92</v>
      </c>
      <c r="G47" s="82">
        <f t="shared" si="156"/>
        <v>-90.528000000000006</v>
      </c>
      <c r="H47" s="82">
        <f t="shared" si="156"/>
        <v>-101.117</v>
      </c>
      <c r="I47" s="82">
        <f t="shared" si="156"/>
        <v>-97.484999999999999</v>
      </c>
      <c r="J47" s="82">
        <f t="shared" si="156"/>
        <v>-134.75799999999998</v>
      </c>
      <c r="K47" s="82" t="e">
        <f t="shared" si="156"/>
        <v>#REF!</v>
      </c>
      <c r="L47" s="82" t="e">
        <f t="shared" si="156"/>
        <v>#REF!</v>
      </c>
      <c r="M47" s="82" t="e">
        <f t="shared" si="156"/>
        <v>#REF!</v>
      </c>
      <c r="N47" s="82" t="e">
        <f t="shared" si="156"/>
        <v>#REF!</v>
      </c>
      <c r="O47" s="82" t="e">
        <f t="shared" si="156"/>
        <v>#REF!</v>
      </c>
      <c r="P47" s="82" t="e">
        <f t="shared" si="156"/>
        <v>#REF!</v>
      </c>
      <c r="Q47" s="82" t="e">
        <f>SUM(Q45:Q46)</f>
        <v>#REF!</v>
      </c>
      <c r="R47" s="82" t="e">
        <f>SUM(R45:R46)</f>
        <v>#REF!</v>
      </c>
      <c r="S47" s="82" t="e">
        <f t="shared" si="156"/>
        <v>#REF!</v>
      </c>
      <c r="T47" s="82" t="e">
        <f t="shared" si="156"/>
        <v>#REF!</v>
      </c>
      <c r="U47" s="82" t="e">
        <f t="shared" si="156"/>
        <v>#REF!</v>
      </c>
      <c r="V47" s="82" t="e">
        <f t="shared" si="156"/>
        <v>#REF!</v>
      </c>
      <c r="W47" s="82" t="e">
        <f t="shared" ref="W47:AB47" si="157">SUM(W45:W46)</f>
        <v>#REF!</v>
      </c>
      <c r="X47" s="82" t="e">
        <f t="shared" si="157"/>
        <v>#REF!</v>
      </c>
      <c r="Y47" s="82" t="e">
        <f t="shared" si="157"/>
        <v>#REF!</v>
      </c>
      <c r="Z47" s="82" t="e">
        <f t="shared" si="157"/>
        <v>#REF!</v>
      </c>
      <c r="AA47" s="82" t="e">
        <f t="shared" si="157"/>
        <v>#REF!</v>
      </c>
      <c r="AB47" s="82" t="e">
        <f t="shared" si="157"/>
        <v>#REF!</v>
      </c>
      <c r="AC47" s="82" t="e">
        <f t="shared" ref="AC47:AM47" si="158">SUM(AC45:AC46)</f>
        <v>#REF!</v>
      </c>
      <c r="AD47" s="82" t="e">
        <f t="shared" si="158"/>
        <v>#REF!</v>
      </c>
      <c r="AE47" s="82">
        <f t="shared" si="158"/>
        <v>836.88800000000015</v>
      </c>
      <c r="AF47" s="82">
        <f t="shared" si="158"/>
        <v>841.93999999999994</v>
      </c>
      <c r="AG47" s="82">
        <f t="shared" si="158"/>
        <v>945.98900000000049</v>
      </c>
      <c r="AH47" s="82">
        <f t="shared" si="158"/>
        <v>1139.6599999999996</v>
      </c>
      <c r="AI47" s="82">
        <f t="shared" si="158"/>
        <v>-546.74499999999989</v>
      </c>
      <c r="AJ47" s="82">
        <f t="shared" si="158"/>
        <v>1061.2539999999997</v>
      </c>
      <c r="AK47" s="82">
        <f t="shared" si="158"/>
        <v>1035.7950000000001</v>
      </c>
      <c r="AL47" s="82">
        <f t="shared" si="158"/>
        <v>-912.23299999999995</v>
      </c>
      <c r="AM47" s="82">
        <f t="shared" si="158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59">+AT46+AT45</f>
        <v>1019.6909999999999</v>
      </c>
      <c r="AU47" s="82">
        <f t="shared" si="159"/>
        <v>940.14800000000048</v>
      </c>
      <c r="AV47" s="82">
        <f t="shared" si="159"/>
        <v>1164.2810000000004</v>
      </c>
      <c r="AW47" s="82">
        <f t="shared" si="159"/>
        <v>1178.9500000000003</v>
      </c>
      <c r="AX47" s="82">
        <f t="shared" si="159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60">+BA46+BA45</f>
        <v>4996.1567200000009</v>
      </c>
      <c r="BB47" s="82">
        <f t="shared" si="160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1">
        <f t="shared" ref="BQ47" si="161">BQ45+BQ46</f>
        <v>2664</v>
      </c>
      <c r="BR47" s="141">
        <f t="shared" ref="BR47:BS47" si="162">BR45+BR46</f>
        <v>2473</v>
      </c>
      <c r="BS47" s="141">
        <f t="shared" si="162"/>
        <v>2561</v>
      </c>
      <c r="BT47" s="82"/>
      <c r="BU47" s="141">
        <f t="shared" ref="BU47:BV47" si="163">BU45+BU46</f>
        <v>-1501</v>
      </c>
      <c r="BV47" s="141">
        <f t="shared" si="163"/>
        <v>2034</v>
      </c>
      <c r="BW47" s="141">
        <f t="shared" ref="BW47:BX47" si="164">BW45+BW46</f>
        <v>2649</v>
      </c>
      <c r="BX47" s="141">
        <f t="shared" si="164"/>
        <v>2005</v>
      </c>
      <c r="BY47" s="141">
        <f t="shared" ref="BY47" si="165">BY45+BY46</f>
        <v>3259</v>
      </c>
      <c r="BZ47" s="141">
        <f t="shared" ref="BZ47:CD47" si="166">BZ45+BZ46</f>
        <v>3271</v>
      </c>
      <c r="CA47" s="141">
        <f t="shared" si="166"/>
        <v>2860</v>
      </c>
      <c r="CB47" s="141">
        <f t="shared" si="166"/>
        <v>2789</v>
      </c>
      <c r="CC47" s="141">
        <f t="shared" si="166"/>
        <v>4148</v>
      </c>
      <c r="CD47" s="141">
        <f t="shared" si="166"/>
        <v>1325</v>
      </c>
      <c r="CE47" s="141">
        <f>CE45+CE46</f>
        <v>3174</v>
      </c>
      <c r="CF47" s="141">
        <f>CF45+CF46</f>
        <v>2778</v>
      </c>
      <c r="CG47" s="141">
        <f t="shared" ref="CG47:CL47" si="167">CG45+CG46</f>
        <v>3779.45</v>
      </c>
      <c r="CH47" s="141">
        <f t="shared" si="167"/>
        <v>2452.741</v>
      </c>
      <c r="CI47" s="141">
        <f t="shared" si="167"/>
        <v>3323.6355000000003</v>
      </c>
      <c r="CJ47" s="141">
        <f t="shared" si="167"/>
        <v>3655.5600000000004</v>
      </c>
      <c r="CK47" s="141">
        <f t="shared" si="167"/>
        <v>3973.165</v>
      </c>
      <c r="CL47" s="141">
        <f t="shared" si="167"/>
        <v>2646.5403200000001</v>
      </c>
      <c r="CM47" s="141"/>
      <c r="CN47" s="141"/>
      <c r="CO47" s="79"/>
      <c r="CP47" s="79">
        <f t="shared" ref="CP47:CV47" si="168">SUM(CP45:CP46)</f>
        <v>-200.375</v>
      </c>
      <c r="CQ47" s="79">
        <f t="shared" si="168"/>
        <v>-201.09199999999998</v>
      </c>
      <c r="CR47" s="79">
        <f t="shared" si="168"/>
        <v>-299.08300000000003</v>
      </c>
      <c r="CS47" s="79">
        <f t="shared" si="168"/>
        <v>-307.62099999999998</v>
      </c>
      <c r="CT47" s="79">
        <f t="shared" si="168"/>
        <v>-423.88799999999998</v>
      </c>
      <c r="CU47" s="79">
        <f t="shared" si="168"/>
        <v>-514.75000000000034</v>
      </c>
      <c r="CV47" s="17">
        <f t="shared" si="168"/>
        <v>-610.19460000000004</v>
      </c>
      <c r="CW47" s="82">
        <f>SUM(CW45:CW46)</f>
        <v>-754.62412138582215</v>
      </c>
      <c r="CX47" s="82">
        <f t="shared" ref="CX47:DC47" si="169">SUM(CX45:CX46)</f>
        <v>-1061.099093109437</v>
      </c>
      <c r="CY47" s="82">
        <f>SUM(CY45:CY46)</f>
        <v>-1328.76</v>
      </c>
      <c r="CZ47" s="104">
        <f>SUM(CZ45:CZ46)</f>
        <v>3764.4770000000003</v>
      </c>
      <c r="DA47" s="104">
        <f>SUM(DA45:DA46)</f>
        <v>638.07099999999991</v>
      </c>
      <c r="DB47" s="82">
        <f t="shared" si="169"/>
        <v>3766.4480000000012</v>
      </c>
      <c r="DC47" s="82">
        <f t="shared" si="169"/>
        <v>3609.208000000001</v>
      </c>
      <c r="DD47" s="82">
        <f>SUM(DD45:DD46)</f>
        <v>4559.1129999999985</v>
      </c>
      <c r="DE47" s="82">
        <f>SUM(DE45:DE46)</f>
        <v>20432.301239999997</v>
      </c>
      <c r="DF47" s="82">
        <f>SUM(DF45:DF46)</f>
        <v>24590.752371400005</v>
      </c>
      <c r="DG47" s="82">
        <f>SUM(DG45:DG46)</f>
        <v>26069.349903122034</v>
      </c>
      <c r="DH47" s="141">
        <f>SUM(DH45:DH46)</f>
        <v>-2006.9139985136794</v>
      </c>
      <c r="DI47" s="141">
        <f t="shared" ref="DI47:DP47" si="170">SUM(DI45:DI46)</f>
        <v>-2014.4900988580684</v>
      </c>
      <c r="DJ47" s="141">
        <f t="shared" si="170"/>
        <v>-2022.0947989812578</v>
      </c>
      <c r="DK47" s="141">
        <f t="shared" si="170"/>
        <v>6832.7517931525872</v>
      </c>
      <c r="DL47" s="141">
        <f t="shared" si="170"/>
        <v>8557.8254311717392</v>
      </c>
      <c r="DM47" s="141">
        <f t="shared" si="170"/>
        <v>7461.091222174412</v>
      </c>
      <c r="DN47" s="79">
        <f t="shared" si="170"/>
        <v>7808.6968415381207</v>
      </c>
      <c r="DO47" s="79">
        <f t="shared" si="170"/>
        <v>-879.63332788507273</v>
      </c>
      <c r="DP47" s="79">
        <f t="shared" si="170"/>
        <v>-986.38914369783902</v>
      </c>
      <c r="DQ47" s="79"/>
      <c r="DR47" s="79"/>
      <c r="DS47" s="79"/>
      <c r="DT47" s="79"/>
      <c r="DU47" s="79"/>
      <c r="DV47" s="79"/>
      <c r="DW47" s="79"/>
      <c r="DX47" s="79"/>
      <c r="DY47" s="79"/>
      <c r="DZ47" s="79"/>
    </row>
    <row r="48" spans="2:130" s="17" customFormat="1" x14ac:dyDescent="0.15">
      <c r="B48" s="100" t="s">
        <v>643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71">+BA47*0.25</f>
        <v>1249.0391800000002</v>
      </c>
      <c r="BB48" s="82">
        <f t="shared" si="171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1">
        <f>565+2</f>
        <v>567</v>
      </c>
      <c r="BR48" s="141">
        <f>1013-588-14+189</f>
        <v>600</v>
      </c>
      <c r="BS48" s="141">
        <f>382-7+45</f>
        <v>420</v>
      </c>
      <c r="BT48" s="82"/>
      <c r="BU48" s="141">
        <f>-333-3</f>
        <v>-336</v>
      </c>
      <c r="BV48" s="141">
        <f>-788-7+1240+93+5-133+189</f>
        <v>599</v>
      </c>
      <c r="BW48" s="141">
        <f>465-13+91-33</f>
        <v>510</v>
      </c>
      <c r="BX48" s="141">
        <v>373</v>
      </c>
      <c r="BY48" s="141">
        <v>518</v>
      </c>
      <c r="BZ48" s="141">
        <f>428+82</f>
        <v>510</v>
      </c>
      <c r="CA48" s="141">
        <v>282</v>
      </c>
      <c r="CB48" s="141">
        <v>300</v>
      </c>
      <c r="CC48" s="141">
        <v>740</v>
      </c>
      <c r="CD48" s="141">
        <v>375</v>
      </c>
      <c r="CE48" s="141">
        <v>498</v>
      </c>
      <c r="CF48" s="141">
        <v>368</v>
      </c>
      <c r="CG48" s="141">
        <f>+CG47*0.2</f>
        <v>755.89</v>
      </c>
      <c r="CH48" s="141">
        <f t="shared" ref="CH48:CL48" si="172">+CH47*0.2</f>
        <v>490.54820000000001</v>
      </c>
      <c r="CI48" s="141">
        <f t="shared" si="172"/>
        <v>664.72710000000006</v>
      </c>
      <c r="CJ48" s="141">
        <f t="shared" si="172"/>
        <v>731.11200000000008</v>
      </c>
      <c r="CK48" s="141">
        <f t="shared" si="172"/>
        <v>794.63300000000004</v>
      </c>
      <c r="CL48" s="141">
        <f t="shared" si="172"/>
        <v>529.30806400000006</v>
      </c>
      <c r="CM48" s="141"/>
      <c r="CN48" s="141"/>
      <c r="CO48" s="79"/>
      <c r="CP48" s="79">
        <v>0.88800000000000001</v>
      </c>
      <c r="CQ48" s="79">
        <v>1.1990000000000001</v>
      </c>
      <c r="CR48" s="79">
        <v>4.1349999999999998</v>
      </c>
      <c r="CS48" s="79">
        <v>1.3</v>
      </c>
      <c r="CT48" s="79">
        <v>-95.53</v>
      </c>
      <c r="CU48" s="79">
        <v>207.05099999999999</v>
      </c>
      <c r="CV48" s="17">
        <v>347.94309299999998</v>
      </c>
      <c r="CW48" s="82">
        <f>CW47*CW54</f>
        <v>-244.59241513956377</v>
      </c>
      <c r="CX48" s="82">
        <f>CX47*CX54</f>
        <v>0</v>
      </c>
      <c r="CY48" s="82">
        <f>SUM(AA48:AD48)</f>
        <v>755.25199999999995</v>
      </c>
      <c r="CZ48" s="105">
        <f>SUM(AE48:AH48)</f>
        <v>-907</v>
      </c>
      <c r="DA48" s="104">
        <f>SUM(AI48:AL48)</f>
        <v>-1077</v>
      </c>
      <c r="DB48" s="82">
        <f t="shared" ref="DB48" si="173">DB47*DB54</f>
        <v>979.27648000000033</v>
      </c>
      <c r="DC48" s="93">
        <f t="shared" si="154"/>
        <v>1030.329</v>
      </c>
      <c r="DD48" s="83">
        <f>SUM(AU48:AX48)</f>
        <v>1142.556</v>
      </c>
      <c r="DE48" s="82">
        <f>SUM(AY48:BB48)</f>
        <v>3994.4133600000005</v>
      </c>
      <c r="DF48" s="82">
        <f t="shared" ref="DF48:DP48" si="174">+DF47*0.245</f>
        <v>6024.7343309930011</v>
      </c>
      <c r="DG48" s="82">
        <f t="shared" si="174"/>
        <v>6386.9907262648985</v>
      </c>
      <c r="DH48" s="141">
        <f t="shared" si="174"/>
        <v>-491.69392963585148</v>
      </c>
      <c r="DI48" s="141">
        <f t="shared" si="174"/>
        <v>-493.55007422022675</v>
      </c>
      <c r="DJ48" s="141">
        <f t="shared" si="174"/>
        <v>-495.41322575040817</v>
      </c>
      <c r="DK48" s="141">
        <f t="shared" si="174"/>
        <v>1674.0241893223838</v>
      </c>
      <c r="DL48" s="141">
        <f t="shared" si="174"/>
        <v>2096.667230637076</v>
      </c>
      <c r="DM48" s="141">
        <f t="shared" si="174"/>
        <v>1827.967349432731</v>
      </c>
      <c r="DN48" s="79">
        <f t="shared" si="174"/>
        <v>1913.1307261768395</v>
      </c>
      <c r="DO48" s="79">
        <f t="shared" si="174"/>
        <v>-215.51016533184281</v>
      </c>
      <c r="DP48" s="79">
        <f t="shared" si="174"/>
        <v>-241.66534020597055</v>
      </c>
      <c r="DQ48" s="79"/>
      <c r="DR48" s="79"/>
      <c r="DS48" s="79"/>
      <c r="DT48" s="79"/>
      <c r="DU48" s="79"/>
      <c r="DV48" s="79"/>
      <c r="DW48" s="79"/>
      <c r="DX48" s="79"/>
      <c r="DY48" s="79"/>
      <c r="DZ48" s="79"/>
    </row>
    <row r="49" spans="2:178" s="75" customFormat="1" x14ac:dyDescent="0.15">
      <c r="B49" s="75" t="s">
        <v>51</v>
      </c>
      <c r="C49" s="83">
        <f>C47-C48</f>
        <v>-70.224000000000004</v>
      </c>
      <c r="D49" s="83">
        <f t="shared" ref="D49:V49" si="175">D47-D48</f>
        <v>-71.934000000000012</v>
      </c>
      <c r="E49" s="83">
        <f t="shared" si="175"/>
        <v>-76.766999999999996</v>
      </c>
      <c r="F49" s="83">
        <f t="shared" si="175"/>
        <v>-89.995999999999995</v>
      </c>
      <c r="G49" s="83">
        <f t="shared" si="175"/>
        <v>-93.188000000000002</v>
      </c>
      <c r="H49" s="83">
        <f t="shared" si="175"/>
        <v>-106.39200000000001</v>
      </c>
      <c r="I49" s="83">
        <f t="shared" si="175"/>
        <v>-101.34</v>
      </c>
      <c r="J49" s="83">
        <f t="shared" si="175"/>
        <v>-27.437999999999988</v>
      </c>
      <c r="K49" s="83" t="e">
        <f t="shared" si="175"/>
        <v>#REF!</v>
      </c>
      <c r="L49" s="83" t="e">
        <f t="shared" si="175"/>
        <v>#REF!</v>
      </c>
      <c r="M49" s="83" t="e">
        <f t="shared" si="175"/>
        <v>#REF!</v>
      </c>
      <c r="N49" s="83" t="e">
        <f t="shared" si="175"/>
        <v>#REF!</v>
      </c>
      <c r="O49" s="83" t="e">
        <f t="shared" si="175"/>
        <v>#REF!</v>
      </c>
      <c r="P49" s="83" t="e">
        <f t="shared" si="175"/>
        <v>#REF!</v>
      </c>
      <c r="Q49" s="83" t="e">
        <f t="shared" si="175"/>
        <v>#REF!</v>
      </c>
      <c r="R49" s="83" t="e">
        <f t="shared" si="175"/>
        <v>#REF!</v>
      </c>
      <c r="S49" s="83" t="e">
        <f t="shared" si="175"/>
        <v>#REF!</v>
      </c>
      <c r="T49" s="83" t="e">
        <f t="shared" si="175"/>
        <v>#REF!</v>
      </c>
      <c r="U49" s="83" t="e">
        <f t="shared" si="175"/>
        <v>#REF!</v>
      </c>
      <c r="V49" s="83" t="e">
        <f t="shared" si="175"/>
        <v>#REF!</v>
      </c>
      <c r="W49" s="83" t="e">
        <f t="shared" ref="W49:AB49" si="176">W47-W48</f>
        <v>#REF!</v>
      </c>
      <c r="X49" s="83" t="e">
        <f t="shared" si="176"/>
        <v>#REF!</v>
      </c>
      <c r="Y49" s="83" t="e">
        <f t="shared" si="176"/>
        <v>#REF!</v>
      </c>
      <c r="Z49" s="83" t="e">
        <f t="shared" si="176"/>
        <v>#REF!</v>
      </c>
      <c r="AA49" s="83" t="e">
        <f t="shared" si="176"/>
        <v>#REF!</v>
      </c>
      <c r="AB49" s="83" t="e">
        <f t="shared" si="176"/>
        <v>#REF!</v>
      </c>
      <c r="AC49" s="83" t="e">
        <f t="shared" ref="AC49:AD49" si="177">AC47-AC48</f>
        <v>#REF!</v>
      </c>
      <c r="AD49" s="83" t="e">
        <f t="shared" si="177"/>
        <v>#REF!</v>
      </c>
      <c r="AE49" s="108">
        <f t="shared" ref="AE49:AO49" si="178">AE47+AE48</f>
        <v>619.88800000000015</v>
      </c>
      <c r="AF49" s="108">
        <f t="shared" si="178"/>
        <v>645.93999999999994</v>
      </c>
      <c r="AG49" s="108">
        <f t="shared" si="178"/>
        <v>727.98900000000049</v>
      </c>
      <c r="AH49" s="108">
        <f t="shared" si="178"/>
        <v>863.65999999999963</v>
      </c>
      <c r="AI49" s="108">
        <f t="shared" si="178"/>
        <v>-873.74499999999989</v>
      </c>
      <c r="AJ49" s="108">
        <f t="shared" si="178"/>
        <v>760.25399999999968</v>
      </c>
      <c r="AK49" s="108">
        <f t="shared" si="178"/>
        <v>759.79500000000007</v>
      </c>
      <c r="AL49" s="108">
        <f t="shared" si="178"/>
        <v>-1085.2329999999999</v>
      </c>
      <c r="AM49" s="108">
        <f t="shared" si="178"/>
        <v>623.67000000000019</v>
      </c>
      <c r="AN49" s="108">
        <f t="shared" si="178"/>
        <v>1222.7190000000001</v>
      </c>
      <c r="AO49" s="108">
        <f t="shared" si="178"/>
        <v>738.10000000000025</v>
      </c>
      <c r="AP49" s="108">
        <f>+AP47-AP48</f>
        <v>661.75899999999956</v>
      </c>
      <c r="AQ49" s="108">
        <f t="shared" ref="AQ49:AX49" si="179">+AQ47-AQ48</f>
        <v>437.53099999999955</v>
      </c>
      <c r="AR49" s="108">
        <f t="shared" si="179"/>
        <v>706.07399999999961</v>
      </c>
      <c r="AS49" s="108">
        <f t="shared" si="179"/>
        <v>675.50500000000022</v>
      </c>
      <c r="AT49" s="108">
        <f t="shared" si="179"/>
        <v>759.76899999999989</v>
      </c>
      <c r="AU49" s="108">
        <f t="shared" si="179"/>
        <v>717.71000000000049</v>
      </c>
      <c r="AV49" s="108">
        <f t="shared" si="179"/>
        <v>861.28700000000049</v>
      </c>
      <c r="AW49" s="108">
        <f t="shared" si="179"/>
        <v>887.86700000000019</v>
      </c>
      <c r="AX49" s="108">
        <f t="shared" si="179"/>
        <v>949.69300000000021</v>
      </c>
      <c r="AY49" s="108">
        <f>+AY47-AY48</f>
        <v>2509.6500000000024</v>
      </c>
      <c r="AZ49" s="127">
        <f>+AZ47-AZ48</f>
        <v>3943.2240000000002</v>
      </c>
      <c r="BA49" s="108">
        <f t="shared" ref="BA49:BB49" si="180">+BA47-BA48</f>
        <v>3747.1175400000006</v>
      </c>
      <c r="BB49" s="108">
        <f t="shared" si="180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3">
        <f>BQ47-BQ48</f>
        <v>2097</v>
      </c>
      <c r="BR49" s="143">
        <f>BR47-BR48</f>
        <v>1873</v>
      </c>
      <c r="BS49" s="143">
        <f t="shared" ref="BS49" si="181">BS47-BS48</f>
        <v>2141</v>
      </c>
      <c r="BT49" s="108"/>
      <c r="BU49" s="143">
        <f t="shared" ref="BU49" si="182">BU47-BU48</f>
        <v>-1165</v>
      </c>
      <c r="BV49" s="143">
        <f>BV47-BV48</f>
        <v>1435</v>
      </c>
      <c r="BW49" s="143">
        <f t="shared" ref="BW49" si="183">BW47-BW48</f>
        <v>2139</v>
      </c>
      <c r="BX49" s="143">
        <f t="shared" ref="BX49:CD49" si="184">BX47-BX48</f>
        <v>1632</v>
      </c>
      <c r="BY49" s="143">
        <f t="shared" si="184"/>
        <v>2741</v>
      </c>
      <c r="BZ49" s="143">
        <f t="shared" si="184"/>
        <v>2761</v>
      </c>
      <c r="CA49" s="143">
        <f t="shared" si="184"/>
        <v>2578</v>
      </c>
      <c r="CB49" s="143">
        <f t="shared" si="184"/>
        <v>2489</v>
      </c>
      <c r="CC49" s="143">
        <f t="shared" si="184"/>
        <v>3408</v>
      </c>
      <c r="CD49" s="143">
        <f t="shared" si="184"/>
        <v>950</v>
      </c>
      <c r="CE49" s="143">
        <f>CE47-CE48</f>
        <v>2676</v>
      </c>
      <c r="CF49" s="143">
        <f>CF47-CF48</f>
        <v>2410</v>
      </c>
      <c r="CG49" s="143">
        <f t="shared" ref="CG49:CL49" si="185">CG47-CG48</f>
        <v>3023.56</v>
      </c>
      <c r="CH49" s="143">
        <f t="shared" si="185"/>
        <v>1962.1928</v>
      </c>
      <c r="CI49" s="143">
        <f t="shared" si="185"/>
        <v>2658.9084000000003</v>
      </c>
      <c r="CJ49" s="143">
        <f t="shared" si="185"/>
        <v>2924.4480000000003</v>
      </c>
      <c r="CK49" s="143">
        <f t="shared" si="185"/>
        <v>3178.5320000000002</v>
      </c>
      <c r="CL49" s="143">
        <f t="shared" si="185"/>
        <v>2117.2322560000002</v>
      </c>
      <c r="CM49" s="143"/>
      <c r="CN49" s="143"/>
      <c r="CO49" s="156"/>
      <c r="CP49" s="156">
        <f t="shared" ref="CP49:DO49" si="186">CP47-CP48</f>
        <v>-201.26300000000001</v>
      </c>
      <c r="CQ49" s="156">
        <f t="shared" si="186"/>
        <v>-202.291</v>
      </c>
      <c r="CR49" s="156">
        <f t="shared" si="186"/>
        <v>-303.21800000000002</v>
      </c>
      <c r="CS49" s="156">
        <f t="shared" si="186"/>
        <v>-308.92099999999999</v>
      </c>
      <c r="CT49" s="156">
        <f t="shared" si="186"/>
        <v>-328.35799999999995</v>
      </c>
      <c r="CU49" s="156">
        <f t="shared" si="186"/>
        <v>-721.80100000000039</v>
      </c>
      <c r="CV49" s="75">
        <f t="shared" si="186"/>
        <v>-958.13769300000001</v>
      </c>
      <c r="CW49" s="83">
        <f t="shared" si="186"/>
        <v>-510.03170624625841</v>
      </c>
      <c r="CX49" s="83">
        <f t="shared" si="186"/>
        <v>-1061.099093109437</v>
      </c>
      <c r="CY49" s="83">
        <f>CY47-CY48</f>
        <v>-2084.0119999999997</v>
      </c>
      <c r="CZ49" s="105">
        <f>CZ47-CZ48</f>
        <v>4671.4770000000008</v>
      </c>
      <c r="DA49" s="105">
        <f>DA47-DA48</f>
        <v>1715.0709999999999</v>
      </c>
      <c r="DB49" s="83">
        <f t="shared" si="186"/>
        <v>2787.1715200000008</v>
      </c>
      <c r="DC49" s="83">
        <f t="shared" si="186"/>
        <v>2578.8790000000008</v>
      </c>
      <c r="DD49" s="83">
        <f>DD47-DD48</f>
        <v>3416.5569999999984</v>
      </c>
      <c r="DE49" s="93">
        <f>DE47-DE48</f>
        <v>16437.887879999995</v>
      </c>
      <c r="DF49" s="93">
        <f t="shared" si="186"/>
        <v>18566.018040407005</v>
      </c>
      <c r="DG49" s="93">
        <f t="shared" si="186"/>
        <v>19682.359176857135</v>
      </c>
      <c r="DH49" s="143">
        <f t="shared" si="186"/>
        <v>-1515.220068877828</v>
      </c>
      <c r="DI49" s="143">
        <f t="shared" si="186"/>
        <v>-1520.9400246378418</v>
      </c>
      <c r="DJ49" s="143">
        <f t="shared" si="186"/>
        <v>-1526.6815732308496</v>
      </c>
      <c r="DK49" s="140">
        <f t="shared" si="186"/>
        <v>5158.7276038302034</v>
      </c>
      <c r="DL49" s="143">
        <f t="shared" si="186"/>
        <v>6461.1582005346627</v>
      </c>
      <c r="DM49" s="143">
        <f t="shared" si="186"/>
        <v>5633.1238727416812</v>
      </c>
      <c r="DN49" s="156">
        <f t="shared" si="186"/>
        <v>5895.5661153612809</v>
      </c>
      <c r="DO49" s="156">
        <f t="shared" si="186"/>
        <v>-664.12316255322992</v>
      </c>
      <c r="DP49" s="156">
        <f>DP47-DP48</f>
        <v>-744.72380349186847</v>
      </c>
      <c r="DQ49" s="156">
        <f>+DP49*(1+$DU$54)</f>
        <v>-707.48761331727496</v>
      </c>
      <c r="DR49" s="156">
        <f t="shared" ref="DR49:FV49" si="187">+DQ49*(1+$DU$54)</f>
        <v>-672.11323265141118</v>
      </c>
      <c r="DS49" s="156">
        <f t="shared" si="187"/>
        <v>-638.50757101884062</v>
      </c>
      <c r="DT49" s="156">
        <f t="shared" si="187"/>
        <v>-606.58219246789861</v>
      </c>
      <c r="DU49" s="156">
        <f t="shared" si="187"/>
        <v>-576.25308284450364</v>
      </c>
      <c r="DV49" s="156">
        <f t="shared" si="187"/>
        <v>-547.44042870227838</v>
      </c>
      <c r="DW49" s="156">
        <f t="shared" si="187"/>
        <v>-520.06840726716439</v>
      </c>
      <c r="DX49" s="156">
        <f t="shared" si="187"/>
        <v>-494.06498690380613</v>
      </c>
      <c r="DY49" s="156">
        <f t="shared" si="187"/>
        <v>-469.3617375586158</v>
      </c>
      <c r="DZ49" s="156">
        <f t="shared" si="187"/>
        <v>-445.89365068068497</v>
      </c>
      <c r="EA49" s="75">
        <f t="shared" si="187"/>
        <v>-423.59896814665069</v>
      </c>
      <c r="EB49" s="75">
        <f t="shared" si="187"/>
        <v>-402.41901973931812</v>
      </c>
      <c r="EC49" s="75">
        <f t="shared" si="187"/>
        <v>-382.29806875235221</v>
      </c>
      <c r="ED49" s="75">
        <f t="shared" si="187"/>
        <v>-363.18316531473459</v>
      </c>
      <c r="EE49" s="75">
        <f t="shared" si="187"/>
        <v>-345.02400704899787</v>
      </c>
      <c r="EF49" s="75">
        <f t="shared" si="187"/>
        <v>-327.77280669654795</v>
      </c>
      <c r="EG49" s="75">
        <f t="shared" si="187"/>
        <v>-311.38416636172053</v>
      </c>
      <c r="EH49" s="75">
        <f t="shared" si="187"/>
        <v>-295.81495804363448</v>
      </c>
      <c r="EI49" s="75">
        <f t="shared" si="187"/>
        <v>-281.02421014145273</v>
      </c>
      <c r="EJ49" s="75">
        <f t="shared" si="187"/>
        <v>-266.97299963438007</v>
      </c>
      <c r="EK49" s="75">
        <f t="shared" si="187"/>
        <v>-253.62434965266107</v>
      </c>
      <c r="EL49" s="75">
        <f t="shared" si="187"/>
        <v>-240.94313217002801</v>
      </c>
      <c r="EM49" s="75">
        <f t="shared" si="187"/>
        <v>-228.8959755615266</v>
      </c>
      <c r="EN49" s="75">
        <f t="shared" si="187"/>
        <v>-217.45117678345025</v>
      </c>
      <c r="EO49" s="75">
        <f t="shared" si="187"/>
        <v>-206.57861794427774</v>
      </c>
      <c r="EP49" s="75">
        <f t="shared" si="187"/>
        <v>-196.24968704706384</v>
      </c>
      <c r="EQ49" s="75">
        <f t="shared" si="187"/>
        <v>-186.43720269471063</v>
      </c>
      <c r="ER49" s="75">
        <f t="shared" si="187"/>
        <v>-177.11534255997509</v>
      </c>
      <c r="ES49" s="75">
        <f t="shared" si="187"/>
        <v>-168.25957543197632</v>
      </c>
      <c r="ET49" s="75">
        <f t="shared" si="187"/>
        <v>-159.84659666037749</v>
      </c>
      <c r="EU49" s="75">
        <f t="shared" si="187"/>
        <v>-151.8542668273586</v>
      </c>
      <c r="EV49" s="75">
        <f t="shared" si="187"/>
        <v>-144.26155348599067</v>
      </c>
      <c r="EW49" s="75">
        <f t="shared" si="187"/>
        <v>-137.04847581169113</v>
      </c>
      <c r="EX49" s="75">
        <f t="shared" si="187"/>
        <v>-130.19605202110657</v>
      </c>
      <c r="EY49" s="75">
        <f t="shared" si="187"/>
        <v>-123.68624942005123</v>
      </c>
      <c r="EZ49" s="75">
        <f t="shared" si="187"/>
        <v>-117.50193694904866</v>
      </c>
      <c r="FA49" s="75">
        <f t="shared" si="187"/>
        <v>-111.62684010159622</v>
      </c>
      <c r="FB49" s="75">
        <f t="shared" si="187"/>
        <v>-106.0454980965164</v>
      </c>
      <c r="FC49" s="75">
        <f t="shared" si="187"/>
        <v>-100.74322319169057</v>
      </c>
      <c r="FD49" s="75">
        <f t="shared" si="187"/>
        <v>-95.706062032106047</v>
      </c>
      <c r="FE49" s="75">
        <f t="shared" si="187"/>
        <v>-90.920758930500739</v>
      </c>
      <c r="FF49" s="75">
        <f t="shared" si="187"/>
        <v>-86.374720983975692</v>
      </c>
      <c r="FG49" s="75">
        <f t="shared" si="187"/>
        <v>-82.055984934776902</v>
      </c>
      <c r="FH49" s="75">
        <f t="shared" si="187"/>
        <v>-77.953185688038047</v>
      </c>
      <c r="FI49" s="75">
        <f t="shared" si="187"/>
        <v>-74.055526403636136</v>
      </c>
      <c r="FJ49" s="75">
        <f t="shared" si="187"/>
        <v>-70.352750083454325</v>
      </c>
      <c r="FK49" s="75">
        <f t="shared" si="187"/>
        <v>-66.835112579281599</v>
      </c>
      <c r="FL49" s="75">
        <f t="shared" si="187"/>
        <v>-63.493356950317519</v>
      </c>
      <c r="FM49" s="75">
        <f t="shared" si="187"/>
        <v>-60.318689102801642</v>
      </c>
      <c r="FN49" s="75">
        <f t="shared" si="187"/>
        <v>-57.302754647661558</v>
      </c>
      <c r="FO49" s="75">
        <f t="shared" si="187"/>
        <v>-54.437616915278475</v>
      </c>
      <c r="FP49" s="75">
        <f t="shared" si="187"/>
        <v>-51.715736069514548</v>
      </c>
      <c r="FQ49" s="75">
        <f t="shared" si="187"/>
        <v>-49.129949266038821</v>
      </c>
      <c r="FR49" s="75">
        <f t="shared" si="187"/>
        <v>-46.673451802736878</v>
      </c>
      <c r="FS49" s="75">
        <f t="shared" si="187"/>
        <v>-44.339779212600035</v>
      </c>
      <c r="FT49" s="75">
        <f t="shared" si="187"/>
        <v>-42.122790251970031</v>
      </c>
      <c r="FU49" s="75">
        <f t="shared" si="187"/>
        <v>-40.016650739371528</v>
      </c>
      <c r="FV49" s="75">
        <f t="shared" si="187"/>
        <v>-38.015818202402947</v>
      </c>
    </row>
    <row r="50" spans="2:178" s="15" customFormat="1" x14ac:dyDescent="0.15">
      <c r="B50" s="15" t="s">
        <v>20</v>
      </c>
      <c r="C50" s="132">
        <f>C49/C51</f>
        <v>-0.1811764705882353</v>
      </c>
      <c r="D50" s="132">
        <f t="shared" ref="D50:V50" si="188">D49/D51</f>
        <v>-0.17427138600188971</v>
      </c>
      <c r="E50" s="132">
        <f t="shared" si="188"/>
        <v>-0.18618306169965074</v>
      </c>
      <c r="F50" s="132">
        <f t="shared" si="188"/>
        <v>-0.21697076068507945</v>
      </c>
      <c r="G50" s="132">
        <f t="shared" si="188"/>
        <v>-0.23493404864668629</v>
      </c>
      <c r="H50" s="132">
        <f t="shared" si="188"/>
        <v>-0.23094555873925504</v>
      </c>
      <c r="I50" s="132">
        <f t="shared" si="188"/>
        <v>-0.21706535522122075</v>
      </c>
      <c r="J50" s="132">
        <f t="shared" si="188"/>
        <v>-5.9655347848206919E-2</v>
      </c>
      <c r="K50" s="132" t="e">
        <f t="shared" si="188"/>
        <v>#REF!</v>
      </c>
      <c r="L50" s="132" t="e">
        <f t="shared" si="188"/>
        <v>#REF!</v>
      </c>
      <c r="M50" s="132" t="e">
        <f t="shared" si="188"/>
        <v>#REF!</v>
      </c>
      <c r="N50" s="132" t="e">
        <f t="shared" si="188"/>
        <v>#REF!</v>
      </c>
      <c r="O50" s="132" t="e">
        <f t="shared" si="188"/>
        <v>#REF!</v>
      </c>
      <c r="P50" s="132" t="e">
        <f t="shared" si="188"/>
        <v>#REF!</v>
      </c>
      <c r="Q50" s="132" t="e">
        <f t="shared" si="188"/>
        <v>#REF!</v>
      </c>
      <c r="R50" s="132" t="e">
        <f t="shared" si="188"/>
        <v>#REF!</v>
      </c>
      <c r="S50" s="132" t="e">
        <f t="shared" si="188"/>
        <v>#REF!</v>
      </c>
      <c r="T50" s="132" t="e">
        <f t="shared" si="188"/>
        <v>#REF!</v>
      </c>
      <c r="U50" s="132" t="e">
        <f t="shared" si="188"/>
        <v>#REF!</v>
      </c>
      <c r="V50" s="132" t="e">
        <f t="shared" si="188"/>
        <v>#REF!</v>
      </c>
      <c r="W50" s="132" t="e">
        <f t="shared" ref="W50:AD50" si="189">W49/W51</f>
        <v>#REF!</v>
      </c>
      <c r="X50" s="132" t="e">
        <f t="shared" si="189"/>
        <v>#REF!</v>
      </c>
      <c r="Y50" s="132" t="e">
        <f t="shared" si="189"/>
        <v>#REF!</v>
      </c>
      <c r="Z50" s="132" t="e">
        <f t="shared" si="189"/>
        <v>#REF!</v>
      </c>
      <c r="AA50" s="132" t="e">
        <f t="shared" si="189"/>
        <v>#REF!</v>
      </c>
      <c r="AB50" s="132" t="e">
        <f t="shared" si="189"/>
        <v>#REF!</v>
      </c>
      <c r="AC50" s="132" t="e">
        <f t="shared" si="189"/>
        <v>#REF!</v>
      </c>
      <c r="AD50" s="132" t="e">
        <f t="shared" si="189"/>
        <v>#REF!</v>
      </c>
      <c r="AE50" s="133">
        <f t="shared" ref="AE50:AO50" si="190">AE49/AE51</f>
        <v>0.6571636357468319</v>
      </c>
      <c r="AF50" s="133">
        <f t="shared" si="190"/>
        <v>0.69121011529085952</v>
      </c>
      <c r="AG50" s="133">
        <f>AG49/AG51</f>
        <v>0.78074888677254184</v>
      </c>
      <c r="AH50" s="133">
        <f t="shared" si="190"/>
        <v>0.93236102189859771</v>
      </c>
      <c r="AI50" s="133">
        <f t="shared" si="190"/>
        <v>-0.94187556930572991</v>
      </c>
      <c r="AJ50" s="133">
        <f t="shared" si="190"/>
        <v>0.84589870631864328</v>
      </c>
      <c r="AK50" s="133">
        <f t="shared" si="190"/>
        <v>0.89680109722530432</v>
      </c>
      <c r="AL50" s="133">
        <f t="shared" si="190"/>
        <v>-1.3204098840357177</v>
      </c>
      <c r="AM50" s="133">
        <f>AM49/AM51</f>
        <v>0.76820178923135507</v>
      </c>
      <c r="AN50" s="133">
        <f t="shared" si="190"/>
        <v>1.5060768090932271</v>
      </c>
      <c r="AO50" s="132">
        <f t="shared" si="190"/>
        <v>0.92032418952618489</v>
      </c>
      <c r="AP50" s="132">
        <f t="shared" ref="AP50:AY50" si="191">AP49/AP51</f>
        <v>0.8635476285549486</v>
      </c>
      <c r="AQ50" s="132">
        <f t="shared" si="191"/>
        <v>0.56282191132355985</v>
      </c>
      <c r="AR50" s="132">
        <f t="shared" si="191"/>
        <v>0.90463622316804693</v>
      </c>
      <c r="AS50" s="132">
        <f t="shared" si="191"/>
        <v>0.85258309941638599</v>
      </c>
      <c r="AT50" s="132">
        <f t="shared" si="191"/>
        <v>0.46414008096819726</v>
      </c>
      <c r="AU50" s="132">
        <f t="shared" si="191"/>
        <v>0.4310415240291644</v>
      </c>
      <c r="AV50" s="132">
        <f t="shared" si="191"/>
        <v>0.50826076360059202</v>
      </c>
      <c r="AW50" s="132">
        <f t="shared" si="191"/>
        <v>0.5247757252505767</v>
      </c>
      <c r="AX50" s="132">
        <f t="shared" si="191"/>
        <v>0.56062160566706032</v>
      </c>
      <c r="AY50" s="132">
        <f t="shared" si="191"/>
        <v>1.4939540000392901</v>
      </c>
      <c r="AZ50" s="132">
        <f>AZ49/AZ51</f>
        <v>2.3691351015221565</v>
      </c>
      <c r="BA50" s="132">
        <f t="shared" ref="BA50:BB50" si="192">BA49/BA51</f>
        <v>2.2119938252656439</v>
      </c>
      <c r="BB50" s="132">
        <f t="shared" si="192"/>
        <v>2.4226313695395518</v>
      </c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44">
        <f t="shared" ref="BQ50" si="193">BQ49/BQ51</f>
        <v>1.6044376434583014</v>
      </c>
      <c r="BR50" s="144">
        <f t="shared" ref="BR50:BS50" si="194">BR49/BR51</f>
        <v>1.4418783679753657</v>
      </c>
      <c r="BS50" s="144">
        <f t="shared" si="194"/>
        <v>1.6687451286048325</v>
      </c>
      <c r="BT50" s="132"/>
      <c r="BU50" s="144">
        <f t="shared" ref="BU50" si="195">BU49/BU51</f>
        <v>-0.91949486977111283</v>
      </c>
      <c r="BV50" s="144">
        <f t="shared" ref="BV50:BW50" si="196">BV49/BV51</f>
        <v>1.1272584446190101</v>
      </c>
      <c r="BW50" s="144">
        <f t="shared" si="196"/>
        <v>1.684251968503937</v>
      </c>
      <c r="BX50" s="144">
        <f t="shared" ref="BX50:CA50" si="197">BX49/BX51</f>
        <v>1.300398406374502</v>
      </c>
      <c r="BY50" s="144">
        <f t="shared" si="197"/>
        <v>2.1736716891356065</v>
      </c>
      <c r="BZ50" s="144">
        <f t="shared" si="197"/>
        <v>2.193010325655282</v>
      </c>
      <c r="CA50" s="144">
        <f t="shared" si="197"/>
        <v>2.0427892234548337</v>
      </c>
      <c r="CB50" s="144">
        <f t="shared" ref="CB50" si="198">CB49/CB51</f>
        <v>1.9753968253968255</v>
      </c>
      <c r="CC50" s="144">
        <f t="shared" ref="CC50:CD50" si="199">CC49/CC51</f>
        <v>2.7004754358161649</v>
      </c>
      <c r="CD50" s="144">
        <f t="shared" si="199"/>
        <v>0.7527733755942948</v>
      </c>
      <c r="CE50" s="144">
        <f>CE49/CE51</f>
        <v>2.1204437400950873</v>
      </c>
      <c r="CF50" s="144">
        <f>CF49/CF51</f>
        <v>1.9126984126984128</v>
      </c>
      <c r="CG50" s="144">
        <f t="shared" ref="CG50" si="200">CG49/CG51</f>
        <v>2.3996507936507938</v>
      </c>
      <c r="CH50" s="144">
        <f t="shared" ref="CH50" si="201">CH49/CH51</f>
        <v>1.557295873015873</v>
      </c>
      <c r="CI50" s="144">
        <f t="shared" ref="CI50" si="202">CI49/CI51</f>
        <v>2.1102447619047622</v>
      </c>
      <c r="CJ50" s="144">
        <f t="shared" ref="CJ50" si="203">CJ49/CJ51</f>
        <v>2.3209904761904765</v>
      </c>
      <c r="CK50" s="144">
        <f t="shared" ref="CK50" si="204">CK49/CK51</f>
        <v>2.5226444444444445</v>
      </c>
      <c r="CL50" s="144">
        <f t="shared" ref="CL50" si="205">CL49/CL51</f>
        <v>1.6803430603174605</v>
      </c>
      <c r="CM50" s="144"/>
      <c r="CN50" s="144"/>
      <c r="CO50" s="13"/>
      <c r="CP50" s="157">
        <f t="shared" ref="CP50:DB50" si="206">CP49/CP51</f>
        <v>-0.58744053004874341</v>
      </c>
      <c r="CQ50" s="157">
        <f t="shared" si="206"/>
        <v>-0.55544236926067692</v>
      </c>
      <c r="CR50" s="157">
        <f t="shared" si="206"/>
        <v>-0.7493488070936779</v>
      </c>
      <c r="CS50" s="157">
        <f t="shared" si="206"/>
        <v>-0.74807605689737833</v>
      </c>
      <c r="CT50" s="157">
        <f t="shared" si="206"/>
        <v>-0.81638447577136308</v>
      </c>
      <c r="CU50" s="157">
        <f t="shared" si="206"/>
        <v>-1.5622941753866506</v>
      </c>
      <c r="CV50" s="134">
        <f t="shared" si="206"/>
        <v>-2.0220124848713792</v>
      </c>
      <c r="CW50" s="132"/>
      <c r="CX50" s="132">
        <f t="shared" si="206"/>
        <v>-1.0998806083911572</v>
      </c>
      <c r="CY50" s="132">
        <f>CY49/CY51</f>
        <v>-2.1692810134356204</v>
      </c>
      <c r="CZ50" s="133">
        <f>CZ49/CZ51</f>
        <v>5.00088130061022</v>
      </c>
      <c r="DA50" s="133">
        <f>DA49/DA51</f>
        <v>1.9625837174660143</v>
      </c>
      <c r="DB50" s="132">
        <f t="shared" si="206"/>
        <v>3.3911692913050526</v>
      </c>
      <c r="DC50" s="132">
        <f t="shared" ref="DC50:DH50" si="207">DC49/DC51</f>
        <v>2.5871987844912288</v>
      </c>
      <c r="DD50" s="132">
        <f t="shared" si="207"/>
        <v>2.025966509698637</v>
      </c>
      <c r="DE50" s="132">
        <f t="shared" si="207"/>
        <v>9.7666010505198351</v>
      </c>
      <c r="DF50" s="132">
        <f t="shared" si="207"/>
        <v>11.031033464952026</v>
      </c>
      <c r="DG50" s="132">
        <f t="shared" si="207"/>
        <v>11.694309586287412</v>
      </c>
      <c r="DH50" s="144">
        <f t="shared" si="207"/>
        <v>-0.90027076620204671</v>
      </c>
      <c r="DI50" s="144">
        <f t="shared" ref="DI50:DK50" si="208">DI49/DI51</f>
        <v>-0.90366928834445936</v>
      </c>
      <c r="DJ50" s="144">
        <f t="shared" si="208"/>
        <v>-0.90708063990795973</v>
      </c>
      <c r="DK50" s="144">
        <f t="shared" si="208"/>
        <v>3.0650674102854234</v>
      </c>
      <c r="DL50" s="144">
        <f t="shared" ref="DL50:DP50" si="209">DL49/DL51</f>
        <v>3.8389089236759477</v>
      </c>
      <c r="DM50" s="144">
        <f t="shared" si="209"/>
        <v>3.3469308182936262</v>
      </c>
      <c r="DN50" s="157">
        <f t="shared" si="209"/>
        <v>3.5028613551838297</v>
      </c>
      <c r="DO50" s="157">
        <f t="shared" si="209"/>
        <v>-0.3945899877415962</v>
      </c>
      <c r="DP50" s="157">
        <f t="shared" si="209"/>
        <v>-0.44247900549196423</v>
      </c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2:178" s="17" customFormat="1" x14ac:dyDescent="0.15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1">
        <v>1307</v>
      </c>
      <c r="BR51" s="141">
        <v>1299</v>
      </c>
      <c r="BS51" s="141">
        <v>1283</v>
      </c>
      <c r="BT51" s="82"/>
      <c r="BU51" s="141">
        <v>1267</v>
      </c>
      <c r="BV51" s="141">
        <v>1273</v>
      </c>
      <c r="BW51" s="141">
        <v>1270</v>
      </c>
      <c r="BX51" s="141">
        <v>1255</v>
      </c>
      <c r="BY51" s="141">
        <v>1261</v>
      </c>
      <c r="BZ51" s="141">
        <v>1259</v>
      </c>
      <c r="CA51" s="141">
        <v>1262</v>
      </c>
      <c r="CB51" s="141">
        <v>1260</v>
      </c>
      <c r="CC51" s="141">
        <v>1262</v>
      </c>
      <c r="CD51" s="141">
        <v>1262</v>
      </c>
      <c r="CE51" s="141">
        <v>1262</v>
      </c>
      <c r="CF51" s="141">
        <v>1260</v>
      </c>
      <c r="CG51" s="141">
        <f>+CF51</f>
        <v>1260</v>
      </c>
      <c r="CH51" s="141">
        <f t="shared" ref="CH51:CL51" si="210">+CG51</f>
        <v>1260</v>
      </c>
      <c r="CI51" s="141">
        <f t="shared" si="210"/>
        <v>1260</v>
      </c>
      <c r="CJ51" s="141">
        <f t="shared" si="210"/>
        <v>1260</v>
      </c>
      <c r="CK51" s="141">
        <f t="shared" si="210"/>
        <v>1260</v>
      </c>
      <c r="CL51" s="141">
        <f t="shared" si="210"/>
        <v>1260</v>
      </c>
      <c r="CM51" s="141"/>
      <c r="CN51" s="141"/>
      <c r="CO51" s="79"/>
      <c r="CP51" s="79">
        <v>342.61</v>
      </c>
      <c r="CQ51" s="79">
        <v>364.19799999999998</v>
      </c>
      <c r="CR51" s="79">
        <v>404.642</v>
      </c>
      <c r="CS51" s="79">
        <v>412.95400000000001</v>
      </c>
      <c r="CT51" s="79">
        <v>402.21</v>
      </c>
      <c r="CU51" s="79">
        <v>462.01350000000002</v>
      </c>
      <c r="CV51" s="17">
        <v>473.8535</v>
      </c>
      <c r="CW51" s="82">
        <f>AVERAGE(S51:V51)*2</f>
        <v>938.63900000000001</v>
      </c>
      <c r="CX51" s="82">
        <f>AVERAGE(W51:Z51)</f>
        <v>964.74024999999995</v>
      </c>
      <c r="CY51" s="82">
        <f>AVERAGE(AA51:AD51)</f>
        <v>960.6925</v>
      </c>
      <c r="CZ51" s="104">
        <f>AVERAGE(AE51:AH51)</f>
        <v>934.13075000000003</v>
      </c>
      <c r="DA51" s="104">
        <f>AVERAGE(AI51:AL51)</f>
        <v>873.88425000000007</v>
      </c>
      <c r="DB51" s="82">
        <f>AL51</f>
        <v>821.89099999999996</v>
      </c>
      <c r="DC51" s="82">
        <f>AVERAGE(AQ51:AT51)</f>
        <v>996.78424999999993</v>
      </c>
      <c r="DD51" s="82">
        <f>AVERAGE(AU51:AX51)</f>
        <v>1686.38375</v>
      </c>
      <c r="DE51" s="82">
        <f>AVERAGE(AY51:BB51)</f>
        <v>1683.0715</v>
      </c>
      <c r="DF51" s="82">
        <f t="shared" ref="DF51:DH51" si="211">DE51</f>
        <v>1683.0715</v>
      </c>
      <c r="DG51" s="82">
        <f t="shared" si="211"/>
        <v>1683.0715</v>
      </c>
      <c r="DH51" s="141">
        <f t="shared" si="211"/>
        <v>1683.0715</v>
      </c>
      <c r="DI51" s="141">
        <f>DH51</f>
        <v>1683.0715</v>
      </c>
      <c r="DJ51" s="141">
        <f>DI51</f>
        <v>1683.0715</v>
      </c>
      <c r="DK51" s="141">
        <f>DJ51</f>
        <v>1683.0715</v>
      </c>
      <c r="DL51" s="141">
        <f t="shared" ref="DL51:DP51" si="212">DK51</f>
        <v>1683.0715</v>
      </c>
      <c r="DM51" s="141">
        <f t="shared" si="212"/>
        <v>1683.0715</v>
      </c>
      <c r="DN51" s="79">
        <f t="shared" si="212"/>
        <v>1683.0715</v>
      </c>
      <c r="DO51" s="79">
        <f t="shared" si="212"/>
        <v>1683.0715</v>
      </c>
      <c r="DP51" s="79">
        <f t="shared" si="212"/>
        <v>1683.0715</v>
      </c>
      <c r="DQ51" s="79"/>
      <c r="DR51" s="79"/>
      <c r="DS51" s="79"/>
      <c r="DT51" s="79"/>
      <c r="DU51" s="79"/>
      <c r="DV51" s="79"/>
      <c r="DW51" s="79"/>
      <c r="DX51" s="79"/>
      <c r="DY51" s="79"/>
      <c r="DZ51" s="79"/>
    </row>
    <row r="52" spans="2:178" s="17" customFormat="1" x14ac:dyDescent="0.1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79"/>
      <c r="CP52" s="79"/>
      <c r="CQ52" s="79"/>
      <c r="CR52" s="79"/>
      <c r="CS52" s="79"/>
      <c r="CT52" s="79"/>
      <c r="CU52" s="79"/>
      <c r="CW52" s="82"/>
      <c r="CX52" s="82"/>
      <c r="CY52" s="82"/>
      <c r="CZ52" s="104"/>
      <c r="DA52" s="104"/>
      <c r="DB52" s="82"/>
      <c r="DC52" s="82"/>
      <c r="DD52" s="82"/>
      <c r="DE52" s="82"/>
      <c r="DF52" s="82"/>
      <c r="DG52" s="82"/>
      <c r="DH52" s="141"/>
      <c r="DI52" s="141"/>
      <c r="DJ52" s="141"/>
      <c r="DK52" s="140"/>
      <c r="DL52" s="141"/>
      <c r="DM52" s="141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</row>
    <row r="53" spans="2:178" s="24" customFormat="1" x14ac:dyDescent="0.15">
      <c r="B53" s="117" t="s">
        <v>589</v>
      </c>
      <c r="C53" s="78">
        <f t="shared" ref="C53:R53" si="213">(C39-C40)/C39</f>
        <v>-1.2395387762692951</v>
      </c>
      <c r="D53" s="78">
        <f t="shared" si="213"/>
        <v>-1.6299539854534659</v>
      </c>
      <c r="E53" s="78">
        <f t="shared" si="213"/>
        <v>-3.6581469648562304</v>
      </c>
      <c r="F53" s="78">
        <f t="shared" si="213"/>
        <v>-4.0005115089514067</v>
      </c>
      <c r="G53" s="78">
        <f t="shared" si="213"/>
        <v>-1.8943661971830985</v>
      </c>
      <c r="H53" s="78">
        <f t="shared" si="213"/>
        <v>-3.5637526652452025</v>
      </c>
      <c r="I53" s="78">
        <f t="shared" si="213"/>
        <v>-4.3202051282051279</v>
      </c>
      <c r="J53" s="78">
        <f t="shared" si="213"/>
        <v>-4.6163713080168778</v>
      </c>
      <c r="K53" s="78" t="e">
        <f t="shared" si="213"/>
        <v>#REF!</v>
      </c>
      <c r="L53" s="78" t="e">
        <f t="shared" si="213"/>
        <v>#REF!</v>
      </c>
      <c r="M53" s="78" t="e">
        <f t="shared" si="213"/>
        <v>#REF!</v>
      </c>
      <c r="N53" s="78" t="e">
        <f t="shared" si="213"/>
        <v>#REF!</v>
      </c>
      <c r="O53" s="78" t="e">
        <f t="shared" si="213"/>
        <v>#REF!</v>
      </c>
      <c r="P53" s="78" t="e">
        <f t="shared" si="213"/>
        <v>#REF!</v>
      </c>
      <c r="Q53" s="78" t="e">
        <f t="shared" si="213"/>
        <v>#REF!</v>
      </c>
      <c r="R53" s="78" t="e">
        <f t="shared" si="213"/>
        <v>#REF!</v>
      </c>
      <c r="S53" s="86" t="e">
        <f t="shared" ref="S53:AQ53" si="214">S41/S39</f>
        <v>#REF!</v>
      </c>
      <c r="T53" s="86" t="e">
        <f t="shared" si="214"/>
        <v>#REF!</v>
      </c>
      <c r="U53" s="86" t="e">
        <f t="shared" si="214"/>
        <v>#REF!</v>
      </c>
      <c r="V53" s="86" t="e">
        <f t="shared" si="214"/>
        <v>#REF!</v>
      </c>
      <c r="W53" s="86" t="e">
        <f t="shared" si="214"/>
        <v>#REF!</v>
      </c>
      <c r="X53" s="86" t="e">
        <f t="shared" si="214"/>
        <v>#REF!</v>
      </c>
      <c r="Y53" s="86" t="e">
        <f t="shared" si="214"/>
        <v>#REF!</v>
      </c>
      <c r="Z53" s="86" t="e">
        <f t="shared" si="214"/>
        <v>#REF!</v>
      </c>
      <c r="AA53" s="86" t="e">
        <f t="shared" si="214"/>
        <v>#REF!</v>
      </c>
      <c r="AB53" s="86" t="e">
        <f t="shared" si="214"/>
        <v>#REF!</v>
      </c>
      <c r="AC53" s="86" t="e">
        <f t="shared" si="214"/>
        <v>#REF!</v>
      </c>
      <c r="AD53" s="86" t="e">
        <f t="shared" si="214"/>
        <v>#REF!</v>
      </c>
      <c r="AE53" s="106">
        <f t="shared" si="214"/>
        <v>0.78688760242018752</v>
      </c>
      <c r="AF53" s="106">
        <f t="shared" si="214"/>
        <v>0.76906484210654125</v>
      </c>
      <c r="AG53" s="106">
        <f t="shared" si="214"/>
        <v>0.77256439336534199</v>
      </c>
      <c r="AH53" s="106">
        <f t="shared" si="214"/>
        <v>0.77777444204052615</v>
      </c>
      <c r="AI53" s="106">
        <f t="shared" si="214"/>
        <v>-0.40238087242687792</v>
      </c>
      <c r="AJ53" s="106">
        <f t="shared" si="214"/>
        <v>0.77400914475950899</v>
      </c>
      <c r="AK53" s="106">
        <f t="shared" si="214"/>
        <v>0.76264479377258387</v>
      </c>
      <c r="AL53" s="106">
        <f t="shared" si="214"/>
        <v>-6.0084880714108309</v>
      </c>
      <c r="AM53" s="106">
        <f t="shared" si="214"/>
        <v>0.75075374084142454</v>
      </c>
      <c r="AN53" s="106">
        <f t="shared" si="214"/>
        <v>0.7502106676186675</v>
      </c>
      <c r="AO53" s="86">
        <f t="shared" si="214"/>
        <v>0.74931674677221749</v>
      </c>
      <c r="AP53" s="86">
        <f t="shared" si="214"/>
        <v>0.73438790971369461</v>
      </c>
      <c r="AQ53" s="86">
        <f t="shared" si="214"/>
        <v>0.74547908847032285</v>
      </c>
      <c r="AR53" s="86">
        <f t="shared" ref="AR53:AS53" si="215">AR41/AR39</f>
        <v>0.74332754306735527</v>
      </c>
      <c r="AS53" s="86">
        <f t="shared" si="215"/>
        <v>0.75386559861402613</v>
      </c>
      <c r="AT53" s="86">
        <f t="shared" ref="AT53:AU53" si="216">AT41/AT39</f>
        <v>0.73889351443137052</v>
      </c>
      <c r="AU53" s="86">
        <f t="shared" si="216"/>
        <v>0.74939199371157383</v>
      </c>
      <c r="AV53" s="86">
        <f t="shared" ref="AV53:BB53" si="217">AV41/AV39</f>
        <v>0.76123132448794784</v>
      </c>
      <c r="AW53" s="86">
        <f t="shared" si="217"/>
        <v>0.76326966080968572</v>
      </c>
      <c r="AX53" s="86">
        <f t="shared" si="217"/>
        <v>0.75079251214651077</v>
      </c>
      <c r="AY53" s="86">
        <f t="shared" si="217"/>
        <v>0.87770786540229617</v>
      </c>
      <c r="AZ53" s="86">
        <f>AZ41/AZ39</f>
        <v>0.88936972109895418</v>
      </c>
      <c r="BA53" s="86">
        <f t="shared" si="217"/>
        <v>0.88</v>
      </c>
      <c r="BB53" s="86">
        <f t="shared" si="217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5">
        <f t="shared" ref="BQ53" si="218">BQ41/BQ39</f>
        <v>0.80593280914939247</v>
      </c>
      <c r="BR53" s="145">
        <f t="shared" ref="BR53:BS53" si="219">BR41/BR39</f>
        <v>0.78308886971527181</v>
      </c>
      <c r="BS53" s="145">
        <f t="shared" si="219"/>
        <v>0.87237265669380804</v>
      </c>
      <c r="BT53" s="86"/>
      <c r="BU53" s="145">
        <f t="shared" ref="BU53" si="220">BU41/BU39</f>
        <v>0.81531049250535337</v>
      </c>
      <c r="BV53" s="145">
        <f t="shared" ref="BV53:BW53" si="221">BV41/BV39</f>
        <v>0.75897261439020236</v>
      </c>
      <c r="BW53" s="145">
        <f t="shared" si="221"/>
        <v>0.87328767123287676</v>
      </c>
      <c r="BX53" s="145">
        <f t="shared" ref="BX53:BZ53" si="222">BX41/BX39</f>
        <v>0.84483764339879452</v>
      </c>
      <c r="BY53" s="145">
        <f t="shared" si="222"/>
        <v>0.86696062034362176</v>
      </c>
      <c r="BZ53" s="145">
        <f t="shared" si="222"/>
        <v>0.87629699501414904</v>
      </c>
      <c r="CA53" s="145">
        <f t="shared" ref="CA53:CE53" si="223">CA41/CA39</f>
        <v>0.86688463334890242</v>
      </c>
      <c r="CB53" s="145">
        <f t="shared" ref="CB53" si="224">CB41/CB39</f>
        <v>0.86552999839150713</v>
      </c>
      <c r="CC53" s="145">
        <f t="shared" ref="CC53" si="225">CC41/CC39</f>
        <v>0.90082199164533083</v>
      </c>
      <c r="CD53" s="145">
        <f t="shared" si="223"/>
        <v>0.70854618252105483</v>
      </c>
      <c r="CE53" s="145">
        <f t="shared" si="223"/>
        <v>0.87479131886477457</v>
      </c>
      <c r="CF53" s="145">
        <f t="shared" ref="CF53:CL53" si="226">CF41/CF39</f>
        <v>0.85848905925570995</v>
      </c>
      <c r="CG53" s="145">
        <f t="shared" si="226"/>
        <v>0.85</v>
      </c>
      <c r="CH53" s="145">
        <f t="shared" si="226"/>
        <v>0.85</v>
      </c>
      <c r="CI53" s="145">
        <f t="shared" si="226"/>
        <v>0.84999999999999987</v>
      </c>
      <c r="CJ53" s="145">
        <f t="shared" si="226"/>
        <v>0.85</v>
      </c>
      <c r="CK53" s="145">
        <f t="shared" si="226"/>
        <v>0.85</v>
      </c>
      <c r="CL53" s="145">
        <f t="shared" si="226"/>
        <v>0.85</v>
      </c>
      <c r="CM53" s="145"/>
      <c r="CN53" s="145"/>
      <c r="CO53" s="158"/>
      <c r="CP53" s="158">
        <f t="shared" ref="CP53:CW53" si="227">(CP39-CP40)/CP39</f>
        <v>1</v>
      </c>
      <c r="CQ53" s="158">
        <f t="shared" si="227"/>
        <v>1</v>
      </c>
      <c r="CR53" s="158">
        <f t="shared" si="227"/>
        <v>1</v>
      </c>
      <c r="CS53" s="158">
        <f t="shared" si="227"/>
        <v>1</v>
      </c>
      <c r="CT53" s="158">
        <f t="shared" si="227"/>
        <v>1</v>
      </c>
      <c r="CU53" s="158">
        <f t="shared" si="227"/>
        <v>1</v>
      </c>
      <c r="CV53" s="24">
        <f t="shared" si="227"/>
        <v>1</v>
      </c>
      <c r="CW53" s="78">
        <f t="shared" si="227"/>
        <v>1</v>
      </c>
      <c r="CX53" s="78">
        <f>CX41/CX39</f>
        <v>0</v>
      </c>
      <c r="CY53" s="78">
        <f t="shared" ref="CY53:DB53" si="228">(CY39-CY40)/CY39</f>
        <v>1</v>
      </c>
      <c r="CZ53" s="137">
        <f t="shared" si="228"/>
        <v>0.77637888696299129</v>
      </c>
      <c r="DA53" s="137">
        <f t="shared" si="228"/>
        <v>0.45674803683715687</v>
      </c>
      <c r="DB53" s="78">
        <f t="shared" si="228"/>
        <v>0.74594373840739259</v>
      </c>
      <c r="DC53" s="78">
        <f>DC41/DC39</f>
        <v>0.74528640351776765</v>
      </c>
      <c r="DD53" s="78">
        <f>DD41/DD39</f>
        <v>0.75615460812691804</v>
      </c>
      <c r="DE53" s="78">
        <f t="shared" ref="DE53:DK53" si="229">DE41/DE39</f>
        <v>0.88</v>
      </c>
      <c r="DF53" s="78">
        <f t="shared" si="229"/>
        <v>0.88</v>
      </c>
      <c r="DG53" s="78">
        <f t="shared" si="229"/>
        <v>0.88</v>
      </c>
      <c r="DH53" s="170" t="e">
        <f t="shared" si="229"/>
        <v>#DIV/0!</v>
      </c>
      <c r="DI53" s="170" t="e">
        <f t="shared" si="229"/>
        <v>#DIV/0!</v>
      </c>
      <c r="DJ53" s="170" t="e">
        <f t="shared" si="229"/>
        <v>#DIV/0!</v>
      </c>
      <c r="DK53" s="170">
        <f t="shared" si="229"/>
        <v>0.88</v>
      </c>
      <c r="DL53" s="170">
        <f t="shared" ref="DL53:DP53" si="230">DL41/DL39</f>
        <v>0.88</v>
      </c>
      <c r="DM53" s="170">
        <f t="shared" si="230"/>
        <v>0.87999999999999989</v>
      </c>
      <c r="DN53" s="158">
        <f t="shared" si="230"/>
        <v>0.88</v>
      </c>
      <c r="DO53" s="158">
        <f t="shared" si="230"/>
        <v>0.88</v>
      </c>
      <c r="DP53" s="158">
        <f t="shared" si="230"/>
        <v>0.88</v>
      </c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</row>
    <row r="54" spans="2:178" s="24" customFormat="1" x14ac:dyDescent="0.15">
      <c r="B54" s="24" t="s">
        <v>471</v>
      </c>
      <c r="C54" s="78">
        <f t="shared" ref="C54:AP54" si="231">C48/C47</f>
        <v>1.354160813620273E-2</v>
      </c>
      <c r="D54" s="78">
        <f t="shared" si="231"/>
        <v>-8.9486086175942538E-3</v>
      </c>
      <c r="E54" s="78">
        <f t="shared" si="231"/>
        <v>-7.2162378471994446E-3</v>
      </c>
      <c r="F54" s="78">
        <f t="shared" si="231"/>
        <v>-1.210076473234368E-2</v>
      </c>
      <c r="G54" s="78">
        <f t="shared" si="231"/>
        <v>-2.9383174266525272E-2</v>
      </c>
      <c r="H54" s="78">
        <f t="shared" si="231"/>
        <v>-5.2167291355558414E-2</v>
      </c>
      <c r="I54" s="78">
        <f t="shared" si="231"/>
        <v>-3.9544545314663795E-2</v>
      </c>
      <c r="J54" s="78">
        <f t="shared" si="231"/>
        <v>0.79639056679380826</v>
      </c>
      <c r="K54" s="78" t="e">
        <f t="shared" si="231"/>
        <v>#REF!</v>
      </c>
      <c r="L54" s="78" t="e">
        <f t="shared" si="231"/>
        <v>#REF!</v>
      </c>
      <c r="M54" s="78" t="e">
        <f t="shared" si="231"/>
        <v>#REF!</v>
      </c>
      <c r="N54" s="78" t="e">
        <f t="shared" si="231"/>
        <v>#REF!</v>
      </c>
      <c r="O54" s="78" t="e">
        <f t="shared" si="231"/>
        <v>#REF!</v>
      </c>
      <c r="P54" s="78" t="e">
        <f t="shared" si="231"/>
        <v>#REF!</v>
      </c>
      <c r="Q54" s="78" t="e">
        <f t="shared" si="231"/>
        <v>#REF!</v>
      </c>
      <c r="R54" s="78" t="e">
        <f t="shared" si="231"/>
        <v>#REF!</v>
      </c>
      <c r="S54" s="86" t="e">
        <f t="shared" si="231"/>
        <v>#REF!</v>
      </c>
      <c r="T54" s="86" t="e">
        <f t="shared" si="231"/>
        <v>#REF!</v>
      </c>
      <c r="U54" s="86" t="e">
        <f t="shared" si="231"/>
        <v>#REF!</v>
      </c>
      <c r="V54" s="86" t="e">
        <f t="shared" si="231"/>
        <v>#REF!</v>
      </c>
      <c r="W54" s="86" t="e">
        <f t="shared" si="231"/>
        <v>#REF!</v>
      </c>
      <c r="X54" s="86" t="e">
        <f t="shared" si="231"/>
        <v>#REF!</v>
      </c>
      <c r="Y54" s="86" t="e">
        <f t="shared" si="231"/>
        <v>#REF!</v>
      </c>
      <c r="Z54" s="86" t="e">
        <f t="shared" si="231"/>
        <v>#REF!</v>
      </c>
      <c r="AA54" s="86" t="e">
        <f t="shared" si="231"/>
        <v>#REF!</v>
      </c>
      <c r="AB54" s="86" t="e">
        <f t="shared" si="231"/>
        <v>#REF!</v>
      </c>
      <c r="AC54" s="86" t="e">
        <f t="shared" si="231"/>
        <v>#REF!</v>
      </c>
      <c r="AD54" s="86" t="e">
        <f t="shared" si="231"/>
        <v>#REF!</v>
      </c>
      <c r="AE54" s="106">
        <f t="shared" si="231"/>
        <v>-0.25929395570255515</v>
      </c>
      <c r="AF54" s="106">
        <f t="shared" si="231"/>
        <v>-0.23279568615340762</v>
      </c>
      <c r="AG54" s="106">
        <f t="shared" si="231"/>
        <v>-0.23044665424227964</v>
      </c>
      <c r="AH54" s="106">
        <f t="shared" si="231"/>
        <v>-0.24217749153256243</v>
      </c>
      <c r="AI54" s="106">
        <f t="shared" si="231"/>
        <v>0.59808503049867867</v>
      </c>
      <c r="AJ54" s="106">
        <f t="shared" si="231"/>
        <v>-0.28362672837982245</v>
      </c>
      <c r="AK54" s="106">
        <f t="shared" si="231"/>
        <v>-0.2664619929619278</v>
      </c>
      <c r="AL54" s="106">
        <f t="shared" si="231"/>
        <v>0.18964453160541223</v>
      </c>
      <c r="AM54" s="106">
        <f t="shared" si="231"/>
        <v>-0.2668484841360339</v>
      </c>
      <c r="AN54" s="106">
        <f t="shared" si="231"/>
        <v>0.24438498700881037</v>
      </c>
      <c r="AO54" s="86">
        <f t="shared" si="231"/>
        <v>-0.24336237826755505</v>
      </c>
      <c r="AP54" s="86">
        <f t="shared" si="231"/>
        <v>0.19183653032388392</v>
      </c>
      <c r="AQ54" s="86">
        <f t="shared" ref="AQ54:AV54" si="232">AQ48/AQ47</f>
        <v>0.34582727176222416</v>
      </c>
      <c r="AR54" s="86">
        <f t="shared" si="232"/>
        <v>0.27178761529250761</v>
      </c>
      <c r="AS54" s="86">
        <f t="shared" si="232"/>
        <v>0.28975477532549593</v>
      </c>
      <c r="AT54" s="86">
        <f t="shared" si="232"/>
        <v>0.25490271072315052</v>
      </c>
      <c r="AU54" s="86">
        <f t="shared" si="232"/>
        <v>0.23659891846815595</v>
      </c>
      <c r="AV54" s="86">
        <f t="shared" si="232"/>
        <v>0.26024129913654853</v>
      </c>
      <c r="AW54" s="86">
        <f t="shared" ref="AW54:BB54" si="233">AW48/AW47</f>
        <v>0.24690020781203609</v>
      </c>
      <c r="AX54" s="86">
        <f t="shared" si="233"/>
        <v>0.25557130248155174</v>
      </c>
      <c r="AY54" s="86">
        <f t="shared" si="233"/>
        <v>0.2243470316473456</v>
      </c>
      <c r="AZ54" s="86">
        <f>AZ48/AZ47</f>
        <v>0.14179549340908959</v>
      </c>
      <c r="BA54" s="86">
        <f t="shared" si="233"/>
        <v>0.25</v>
      </c>
      <c r="BB54" s="86">
        <f t="shared" si="233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5">
        <f t="shared" ref="BQ54" si="234">BQ48/BQ47</f>
        <v>0.21283783783783783</v>
      </c>
      <c r="BR54" s="145">
        <f t="shared" ref="BR54:BS54" si="235">BR48/BR47</f>
        <v>0.24262029923170239</v>
      </c>
      <c r="BS54" s="145">
        <f t="shared" si="235"/>
        <v>0.16399843811011325</v>
      </c>
      <c r="BT54" s="86"/>
      <c r="BU54" s="145">
        <f t="shared" ref="BU54" si="236">BU48/BU47</f>
        <v>0.22385076615589608</v>
      </c>
      <c r="BV54" s="145">
        <f t="shared" ref="BV54:BW54" si="237">BV48/BV47</f>
        <v>0.2944936086529007</v>
      </c>
      <c r="BW54" s="145">
        <f t="shared" si="237"/>
        <v>0.19252548131370328</v>
      </c>
      <c r="BX54" s="145">
        <f t="shared" ref="BX54:BZ54" si="238">BX48/BX47</f>
        <v>0.18603491271820449</v>
      </c>
      <c r="BY54" s="145">
        <f t="shared" si="238"/>
        <v>0.15894446149125499</v>
      </c>
      <c r="BZ54" s="145">
        <f t="shared" si="238"/>
        <v>0.155915622133904</v>
      </c>
      <c r="CA54" s="145">
        <f t="shared" ref="CA54" si="239">CA48/CA47</f>
        <v>9.8601398601398604E-2</v>
      </c>
      <c r="CB54" s="145">
        <f t="shared" ref="CB54" si="240">CB48/CB47</f>
        <v>0.10756543564001435</v>
      </c>
      <c r="CC54" s="145">
        <f t="shared" ref="CC54" si="241">CC48/CC47</f>
        <v>0.17839922854387658</v>
      </c>
      <c r="CD54" s="145">
        <f>CD48/CD47</f>
        <v>0.28301886792452829</v>
      </c>
      <c r="CE54" s="145">
        <f t="shared" ref="CE54:CF54" si="242">CE48/CE47</f>
        <v>0.15689981096408318</v>
      </c>
      <c r="CF54" s="145">
        <f t="shared" si="242"/>
        <v>0.13246940244780417</v>
      </c>
      <c r="CG54" s="145">
        <f t="shared" ref="CG54:CL54" si="243">CG48/CG47</f>
        <v>0.2</v>
      </c>
      <c r="CH54" s="145">
        <f t="shared" si="243"/>
        <v>0.2</v>
      </c>
      <c r="CI54" s="145">
        <f t="shared" si="243"/>
        <v>0.2</v>
      </c>
      <c r="CJ54" s="145">
        <f t="shared" si="243"/>
        <v>0.2</v>
      </c>
      <c r="CK54" s="145">
        <f t="shared" si="243"/>
        <v>0.2</v>
      </c>
      <c r="CL54" s="145">
        <f t="shared" si="243"/>
        <v>0.2</v>
      </c>
      <c r="CM54" s="145"/>
      <c r="CN54" s="145"/>
      <c r="CO54" s="158"/>
      <c r="CP54" s="158">
        <f t="shared" ref="CP54:CV54" si="244">CP48/CP47</f>
        <v>-4.4316905801621963E-3</v>
      </c>
      <c r="CQ54" s="158">
        <f t="shared" si="244"/>
        <v>-5.9624450500268544E-3</v>
      </c>
      <c r="CR54" s="158">
        <f t="shared" si="244"/>
        <v>-1.3825593564328295E-2</v>
      </c>
      <c r="CS54" s="158">
        <f t="shared" si="244"/>
        <v>-4.2259793707191649E-3</v>
      </c>
      <c r="CT54" s="158">
        <f t="shared" si="244"/>
        <v>0.2253661344506096</v>
      </c>
      <c r="CU54" s="158">
        <f t="shared" si="244"/>
        <v>-0.40223603691112159</v>
      </c>
      <c r="CV54" s="24">
        <f t="shared" si="244"/>
        <v>-0.57021660467005109</v>
      </c>
      <c r="CW54" s="78">
        <v>0.32412483010798065</v>
      </c>
      <c r="CX54" s="78"/>
      <c r="CY54" s="78">
        <f>CY48/CY47</f>
        <v>-0.5683885728047201</v>
      </c>
      <c r="CZ54" s="137">
        <f>CZ48/CZ47</f>
        <v>-0.24093652318768316</v>
      </c>
      <c r="DA54" s="137">
        <f>DA48/DA47</f>
        <v>-1.6878999359005504</v>
      </c>
      <c r="DB54" s="78">
        <v>0.26</v>
      </c>
      <c r="DC54" s="78">
        <f>DC48/DC47</f>
        <v>0.28547232523035515</v>
      </c>
      <c r="DD54" s="78">
        <f>DD48/DD47</f>
        <v>0.25060927421627854</v>
      </c>
      <c r="DE54" s="78">
        <f t="shared" ref="DE54:DK54" si="245">DE48/DE47</f>
        <v>0.19549503078880806</v>
      </c>
      <c r="DF54" s="78">
        <f t="shared" si="245"/>
        <v>0.245</v>
      </c>
      <c r="DG54" s="78">
        <f t="shared" si="245"/>
        <v>0.245</v>
      </c>
      <c r="DH54" s="170">
        <f t="shared" si="245"/>
        <v>0.245</v>
      </c>
      <c r="DI54" s="170">
        <f t="shared" si="245"/>
        <v>0.245</v>
      </c>
      <c r="DJ54" s="170">
        <f t="shared" si="245"/>
        <v>0.245</v>
      </c>
      <c r="DK54" s="170">
        <f t="shared" si="245"/>
        <v>0.245</v>
      </c>
      <c r="DL54" s="170">
        <f t="shared" ref="DL54:DP54" si="246">DL48/DL47</f>
        <v>0.245</v>
      </c>
      <c r="DM54" s="170">
        <f t="shared" si="246"/>
        <v>0.245</v>
      </c>
      <c r="DN54" s="158">
        <f t="shared" si="246"/>
        <v>0.245</v>
      </c>
      <c r="DO54" s="158">
        <f t="shared" si="246"/>
        <v>0.245</v>
      </c>
      <c r="DP54" s="158">
        <f t="shared" si="246"/>
        <v>0.245</v>
      </c>
      <c r="DQ54" s="158"/>
      <c r="DR54" s="158"/>
      <c r="DS54" s="158"/>
      <c r="DT54" s="171" t="s">
        <v>592</v>
      </c>
      <c r="DU54" s="172">
        <v>-0.05</v>
      </c>
      <c r="DV54" s="158"/>
      <c r="DW54" s="158"/>
      <c r="DX54" s="158"/>
      <c r="DY54" s="158"/>
      <c r="DZ54" s="158"/>
    </row>
    <row r="55" spans="2:178" s="28" customFormat="1" x14ac:dyDescent="0.15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59"/>
      <c r="CP55" s="159"/>
      <c r="CQ55" s="159"/>
      <c r="CR55" s="159"/>
      <c r="CS55" s="159"/>
      <c r="CT55" s="159"/>
      <c r="CU55" s="159"/>
      <c r="CW55" s="84"/>
      <c r="CX55" s="84"/>
      <c r="CY55" s="84"/>
      <c r="CZ55" s="107"/>
      <c r="DA55" s="107"/>
      <c r="DB55" s="84"/>
      <c r="DC55" s="84"/>
      <c r="DD55" s="84"/>
      <c r="DE55" s="84"/>
      <c r="DF55" s="84"/>
      <c r="DG55" s="138"/>
      <c r="DH55" s="146"/>
      <c r="DI55" s="146"/>
      <c r="DJ55" s="146"/>
      <c r="DK55" s="146"/>
      <c r="DL55" s="146"/>
      <c r="DM55" s="146"/>
      <c r="DN55" s="159"/>
      <c r="DO55" s="159"/>
      <c r="DP55" s="159"/>
      <c r="DQ55" s="159"/>
      <c r="DR55" s="159"/>
      <c r="DS55" s="159"/>
      <c r="DT55" s="173" t="s">
        <v>593</v>
      </c>
      <c r="DU55" s="174">
        <v>5.0000000000000001E-3</v>
      </c>
      <c r="DV55" s="159"/>
      <c r="DW55" s="159"/>
      <c r="DX55" s="159"/>
      <c r="DY55" s="159"/>
      <c r="DZ55" s="159"/>
    </row>
    <row r="56" spans="2:178" s="148" customFormat="1" x14ac:dyDescent="0.15">
      <c r="B56" s="148" t="s">
        <v>702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51"/>
      <c r="BX56" s="151"/>
      <c r="BY56" s="152">
        <f t="shared" ref="BY56:CE56" si="247">BY39/BU39-1</f>
        <v>0.17362598144182728</v>
      </c>
      <c r="BZ56" s="152">
        <f t="shared" si="247"/>
        <v>0.26228950501786019</v>
      </c>
      <c r="CA56" s="152">
        <f t="shared" si="247"/>
        <v>0.15771449170872387</v>
      </c>
      <c r="CB56" s="152">
        <f t="shared" si="247"/>
        <v>0.20882753256853981</v>
      </c>
      <c r="CC56" s="152">
        <f t="shared" si="247"/>
        <v>0.12832598449140953</v>
      </c>
      <c r="CD56" s="152">
        <f t="shared" si="247"/>
        <v>-2.39859857162108E-2</v>
      </c>
      <c r="CE56" s="152">
        <f t="shared" si="247"/>
        <v>2.584462089366335E-2</v>
      </c>
      <c r="CF56" s="152">
        <f t="shared" ref="CF56" si="248">CF39/CB39-1</f>
        <v>7.0773685057101687E-3</v>
      </c>
      <c r="CG56" s="152">
        <f t="shared" ref="CG56" si="249">CG39/CC39-1</f>
        <v>-3.8269774962943037E-2</v>
      </c>
      <c r="CH56" s="152">
        <f t="shared" ref="CH56" si="250">CH39/CD39-1</f>
        <v>-1.2638409498826442E-2</v>
      </c>
      <c r="CI56" s="152">
        <f t="shared" ref="CI56" si="251">CI39/CE39-1</f>
        <v>-6.4304143269083847E-3</v>
      </c>
      <c r="CJ56" s="152">
        <f t="shared" ref="CJ56" si="252">CJ39/CF39-1</f>
        <v>0.1329819517648938</v>
      </c>
      <c r="CK56" s="152">
        <f t="shared" ref="CK56" si="253">CK39/CG39-1</f>
        <v>3.1932184391200824E-2</v>
      </c>
      <c r="CL56" s="152">
        <f t="shared" ref="CL56" si="254">CL39/CH39-1</f>
        <v>3.1881489933524021E-2</v>
      </c>
      <c r="CM56" s="151"/>
      <c r="CN56" s="151"/>
      <c r="CO56" s="160"/>
      <c r="CP56" s="160"/>
      <c r="CQ56" s="160"/>
      <c r="CR56" s="160"/>
      <c r="CS56" s="160"/>
      <c r="CT56" s="160"/>
      <c r="CU56" s="160"/>
      <c r="CW56" s="149"/>
      <c r="CX56" s="149"/>
      <c r="CY56" s="149"/>
      <c r="CZ56" s="150"/>
      <c r="DA56" s="150"/>
      <c r="DB56" s="149"/>
      <c r="DC56" s="149"/>
      <c r="DD56" s="149"/>
      <c r="DE56" s="149"/>
      <c r="DF56" s="149"/>
      <c r="DG56" s="153"/>
      <c r="DH56" s="151"/>
      <c r="DI56" s="151"/>
      <c r="DJ56" s="151"/>
      <c r="DK56" s="151"/>
      <c r="DL56" s="151"/>
      <c r="DM56" s="151"/>
      <c r="DN56" s="160"/>
      <c r="DO56" s="160"/>
      <c r="DP56" s="160"/>
      <c r="DQ56" s="160"/>
      <c r="DR56" s="160"/>
      <c r="DS56" s="160"/>
      <c r="DT56" s="154" t="s">
        <v>594</v>
      </c>
      <c r="DU56" s="172">
        <v>0.06</v>
      </c>
      <c r="DV56" s="160"/>
      <c r="DW56" s="160"/>
      <c r="DX56" s="160"/>
      <c r="DY56" s="160"/>
      <c r="DZ56" s="160"/>
    </row>
    <row r="57" spans="2:178" s="28" customFormat="1" x14ac:dyDescent="0.15">
      <c r="B57" s="119" t="s">
        <v>701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146"/>
      <c r="BX57" s="146"/>
      <c r="BY57" s="147">
        <f t="shared" ref="BY57:CD57" si="255">BY3/BU3-1</f>
        <v>7.3342736248237062E-2</v>
      </c>
      <c r="BZ57" s="147">
        <f t="shared" si="255"/>
        <v>-6.7303517151541481E-2</v>
      </c>
      <c r="CA57" s="147">
        <f t="shared" si="255"/>
        <v>-0.12794047047527601</v>
      </c>
      <c r="CB57" s="147">
        <f t="shared" si="255"/>
        <v>-2.0312112955164774E-2</v>
      </c>
      <c r="CC57" s="147">
        <f t="shared" si="255"/>
        <v>-7.8405606657906302E-2</v>
      </c>
      <c r="CD57" s="147">
        <f t="shared" si="255"/>
        <v>5.2607076350093207E-2</v>
      </c>
      <c r="CE57" s="147">
        <f>CE3/CA3-1</f>
        <v>2.2570878062207589E-2</v>
      </c>
      <c r="CF57" s="147">
        <f t="shared" ref="CF57" si="256">CF3/CB3-1</f>
        <v>7.0290771175727018E-2</v>
      </c>
      <c r="CG57" s="147">
        <f t="shared" ref="CG57" si="257">CG3/CC3-1</f>
        <v>7.1055133079847899E-2</v>
      </c>
      <c r="CH57" s="147">
        <f t="shared" ref="CH57" si="258">CH3/CD3-1</f>
        <v>-1.2251216275983579E-3</v>
      </c>
      <c r="CI57" s="147">
        <f t="shared" ref="CI57" si="259">CI3/CE3-1</f>
        <v>5.1582772543741662E-2</v>
      </c>
      <c r="CJ57" s="147">
        <f t="shared" ref="CJ57" si="260">CJ3/CF3-1</f>
        <v>5.0933144342074188E-2</v>
      </c>
      <c r="CK57" s="147">
        <f t="shared" ref="CK57" si="261">CK3/CG3-1</f>
        <v>4.6128244952296615E-2</v>
      </c>
      <c r="CL57" s="147">
        <f t="shared" ref="CL57" si="262">CL3/CH3-1</f>
        <v>4.6053590644000053E-2</v>
      </c>
      <c r="CM57" s="146"/>
      <c r="CN57" s="146"/>
      <c r="CO57" s="159"/>
      <c r="CP57" s="159"/>
      <c r="CQ57" s="159"/>
      <c r="CR57" s="159"/>
      <c r="CS57" s="159"/>
      <c r="CT57" s="159"/>
      <c r="CU57" s="159"/>
      <c r="CW57" s="84"/>
      <c r="CX57" s="84"/>
      <c r="CY57" s="84"/>
      <c r="CZ57" s="107"/>
      <c r="DA57" s="107"/>
      <c r="DB57" s="84"/>
      <c r="DC57" s="84"/>
      <c r="DD57" s="84"/>
      <c r="DE57" s="84"/>
      <c r="DF57" s="84"/>
      <c r="DG57" s="138"/>
      <c r="DH57" s="146"/>
      <c r="DI57" s="146"/>
      <c r="DJ57" s="146"/>
      <c r="DK57" s="146"/>
      <c r="DL57" s="146"/>
      <c r="DM57" s="146"/>
      <c r="DN57" s="159"/>
      <c r="DO57" s="159"/>
      <c r="DP57" s="159"/>
      <c r="DQ57" s="159"/>
      <c r="DR57" s="159"/>
      <c r="DS57" s="159"/>
      <c r="DT57" s="154" t="s">
        <v>595</v>
      </c>
      <c r="DU57" s="156">
        <f>NPV(DU56,DF49:FW49)+DE49</f>
        <v>58664.670008187953</v>
      </c>
      <c r="DV57" s="159"/>
      <c r="DW57" s="159"/>
      <c r="DX57" s="159"/>
      <c r="DY57" s="159"/>
      <c r="DZ57" s="159"/>
    </row>
    <row r="58" spans="2:178" s="28" customFormat="1" x14ac:dyDescent="0.15">
      <c r="B58" s="119" t="s">
        <v>703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6"/>
      <c r="BX58" s="146"/>
      <c r="BY58" s="147">
        <f t="shared" ref="BY58:CE58" si="263">+BY9/BU9-1</f>
        <v>0.50198570293884037</v>
      </c>
      <c r="BZ58" s="147">
        <f t="shared" si="263"/>
        <v>0.31910828025477711</v>
      </c>
      <c r="CA58" s="147">
        <f t="shared" si="263"/>
        <v>7.7377436503248687E-2</v>
      </c>
      <c r="CB58" s="147">
        <f t="shared" si="263"/>
        <v>0.24314214463840389</v>
      </c>
      <c r="CC58" s="147">
        <f t="shared" si="263"/>
        <v>0.20359598096245368</v>
      </c>
      <c r="CD58" s="147">
        <f t="shared" si="263"/>
        <v>0.2216320618058909</v>
      </c>
      <c r="CE58" s="147">
        <f t="shared" si="263"/>
        <v>0.17927631578947367</v>
      </c>
      <c r="CF58" s="147">
        <f>+CF9/CB9-1</f>
        <v>0.28184553660982958</v>
      </c>
      <c r="CG58" s="147">
        <f>+CG9/CC9-1</f>
        <v>0.21528998242530761</v>
      </c>
      <c r="CH58" s="147">
        <f t="shared" ref="CH58:CL58" si="264">+CH9/CD9-1</f>
        <v>0.10000000000000009</v>
      </c>
      <c r="CI58" s="147">
        <f t="shared" si="264"/>
        <v>0.10000000000000009</v>
      </c>
      <c r="CJ58" s="147">
        <f t="shared" si="264"/>
        <v>0.10000000000000009</v>
      </c>
      <c r="CK58" s="147">
        <f t="shared" si="264"/>
        <v>0.10000000000000009</v>
      </c>
      <c r="CL58" s="147">
        <f t="shared" si="264"/>
        <v>0.10000000000000009</v>
      </c>
      <c r="CM58" s="146"/>
      <c r="CN58" s="146"/>
      <c r="CO58" s="159"/>
      <c r="CP58" s="159"/>
      <c r="CQ58" s="159"/>
      <c r="CR58" s="159"/>
      <c r="CS58" s="159"/>
      <c r="CT58" s="159"/>
      <c r="CU58" s="159"/>
      <c r="CW58" s="84"/>
      <c r="CX58" s="84"/>
      <c r="CY58" s="84"/>
      <c r="CZ58" s="107"/>
      <c r="DA58" s="107"/>
      <c r="DB58" s="84"/>
      <c r="DC58" s="84"/>
      <c r="DD58" s="84"/>
      <c r="DE58" s="84"/>
      <c r="DF58" s="84"/>
      <c r="DG58" s="138"/>
      <c r="DH58" s="146"/>
      <c r="DI58" s="146"/>
      <c r="DJ58" s="146"/>
      <c r="DK58" s="146"/>
      <c r="DL58" s="146"/>
      <c r="DM58" s="146"/>
      <c r="DN58" s="159"/>
      <c r="DO58" s="159"/>
      <c r="DP58" s="159"/>
      <c r="DQ58" s="159"/>
      <c r="DR58" s="159"/>
      <c r="DS58" s="159"/>
      <c r="DT58" s="154" t="s">
        <v>596</v>
      </c>
      <c r="DU58" s="175">
        <f>DU57/Main!J3</f>
        <v>46.805645566512915</v>
      </c>
      <c r="DV58" s="159"/>
      <c r="DW58" s="159"/>
      <c r="DX58" s="159"/>
      <c r="DY58" s="159"/>
      <c r="DZ58" s="159"/>
    </row>
    <row r="59" spans="2:178" s="28" customFormat="1" x14ac:dyDescent="0.15"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6"/>
      <c r="CO59" s="159"/>
      <c r="CP59" s="159"/>
      <c r="CQ59" s="159"/>
      <c r="CR59" s="159"/>
      <c r="CS59" s="159"/>
      <c r="CT59" s="159"/>
      <c r="CU59" s="159"/>
      <c r="CW59" s="84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47"/>
      <c r="DI59" s="147"/>
      <c r="DJ59" s="147"/>
      <c r="DK59" s="147"/>
      <c r="DL59" s="147"/>
      <c r="DM59" s="147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</row>
    <row r="60" spans="2:178" s="28" customFormat="1" x14ac:dyDescent="0.15">
      <c r="B60" s="119" t="s">
        <v>597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2">
        <f>+AZ61-AZ81</f>
        <v>76.768000000001848</v>
      </c>
      <c r="BA60" s="82">
        <f>+AZ60+BA49</f>
        <v>3823.8855400000025</v>
      </c>
      <c r="BB60" s="82">
        <f>+BA60+BB49</f>
        <v>7927.8230800000038</v>
      </c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>
        <f>+CF61-CF81</f>
        <v>-19216</v>
      </c>
      <c r="CG60" s="141">
        <f>+CF60+CG49</f>
        <v>-16192.44</v>
      </c>
      <c r="CH60" s="141">
        <f t="shared" ref="CH60:CL60" si="265">+CG60+CH49</f>
        <v>-14230.2472</v>
      </c>
      <c r="CI60" s="141">
        <f t="shared" si="265"/>
        <v>-11571.3388</v>
      </c>
      <c r="CJ60" s="141">
        <f t="shared" si="265"/>
        <v>-8646.8907999999992</v>
      </c>
      <c r="CK60" s="141">
        <f t="shared" si="265"/>
        <v>-5468.3587999999991</v>
      </c>
      <c r="CL60" s="141">
        <f t="shared" si="265"/>
        <v>-3351.1265439999988</v>
      </c>
      <c r="CM60" s="141"/>
      <c r="CN60" s="146"/>
      <c r="CO60" s="159"/>
      <c r="CP60" s="159"/>
      <c r="CQ60" s="159"/>
      <c r="CR60" s="159"/>
      <c r="CS60" s="159"/>
      <c r="CT60" s="159"/>
      <c r="CU60" s="159"/>
      <c r="CW60" s="84"/>
      <c r="CX60" s="84"/>
      <c r="CY60" s="84"/>
      <c r="CZ60" s="107"/>
      <c r="DA60" s="107"/>
      <c r="DB60" s="84"/>
      <c r="DC60" s="84"/>
      <c r="DD60" s="83"/>
      <c r="DE60" s="83">
        <f>+BB60</f>
        <v>7927.8230800000038</v>
      </c>
      <c r="DF60" s="83">
        <f t="shared" ref="DF60:DP60" si="266">+DE60+DF49</f>
        <v>26493.841120407007</v>
      </c>
      <c r="DG60" s="83">
        <f t="shared" si="266"/>
        <v>46176.200297264142</v>
      </c>
      <c r="DH60" s="143">
        <f t="shared" si="266"/>
        <v>44660.980228386317</v>
      </c>
      <c r="DI60" s="143">
        <f t="shared" si="266"/>
        <v>43140.040203748475</v>
      </c>
      <c r="DJ60" s="143">
        <f t="shared" si="266"/>
        <v>41613.358630517629</v>
      </c>
      <c r="DK60" s="143">
        <f t="shared" si="266"/>
        <v>46772.086234347829</v>
      </c>
      <c r="DL60" s="143">
        <f t="shared" si="266"/>
        <v>53233.244434882494</v>
      </c>
      <c r="DM60" s="143">
        <f t="shared" si="266"/>
        <v>58866.368307624172</v>
      </c>
      <c r="DN60" s="143">
        <f t="shared" si="266"/>
        <v>64761.934422985454</v>
      </c>
      <c r="DO60" s="143">
        <f t="shared" si="266"/>
        <v>64097.811260432223</v>
      </c>
      <c r="DP60" s="143">
        <f t="shared" si="266"/>
        <v>63353.087456940353</v>
      </c>
      <c r="DQ60" s="159"/>
      <c r="DR60" s="159"/>
      <c r="DS60" s="159"/>
      <c r="DT60" s="159"/>
      <c r="DU60" s="159"/>
      <c r="DV60" s="159"/>
      <c r="DW60" s="159"/>
      <c r="DX60" s="159"/>
      <c r="DY60" s="159"/>
      <c r="DZ60" s="159"/>
    </row>
    <row r="61" spans="2:178" s="75" customFormat="1" x14ac:dyDescent="0.15">
      <c r="B61" s="100" t="s">
        <v>46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83">
        <f>909.4+1347.8+3225</f>
        <v>5482.2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>
        <f>8730.522+68.546+782.315</f>
        <v>9581.3830000000016</v>
      </c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>
        <f>4739+924+1337</f>
        <v>7000</v>
      </c>
      <c r="CG61" s="143"/>
      <c r="CH61" s="143"/>
      <c r="CI61" s="143"/>
      <c r="CJ61" s="143"/>
      <c r="CK61" s="143"/>
      <c r="CL61" s="143"/>
      <c r="CM61" s="143"/>
      <c r="CN61" s="143"/>
      <c r="CO61" s="156"/>
      <c r="CP61" s="156"/>
      <c r="CQ61" s="156"/>
      <c r="CR61" s="156"/>
      <c r="CS61" s="156"/>
      <c r="CT61" s="156"/>
      <c r="CU61" s="156"/>
      <c r="CW61" s="83"/>
      <c r="CX61" s="83"/>
      <c r="CY61" s="83"/>
      <c r="CZ61" s="105"/>
      <c r="DA61" s="105"/>
      <c r="DB61" s="83"/>
      <c r="DC61" s="83"/>
      <c r="DD61" s="83"/>
      <c r="DE61" s="83"/>
      <c r="DF61" s="83"/>
      <c r="DG61" s="83"/>
      <c r="DH61" s="143"/>
      <c r="DI61" s="143"/>
      <c r="DJ61" s="143"/>
      <c r="DK61" s="143"/>
      <c r="DL61" s="143"/>
      <c r="DM61" s="143"/>
      <c r="DN61" s="156"/>
      <c r="DO61" s="156"/>
      <c r="DP61" s="156"/>
      <c r="DQ61" s="156"/>
      <c r="DR61" s="156"/>
      <c r="DS61" s="156"/>
      <c r="DT61" s="156"/>
      <c r="DU61" s="156"/>
      <c r="DV61" s="156"/>
      <c r="DW61" s="156"/>
      <c r="DX61" s="156"/>
      <c r="DY61" s="156"/>
      <c r="DZ61" s="156"/>
    </row>
    <row r="62" spans="2:178" s="75" customFormat="1" x14ac:dyDescent="0.15">
      <c r="B62" s="75" t="s">
        <v>441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>
        <v>1867.1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v>3436.7109999999998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>
        <v>4118</v>
      </c>
      <c r="CG62" s="143"/>
      <c r="CH62" s="143"/>
      <c r="CI62" s="143"/>
      <c r="CJ62" s="143"/>
      <c r="CK62" s="143"/>
      <c r="CL62" s="143"/>
      <c r="CM62" s="143"/>
      <c r="CN62" s="143"/>
      <c r="CO62" s="156"/>
      <c r="CP62" s="156"/>
      <c r="CQ62" s="156"/>
      <c r="CR62" s="156"/>
      <c r="CS62" s="156"/>
      <c r="CT62" s="156"/>
      <c r="CU62" s="156"/>
      <c r="CW62" s="83"/>
      <c r="CX62" s="83"/>
      <c r="CY62" s="83"/>
      <c r="CZ62" s="105"/>
      <c r="DA62" s="105"/>
      <c r="DB62" s="83"/>
      <c r="DC62" s="83"/>
      <c r="DD62" s="83"/>
      <c r="DE62" s="83"/>
      <c r="DF62" s="83"/>
      <c r="DG62" s="83"/>
      <c r="DH62" s="143"/>
      <c r="DI62" s="143"/>
      <c r="DJ62" s="143"/>
      <c r="DK62" s="143"/>
      <c r="DL62" s="143"/>
      <c r="DM62" s="143"/>
      <c r="DN62" s="156"/>
      <c r="DO62" s="156"/>
      <c r="DP62" s="156"/>
      <c r="DQ62" s="156"/>
      <c r="DR62" s="156"/>
      <c r="DS62" s="156"/>
      <c r="DT62" s="156"/>
      <c r="DU62" s="156"/>
      <c r="DV62" s="156"/>
      <c r="DW62" s="156"/>
      <c r="DX62" s="156"/>
      <c r="DY62" s="156"/>
      <c r="DZ62" s="156"/>
    </row>
    <row r="63" spans="2:178" s="75" customFormat="1" x14ac:dyDescent="0.15">
      <c r="B63" s="75" t="s">
        <v>440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1337.8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2068.7530000000002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>
        <v>1494</v>
      </c>
      <c r="CG63" s="143"/>
      <c r="CH63" s="143"/>
      <c r="CI63" s="143"/>
      <c r="CJ63" s="143"/>
      <c r="CK63" s="143"/>
      <c r="CL63" s="143"/>
      <c r="CM63" s="143"/>
      <c r="CN63" s="143"/>
      <c r="CO63" s="156"/>
      <c r="CP63" s="156"/>
      <c r="CQ63" s="156"/>
      <c r="CR63" s="156"/>
      <c r="CS63" s="156"/>
      <c r="CT63" s="156"/>
      <c r="CU63" s="156"/>
      <c r="CW63" s="83"/>
      <c r="CX63" s="83"/>
      <c r="CY63" s="83"/>
      <c r="CZ63" s="105"/>
      <c r="DA63" s="105"/>
      <c r="DB63" s="83"/>
      <c r="DC63" s="83"/>
      <c r="DD63" s="83"/>
      <c r="DE63" s="83"/>
      <c r="DF63" s="83"/>
      <c r="DG63" s="83"/>
      <c r="DH63" s="143"/>
      <c r="DI63" s="143"/>
      <c r="DJ63" s="143"/>
      <c r="DK63" s="143"/>
      <c r="DL63" s="143"/>
      <c r="DM63" s="143"/>
      <c r="DN63" s="156"/>
      <c r="DO63" s="156"/>
      <c r="DP63" s="156"/>
      <c r="DQ63" s="156"/>
      <c r="DR63" s="156"/>
      <c r="DS63" s="156"/>
      <c r="DT63" s="156"/>
      <c r="DU63" s="156"/>
      <c r="DV63" s="156"/>
      <c r="DW63" s="156"/>
      <c r="DX63" s="156"/>
      <c r="DY63" s="156"/>
      <c r="DZ63" s="156"/>
    </row>
    <row r="64" spans="2:178" s="75" customFormat="1" x14ac:dyDescent="0.15">
      <c r="B64" s="75" t="s">
        <v>439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f>283.9</f>
        <v>283.89999999999998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386.58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>
        <v>0</v>
      </c>
      <c r="CG64" s="143"/>
      <c r="CH64" s="143"/>
      <c r="CI64" s="143"/>
      <c r="CJ64" s="143"/>
      <c r="CK64" s="143"/>
      <c r="CL64" s="143"/>
      <c r="CM64" s="143"/>
      <c r="CN64" s="143"/>
      <c r="CO64" s="156"/>
      <c r="CP64" s="156"/>
      <c r="CQ64" s="156"/>
      <c r="CR64" s="156"/>
      <c r="CS64" s="156"/>
      <c r="CT64" s="156"/>
      <c r="CU64" s="156"/>
      <c r="CW64" s="83"/>
      <c r="CX64" s="83"/>
      <c r="CY64" s="83"/>
      <c r="CZ64" s="105"/>
      <c r="DA64" s="105"/>
      <c r="DB64" s="83"/>
      <c r="DC64" s="83"/>
      <c r="DD64" s="83"/>
      <c r="DE64" s="83"/>
      <c r="DF64" s="83"/>
      <c r="DG64" s="83"/>
      <c r="DH64" s="143"/>
      <c r="DI64" s="143"/>
      <c r="DJ64" s="143"/>
      <c r="DK64" s="143"/>
      <c r="DL64" s="143"/>
      <c r="DM64" s="143"/>
      <c r="DN64" s="156"/>
      <c r="DO64" s="156"/>
      <c r="DP64" s="156"/>
      <c r="DQ64" s="156"/>
      <c r="DR64" s="156"/>
      <c r="DS64" s="156"/>
      <c r="DT64" s="156"/>
      <c r="DU64" s="156"/>
      <c r="DV64" s="156"/>
      <c r="DW64" s="156"/>
      <c r="DX64" s="156"/>
      <c r="DY64" s="156"/>
      <c r="DZ64" s="156"/>
    </row>
    <row r="65" spans="2:130" s="75" customFormat="1" x14ac:dyDescent="0.15">
      <c r="B65" s="75" t="s">
        <v>438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v>195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376.71600000000001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>
        <v>0</v>
      </c>
      <c r="CG65" s="143"/>
      <c r="CH65" s="143"/>
      <c r="CI65" s="143"/>
      <c r="CJ65" s="143"/>
      <c r="CK65" s="143"/>
      <c r="CL65" s="143"/>
      <c r="CM65" s="143"/>
      <c r="CN65" s="143"/>
      <c r="CO65" s="156"/>
      <c r="CP65" s="156"/>
      <c r="CQ65" s="156"/>
      <c r="CR65" s="156"/>
      <c r="CS65" s="156"/>
      <c r="CT65" s="156"/>
      <c r="CU65" s="156"/>
      <c r="CW65" s="83"/>
      <c r="CX65" s="83"/>
      <c r="CY65" s="83"/>
      <c r="CZ65" s="105"/>
      <c r="DA65" s="105"/>
      <c r="DB65" s="83"/>
      <c r="DC65" s="83"/>
      <c r="DD65" s="83"/>
      <c r="DE65" s="83"/>
      <c r="DF65" s="83"/>
      <c r="DG65" s="83"/>
      <c r="DH65" s="143"/>
      <c r="DI65" s="143"/>
      <c r="DJ65" s="143"/>
      <c r="DK65" s="143"/>
      <c r="DL65" s="143"/>
      <c r="DM65" s="143"/>
      <c r="DN65" s="156"/>
      <c r="DO65" s="156"/>
      <c r="DP65" s="156"/>
      <c r="DQ65" s="156"/>
      <c r="DR65" s="156"/>
      <c r="DS65" s="156"/>
      <c r="DT65" s="156"/>
      <c r="DU65" s="156"/>
      <c r="DV65" s="156"/>
      <c r="DW65" s="156"/>
      <c r="DX65" s="156"/>
      <c r="DY65" s="156"/>
      <c r="DZ65" s="156"/>
    </row>
    <row r="66" spans="2:130" s="75" customFormat="1" x14ac:dyDescent="0.15">
      <c r="B66" s="75" t="s">
        <v>437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90.8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232.15100000000001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>
        <v>1900</v>
      </c>
      <c r="CG66" s="143"/>
      <c r="CH66" s="143"/>
      <c r="CI66" s="143"/>
      <c r="CJ66" s="143"/>
      <c r="CK66" s="143"/>
      <c r="CL66" s="143"/>
      <c r="CM66" s="143"/>
      <c r="CN66" s="143"/>
      <c r="CO66" s="156"/>
      <c r="CP66" s="156"/>
      <c r="CQ66" s="156"/>
      <c r="CR66" s="156"/>
      <c r="CS66" s="156"/>
      <c r="CT66" s="156"/>
      <c r="CU66" s="156"/>
      <c r="CW66" s="83"/>
      <c r="CX66" s="83"/>
      <c r="CY66" s="83"/>
      <c r="CZ66" s="105"/>
      <c r="DA66" s="105"/>
      <c r="DB66" s="83"/>
      <c r="DC66" s="83"/>
      <c r="DD66" s="83"/>
      <c r="DE66" s="83"/>
      <c r="DF66" s="83"/>
      <c r="DG66" s="83"/>
      <c r="DH66" s="143"/>
      <c r="DI66" s="143"/>
      <c r="DJ66" s="143"/>
      <c r="DK66" s="143"/>
      <c r="DL66" s="143"/>
      <c r="DM66" s="143"/>
      <c r="DN66" s="156"/>
      <c r="DO66" s="156"/>
      <c r="DP66" s="156"/>
      <c r="DQ66" s="156"/>
      <c r="DR66" s="156"/>
      <c r="DS66" s="156"/>
      <c r="DT66" s="156"/>
      <c r="DU66" s="156"/>
      <c r="DV66" s="156"/>
      <c r="DW66" s="156"/>
      <c r="DX66" s="156"/>
      <c r="DY66" s="156"/>
      <c r="DZ66" s="156"/>
    </row>
    <row r="67" spans="2:130" s="75" customFormat="1" x14ac:dyDescent="0.15">
      <c r="B67" s="75" t="s">
        <v>436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115.6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199.36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>
        <v>0</v>
      </c>
      <c r="CG67" s="143"/>
      <c r="CH67" s="143"/>
      <c r="CI67" s="143"/>
      <c r="CJ67" s="143"/>
      <c r="CK67" s="143"/>
      <c r="CL67" s="143"/>
      <c r="CM67" s="143"/>
      <c r="CN67" s="143"/>
      <c r="CO67" s="156"/>
      <c r="CP67" s="156"/>
      <c r="CQ67" s="156"/>
      <c r="CR67" s="156"/>
      <c r="CS67" s="156"/>
      <c r="CT67" s="156"/>
      <c r="CU67" s="156"/>
      <c r="CW67" s="83"/>
      <c r="CX67" s="83"/>
      <c r="CY67" s="83"/>
      <c r="CZ67" s="105"/>
      <c r="DA67" s="105"/>
      <c r="DB67" s="83"/>
      <c r="DC67" s="83"/>
      <c r="DD67" s="83"/>
      <c r="DE67" s="83"/>
      <c r="DF67" s="83"/>
      <c r="DG67" s="83"/>
      <c r="DH67" s="143"/>
      <c r="DI67" s="143"/>
      <c r="DJ67" s="143"/>
      <c r="DK67" s="143"/>
      <c r="DL67" s="143"/>
      <c r="DM67" s="143"/>
      <c r="DN67" s="156"/>
      <c r="DO67" s="156"/>
      <c r="DP67" s="156"/>
      <c r="DQ67" s="156"/>
      <c r="DR67" s="156"/>
      <c r="DS67" s="156"/>
      <c r="DT67" s="156"/>
      <c r="DU67" s="156"/>
      <c r="DV67" s="156"/>
      <c r="DW67" s="156"/>
      <c r="DX67" s="156"/>
      <c r="DY67" s="156"/>
      <c r="DZ67" s="156"/>
    </row>
    <row r="68" spans="2:130" s="75" customFormat="1" x14ac:dyDescent="0.15">
      <c r="B68" s="75" t="s">
        <v>435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761.2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1380.7760000000001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>
        <v>5299</v>
      </c>
      <c r="CG68" s="143"/>
      <c r="CH68" s="143"/>
      <c r="CI68" s="143"/>
      <c r="CJ68" s="143"/>
      <c r="CK68" s="143"/>
      <c r="CL68" s="143"/>
      <c r="CM68" s="143"/>
      <c r="CN68" s="143"/>
      <c r="CO68" s="156"/>
      <c r="CP68" s="156"/>
      <c r="CQ68" s="156"/>
      <c r="CR68" s="156"/>
      <c r="CS68" s="156"/>
      <c r="CT68" s="156"/>
      <c r="CU68" s="156"/>
      <c r="CW68" s="83"/>
      <c r="CX68" s="83"/>
      <c r="CY68" s="83"/>
      <c r="CZ68" s="105"/>
      <c r="DA68" s="105"/>
      <c r="DB68" s="83"/>
      <c r="DC68" s="83"/>
      <c r="DD68" s="83"/>
      <c r="DE68" s="83"/>
      <c r="DF68" s="83"/>
      <c r="DG68" s="83"/>
      <c r="DH68" s="143"/>
      <c r="DI68" s="143"/>
      <c r="DJ68" s="143"/>
      <c r="DK68" s="143"/>
      <c r="DL68" s="143"/>
      <c r="DM68" s="143"/>
      <c r="DN68" s="156"/>
      <c r="DO68" s="156"/>
      <c r="DP68" s="156"/>
      <c r="DQ68" s="156"/>
      <c r="DR68" s="156"/>
      <c r="DS68" s="156"/>
      <c r="DT68" s="156"/>
      <c r="DU68" s="156"/>
      <c r="DV68" s="156"/>
      <c r="DW68" s="156"/>
      <c r="DX68" s="156"/>
      <c r="DY68" s="156"/>
      <c r="DZ68" s="156"/>
    </row>
    <row r="69" spans="2:130" s="75" customFormat="1" x14ac:dyDescent="0.15">
      <c r="B69" s="75" t="s">
        <v>434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181.1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497.50200000000001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>
        <v>0</v>
      </c>
      <c r="CG69" s="143"/>
      <c r="CH69" s="143"/>
      <c r="CI69" s="143"/>
      <c r="CJ69" s="143"/>
      <c r="CK69" s="143"/>
      <c r="CL69" s="143"/>
      <c r="CM69" s="143"/>
      <c r="CN69" s="143"/>
      <c r="CO69" s="156"/>
      <c r="CP69" s="156"/>
      <c r="CQ69" s="156"/>
      <c r="CR69" s="156"/>
      <c r="CS69" s="156"/>
      <c r="CT69" s="156"/>
      <c r="CU69" s="156"/>
      <c r="CW69" s="83"/>
      <c r="CX69" s="83"/>
      <c r="CY69" s="83"/>
      <c r="CZ69" s="105"/>
      <c r="DA69" s="105"/>
      <c r="DB69" s="83"/>
      <c r="DC69" s="83"/>
      <c r="DD69" s="83"/>
      <c r="DE69" s="83"/>
      <c r="DF69" s="83"/>
      <c r="DG69" s="83"/>
      <c r="DH69" s="143"/>
      <c r="DI69" s="143"/>
      <c r="DJ69" s="143"/>
      <c r="DK69" s="143"/>
      <c r="DL69" s="143"/>
      <c r="DM69" s="143"/>
      <c r="DN69" s="156"/>
      <c r="DO69" s="156"/>
      <c r="DP69" s="156"/>
      <c r="DQ69" s="156"/>
      <c r="DR69" s="156"/>
      <c r="DS69" s="156"/>
      <c r="DT69" s="156"/>
      <c r="DU69" s="156"/>
      <c r="DV69" s="156"/>
      <c r="DW69" s="156"/>
      <c r="DX69" s="156"/>
      <c r="DY69" s="156"/>
      <c r="DZ69" s="156"/>
    </row>
    <row r="70" spans="2:130" s="75" customFormat="1" x14ac:dyDescent="0.15">
      <c r="B70" s="75" t="s">
        <v>433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82.7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153.55199999999999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>
        <v>0</v>
      </c>
      <c r="CG70" s="143"/>
      <c r="CH70" s="143"/>
      <c r="CI70" s="143"/>
      <c r="CJ70" s="143"/>
      <c r="CK70" s="143"/>
      <c r="CL70" s="143"/>
      <c r="CM70" s="143"/>
      <c r="CN70" s="143"/>
      <c r="CO70" s="156"/>
      <c r="CP70" s="156"/>
      <c r="CQ70" s="156"/>
      <c r="CR70" s="156"/>
      <c r="CS70" s="156"/>
      <c r="CT70" s="156"/>
      <c r="CU70" s="156"/>
      <c r="CW70" s="83"/>
      <c r="CX70" s="83"/>
      <c r="CY70" s="83"/>
      <c r="CZ70" s="105"/>
      <c r="DA70" s="105"/>
      <c r="DB70" s="83"/>
      <c r="DC70" s="83"/>
      <c r="DD70" s="83"/>
      <c r="DE70" s="83"/>
      <c r="DF70" s="83"/>
      <c r="DG70" s="83"/>
      <c r="DH70" s="143"/>
      <c r="DI70" s="143"/>
      <c r="DJ70" s="143"/>
      <c r="DK70" s="143"/>
      <c r="DL70" s="143"/>
      <c r="DM70" s="143"/>
      <c r="DN70" s="156"/>
      <c r="DO70" s="156"/>
      <c r="DP70" s="156"/>
      <c r="DQ70" s="156"/>
      <c r="DR70" s="156"/>
      <c r="DS70" s="156"/>
      <c r="DT70" s="156"/>
      <c r="DU70" s="156"/>
      <c r="DV70" s="156"/>
      <c r="DW70" s="156"/>
      <c r="DX70" s="156"/>
      <c r="DY70" s="156"/>
      <c r="DZ70" s="156"/>
    </row>
    <row r="71" spans="2:130" s="75" customFormat="1" x14ac:dyDescent="0.15">
      <c r="B71" s="75" t="s">
        <v>432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2111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f>11508.319+1171.561</f>
        <v>12679.88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>
        <f>8314+29885</f>
        <v>38199</v>
      </c>
      <c r="CG71" s="143"/>
      <c r="CH71" s="143"/>
      <c r="CI71" s="143"/>
      <c r="CJ71" s="143"/>
      <c r="CK71" s="143"/>
      <c r="CL71" s="143"/>
      <c r="CM71" s="143"/>
      <c r="CN71" s="143"/>
      <c r="CO71" s="156"/>
      <c r="CP71" s="156"/>
      <c r="CQ71" s="156"/>
      <c r="CR71" s="156"/>
      <c r="CS71" s="156"/>
      <c r="CT71" s="156"/>
      <c r="CU71" s="156"/>
      <c r="CW71" s="83"/>
      <c r="CX71" s="83"/>
      <c r="CY71" s="83"/>
      <c r="CZ71" s="105"/>
      <c r="DA71" s="105"/>
      <c r="DB71" s="83"/>
      <c r="DC71" s="83"/>
      <c r="DD71" s="83"/>
      <c r="DE71" s="83"/>
      <c r="DF71" s="83"/>
      <c r="DG71" s="83"/>
      <c r="DH71" s="143"/>
      <c r="DI71" s="143"/>
      <c r="DJ71" s="143"/>
      <c r="DK71" s="143"/>
      <c r="DL71" s="143"/>
      <c r="DM71" s="143"/>
      <c r="DN71" s="156"/>
      <c r="DO71" s="156"/>
      <c r="DP71" s="156"/>
      <c r="DQ71" s="156"/>
      <c r="DR71" s="156"/>
      <c r="DS71" s="156"/>
      <c r="DT71" s="156"/>
      <c r="DU71" s="156"/>
      <c r="DV71" s="156"/>
      <c r="DW71" s="156"/>
      <c r="DX71" s="156"/>
      <c r="DY71" s="156"/>
      <c r="DZ71" s="156"/>
    </row>
    <row r="72" spans="2:130" s="75" customFormat="1" x14ac:dyDescent="0.15">
      <c r="B72" s="75" t="s">
        <v>16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131.6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v>212.8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>
        <v>4860</v>
      </c>
      <c r="CG72" s="143"/>
      <c r="CH72" s="143"/>
      <c r="CI72" s="143"/>
      <c r="CJ72" s="143"/>
      <c r="CK72" s="143"/>
      <c r="CL72" s="143"/>
      <c r="CM72" s="143"/>
      <c r="CN72" s="143"/>
      <c r="CO72" s="156"/>
      <c r="CP72" s="156"/>
      <c r="CQ72" s="156"/>
      <c r="CR72" s="156"/>
      <c r="CS72" s="156"/>
      <c r="CT72" s="156"/>
      <c r="CU72" s="156"/>
      <c r="CW72" s="83"/>
      <c r="CX72" s="83"/>
      <c r="CY72" s="83"/>
      <c r="CZ72" s="105"/>
      <c r="DA72" s="105"/>
      <c r="DB72" s="83"/>
      <c r="DC72" s="83"/>
      <c r="DD72" s="83"/>
      <c r="DE72" s="83"/>
      <c r="DF72" s="83"/>
      <c r="DG72" s="83"/>
      <c r="DH72" s="143"/>
      <c r="DI72" s="143"/>
      <c r="DJ72" s="143"/>
      <c r="DK72" s="143"/>
      <c r="DL72" s="143"/>
      <c r="DM72" s="143"/>
      <c r="DN72" s="156"/>
      <c r="DO72" s="156"/>
      <c r="DP72" s="156"/>
      <c r="DQ72" s="156"/>
      <c r="DR72" s="156"/>
      <c r="DS72" s="156"/>
      <c r="DT72" s="156"/>
      <c r="DU72" s="156"/>
      <c r="DV72" s="156"/>
      <c r="DW72" s="156"/>
      <c r="DX72" s="156"/>
      <c r="DY72" s="156"/>
      <c r="DZ72" s="156"/>
    </row>
    <row r="73" spans="2:130" s="75" customFormat="1" x14ac:dyDescent="0.15">
      <c r="B73" s="75" t="s">
        <v>431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>
        <f>SUM(AI61:AI72)</f>
        <v>0</v>
      </c>
      <c r="AJ73" s="83">
        <f>SUM(AJ61:AJ72)</f>
        <v>0</v>
      </c>
      <c r="AK73" s="83">
        <f>SUM(AK61:AK72)</f>
        <v>0</v>
      </c>
      <c r="AL73" s="83"/>
      <c r="AM73" s="83">
        <f>SUM(AM61:AM72)</f>
        <v>0</v>
      </c>
      <c r="AN73" s="83">
        <f t="shared" ref="AN73:AO73" si="267">SUM(AN61:AN72)</f>
        <v>0</v>
      </c>
      <c r="AO73" s="83">
        <f t="shared" si="267"/>
        <v>12640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f>SUM(AZ61:AZ72)</f>
        <v>31206.164000000001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>
        <f>SUM(CF61:CF72)</f>
        <v>62870</v>
      </c>
      <c r="CG73" s="143"/>
      <c r="CH73" s="143"/>
      <c r="CI73" s="143"/>
      <c r="CJ73" s="143"/>
      <c r="CK73" s="143"/>
      <c r="CL73" s="143"/>
      <c r="CM73" s="143"/>
      <c r="CN73" s="143"/>
      <c r="CO73" s="156"/>
      <c r="CP73" s="156"/>
      <c r="CQ73" s="156"/>
      <c r="CR73" s="156"/>
      <c r="CS73" s="156"/>
      <c r="CT73" s="156"/>
      <c r="CU73" s="156"/>
      <c r="CW73" s="83"/>
      <c r="CX73" s="83"/>
      <c r="CY73" s="83"/>
      <c r="CZ73" s="105"/>
      <c r="DA73" s="105"/>
      <c r="DB73" s="83"/>
      <c r="DC73" s="83"/>
      <c r="DD73" s="83"/>
      <c r="DE73" s="83"/>
      <c r="DF73" s="83"/>
      <c r="DG73" s="83"/>
      <c r="DH73" s="143"/>
      <c r="DI73" s="143"/>
      <c r="DJ73" s="143"/>
      <c r="DK73" s="143"/>
      <c r="DL73" s="143"/>
      <c r="DM73" s="143"/>
      <c r="DN73" s="156"/>
      <c r="DO73" s="156"/>
      <c r="DP73" s="156"/>
      <c r="DQ73" s="156"/>
      <c r="DR73" s="156"/>
      <c r="DS73" s="156"/>
      <c r="DT73" s="156"/>
      <c r="DU73" s="156"/>
      <c r="DV73" s="156"/>
      <c r="DW73" s="156"/>
      <c r="DX73" s="156"/>
      <c r="DY73" s="156"/>
      <c r="DZ73" s="156"/>
    </row>
    <row r="74" spans="2:130" s="75" customFormat="1" x14ac:dyDescent="0.15"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56"/>
      <c r="CP74" s="156"/>
      <c r="CQ74" s="156"/>
      <c r="CR74" s="156"/>
      <c r="CS74" s="156"/>
      <c r="CT74" s="156"/>
      <c r="CU74" s="156"/>
      <c r="CW74" s="83"/>
      <c r="CX74" s="83"/>
      <c r="CY74" s="83"/>
      <c r="CZ74" s="105"/>
      <c r="DA74" s="105"/>
      <c r="DB74" s="83"/>
      <c r="DC74" s="83"/>
      <c r="DD74" s="83"/>
      <c r="DE74" s="83"/>
      <c r="DF74" s="83"/>
      <c r="DG74" s="83"/>
      <c r="DH74" s="143"/>
      <c r="DI74" s="143"/>
      <c r="DJ74" s="143"/>
      <c r="DK74" s="143"/>
      <c r="DL74" s="143"/>
      <c r="DM74" s="143"/>
      <c r="DN74" s="156"/>
      <c r="DO74" s="156"/>
      <c r="DP74" s="156"/>
      <c r="DQ74" s="156"/>
      <c r="DR74" s="156"/>
      <c r="DS74" s="156"/>
      <c r="DT74" s="156"/>
      <c r="DU74" s="156"/>
      <c r="DV74" s="156"/>
      <c r="DW74" s="156"/>
      <c r="DX74" s="156"/>
      <c r="DY74" s="156"/>
      <c r="DZ74" s="156"/>
    </row>
    <row r="75" spans="2:130" s="75" customFormat="1" x14ac:dyDescent="0.15">
      <c r="B75" s="75" t="s">
        <v>430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>
        <v>1063.7</v>
      </c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>
        <v>1162.307</v>
      </c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>
        <v>565</v>
      </c>
      <c r="CG75" s="143"/>
      <c r="CH75" s="143"/>
      <c r="CI75" s="143"/>
      <c r="CJ75" s="143"/>
      <c r="CK75" s="143"/>
      <c r="CL75" s="143"/>
      <c r="CM75" s="143"/>
      <c r="CN75" s="143"/>
      <c r="CO75" s="156"/>
      <c r="CP75" s="156"/>
      <c r="CQ75" s="156"/>
      <c r="CR75" s="156"/>
      <c r="CS75" s="156"/>
      <c r="CT75" s="156"/>
      <c r="CU75" s="156"/>
      <c r="CW75" s="83"/>
      <c r="CX75" s="83"/>
      <c r="CY75" s="83"/>
      <c r="CZ75" s="105"/>
      <c r="DA75" s="105"/>
      <c r="DB75" s="83"/>
      <c r="DC75" s="83"/>
      <c r="DD75" s="83"/>
      <c r="DE75" s="83"/>
      <c r="DF75" s="83"/>
      <c r="DG75" s="83"/>
      <c r="DH75" s="143"/>
      <c r="DI75" s="143"/>
      <c r="DJ75" s="143"/>
      <c r="DK75" s="143"/>
      <c r="DL75" s="143"/>
      <c r="DM75" s="143"/>
      <c r="DN75" s="156"/>
      <c r="DO75" s="156"/>
      <c r="DP75" s="156"/>
      <c r="DQ75" s="156"/>
      <c r="DR75" s="156"/>
      <c r="DS75" s="156"/>
      <c r="DT75" s="156"/>
      <c r="DU75" s="156"/>
      <c r="DV75" s="156"/>
      <c r="DW75" s="156"/>
      <c r="DX75" s="156"/>
      <c r="DY75" s="156"/>
      <c r="DZ75" s="156"/>
    </row>
    <row r="76" spans="2:130" s="75" customFormat="1" x14ac:dyDescent="0.15">
      <c r="B76" s="75" t="s">
        <v>429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412.4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1606.5550000000001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>
        <v>3519</v>
      </c>
      <c r="CG76" s="143"/>
      <c r="CH76" s="143"/>
      <c r="CI76" s="143"/>
      <c r="CJ76" s="143"/>
      <c r="CK76" s="143"/>
      <c r="CL76" s="143"/>
      <c r="CM76" s="143"/>
      <c r="CN76" s="143"/>
      <c r="CO76" s="156"/>
      <c r="CP76" s="156"/>
      <c r="CQ76" s="156"/>
      <c r="CR76" s="156"/>
      <c r="CS76" s="156"/>
      <c r="CT76" s="156"/>
      <c r="CU76" s="156"/>
      <c r="CW76" s="83"/>
      <c r="CX76" s="83"/>
      <c r="CY76" s="83"/>
      <c r="CZ76" s="105"/>
      <c r="DA76" s="105"/>
      <c r="DB76" s="83"/>
      <c r="DC76" s="83"/>
      <c r="DD76" s="83"/>
      <c r="DE76" s="83"/>
      <c r="DF76" s="83"/>
      <c r="DG76" s="83"/>
      <c r="DH76" s="143"/>
      <c r="DI76" s="143"/>
      <c r="DJ76" s="143"/>
      <c r="DK76" s="143"/>
      <c r="DL76" s="143"/>
      <c r="DM76" s="143"/>
      <c r="DN76" s="156"/>
      <c r="DO76" s="156"/>
      <c r="DP76" s="156"/>
      <c r="DQ76" s="156"/>
      <c r="DR76" s="156"/>
      <c r="DS76" s="156"/>
      <c r="DT76" s="156"/>
      <c r="DU76" s="156"/>
      <c r="DV76" s="156"/>
      <c r="DW76" s="156"/>
      <c r="DX76" s="156"/>
      <c r="DY76" s="156"/>
      <c r="DZ76" s="156"/>
    </row>
    <row r="77" spans="2:130" s="75" customFormat="1" x14ac:dyDescent="0.15">
      <c r="B77" s="75" t="s">
        <v>428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149.1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220.09299999999999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56"/>
      <c r="CP77" s="156"/>
      <c r="CQ77" s="156"/>
      <c r="CR77" s="156"/>
      <c r="CS77" s="156"/>
      <c r="CT77" s="156"/>
      <c r="CU77" s="156"/>
      <c r="CW77" s="83"/>
      <c r="CX77" s="83"/>
      <c r="CY77" s="83"/>
      <c r="CZ77" s="105"/>
      <c r="DA77" s="105"/>
      <c r="DB77" s="83"/>
      <c r="DC77" s="83"/>
      <c r="DD77" s="83"/>
      <c r="DE77" s="83"/>
      <c r="DF77" s="83"/>
      <c r="DG77" s="83"/>
      <c r="DH77" s="143"/>
      <c r="DI77" s="143"/>
      <c r="DJ77" s="143"/>
      <c r="DK77" s="143"/>
      <c r="DL77" s="143"/>
      <c r="DM77" s="143"/>
      <c r="DN77" s="156"/>
      <c r="DO77" s="156"/>
      <c r="DP77" s="156"/>
      <c r="DQ77" s="156"/>
      <c r="DR77" s="156"/>
      <c r="DS77" s="156"/>
      <c r="DT77" s="156"/>
      <c r="DU77" s="156"/>
      <c r="DV77" s="156"/>
      <c r="DW77" s="156"/>
      <c r="DX77" s="156"/>
      <c r="DY77" s="156"/>
      <c r="DZ77" s="156"/>
    </row>
    <row r="78" spans="2:130" s="75" customFormat="1" x14ac:dyDescent="0.15">
      <c r="B78" s="75" t="s">
        <v>425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33.700000000000003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97.302000000000007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56"/>
      <c r="CP78" s="156"/>
      <c r="CQ78" s="156"/>
      <c r="CR78" s="156"/>
      <c r="CS78" s="156"/>
      <c r="CT78" s="156"/>
      <c r="CU78" s="156"/>
      <c r="CW78" s="83"/>
      <c r="CX78" s="83"/>
      <c r="CY78" s="83"/>
      <c r="CZ78" s="105"/>
      <c r="DA78" s="105"/>
      <c r="DB78" s="83"/>
      <c r="DC78" s="83"/>
      <c r="DD78" s="83"/>
      <c r="DE78" s="83"/>
      <c r="DF78" s="83"/>
      <c r="DG78" s="83"/>
      <c r="DH78" s="143"/>
      <c r="DI78" s="143"/>
      <c r="DJ78" s="143"/>
      <c r="DK78" s="143"/>
      <c r="DL78" s="143"/>
      <c r="DM78" s="143"/>
      <c r="DN78" s="156"/>
      <c r="DO78" s="156"/>
      <c r="DP78" s="156"/>
      <c r="DQ78" s="156"/>
      <c r="DR78" s="156"/>
      <c r="DS78" s="156"/>
      <c r="DT78" s="156"/>
      <c r="DU78" s="156"/>
      <c r="DV78" s="156"/>
      <c r="DW78" s="156"/>
      <c r="DX78" s="156"/>
      <c r="DY78" s="156"/>
      <c r="DZ78" s="156"/>
    </row>
    <row r="79" spans="2:130" s="75" customFormat="1" x14ac:dyDescent="0.15">
      <c r="B79" s="75" t="s">
        <v>427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495.3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1443.377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>
        <v>4115</v>
      </c>
      <c r="CG79" s="143"/>
      <c r="CH79" s="143"/>
      <c r="CI79" s="143"/>
      <c r="CJ79" s="143"/>
      <c r="CK79" s="143"/>
      <c r="CL79" s="143"/>
      <c r="CM79" s="143"/>
      <c r="CN79" s="143"/>
      <c r="CO79" s="156"/>
      <c r="CP79" s="156"/>
      <c r="CQ79" s="156"/>
      <c r="CR79" s="156"/>
      <c r="CS79" s="156"/>
      <c r="CT79" s="156"/>
      <c r="CU79" s="156"/>
      <c r="CW79" s="83"/>
      <c r="CX79" s="83"/>
      <c r="CY79" s="83"/>
      <c r="CZ79" s="105"/>
      <c r="DA79" s="105"/>
      <c r="DB79" s="83"/>
      <c r="DC79" s="83"/>
      <c r="DD79" s="83"/>
      <c r="DE79" s="83"/>
      <c r="DF79" s="83"/>
      <c r="DG79" s="83"/>
      <c r="DH79" s="143"/>
      <c r="DI79" s="143"/>
      <c r="DJ79" s="143"/>
      <c r="DK79" s="143"/>
      <c r="DL79" s="143"/>
      <c r="DM79" s="143"/>
      <c r="DN79" s="156"/>
      <c r="DO79" s="156"/>
      <c r="DP79" s="156"/>
      <c r="DQ79" s="156"/>
      <c r="DR79" s="156"/>
      <c r="DS79" s="156"/>
      <c r="DT79" s="156"/>
      <c r="DU79" s="156"/>
      <c r="DV79" s="156"/>
      <c r="DW79" s="156"/>
      <c r="DX79" s="156"/>
      <c r="DY79" s="156"/>
      <c r="DZ79" s="156"/>
    </row>
    <row r="80" spans="2:130" s="75" customFormat="1" x14ac:dyDescent="0.15">
      <c r="B80" s="75" t="s">
        <v>426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f>68.7+34.7</f>
        <v>103.4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126.28400000000001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56"/>
      <c r="CP80" s="156"/>
      <c r="CQ80" s="156"/>
      <c r="CR80" s="156"/>
      <c r="CS80" s="156"/>
      <c r="CT80" s="156"/>
      <c r="CU80" s="156"/>
      <c r="CW80" s="83"/>
      <c r="CX80" s="83"/>
      <c r="CY80" s="83"/>
      <c r="CZ80" s="105"/>
      <c r="DA80" s="105"/>
      <c r="DB80" s="83"/>
      <c r="DC80" s="83"/>
      <c r="DD80" s="83"/>
      <c r="DE80" s="83"/>
      <c r="DF80" s="83"/>
      <c r="DG80" s="83"/>
      <c r="DH80" s="143"/>
      <c r="DI80" s="143"/>
      <c r="DJ80" s="143"/>
      <c r="DK80" s="143"/>
      <c r="DL80" s="143"/>
      <c r="DM80" s="143"/>
      <c r="DN80" s="156"/>
      <c r="DO80" s="156"/>
      <c r="DP80" s="156"/>
      <c r="DQ80" s="156"/>
      <c r="DR80" s="156"/>
      <c r="DS80" s="156"/>
      <c r="DT80" s="156"/>
      <c r="DU80" s="156"/>
      <c r="DV80" s="156"/>
      <c r="DW80" s="156"/>
      <c r="DX80" s="156"/>
      <c r="DY80" s="156"/>
      <c r="DZ80" s="156"/>
    </row>
    <row r="81" spans="2:130" s="75" customFormat="1" x14ac:dyDescent="0.15">
      <c r="B81" s="75" t="s">
        <v>208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v>3891.8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f>1572.079+7932.536</f>
        <v>9504.6149999999998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>
        <f>1021+25195</f>
        <v>26216</v>
      </c>
      <c r="CG81" s="143"/>
      <c r="CH81" s="143"/>
      <c r="CI81" s="143"/>
      <c r="CJ81" s="143"/>
      <c r="CK81" s="143"/>
      <c r="CL81" s="143"/>
      <c r="CM81" s="143"/>
      <c r="CN81" s="143"/>
      <c r="CO81" s="156"/>
      <c r="CP81" s="156"/>
      <c r="CQ81" s="156"/>
      <c r="CR81" s="156"/>
      <c r="CS81" s="156"/>
      <c r="CT81" s="156"/>
      <c r="CU81" s="156"/>
      <c r="CW81" s="83"/>
      <c r="CX81" s="83"/>
      <c r="CY81" s="83"/>
      <c r="CZ81" s="105"/>
      <c r="DA81" s="105"/>
      <c r="DB81" s="83"/>
      <c r="DC81" s="83"/>
      <c r="DD81" s="83"/>
      <c r="DE81" s="83"/>
      <c r="DF81" s="83"/>
      <c r="DG81" s="83"/>
      <c r="DH81" s="143"/>
      <c r="DI81" s="143"/>
      <c r="DJ81" s="143"/>
      <c r="DK81" s="143"/>
      <c r="DL81" s="143"/>
      <c r="DM81" s="143"/>
      <c r="DN81" s="156"/>
      <c r="DO81" s="156"/>
      <c r="DP81" s="156"/>
      <c r="DQ81" s="156"/>
      <c r="DR81" s="156"/>
      <c r="DS81" s="156"/>
      <c r="DT81" s="156"/>
      <c r="DU81" s="156"/>
      <c r="DV81" s="156"/>
      <c r="DW81" s="156"/>
      <c r="DX81" s="156"/>
      <c r="DY81" s="156"/>
      <c r="DZ81" s="156"/>
    </row>
    <row r="82" spans="2:130" s="75" customFormat="1" x14ac:dyDescent="0.15">
      <c r="B82" s="75" t="s">
        <v>425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117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338.238+67.98</f>
        <v>406.21800000000002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>
        <f>3888+3364</f>
        <v>7252</v>
      </c>
      <c r="CG82" s="143"/>
      <c r="CH82" s="143"/>
      <c r="CI82" s="143"/>
      <c r="CJ82" s="143"/>
      <c r="CK82" s="143"/>
      <c r="CL82" s="143"/>
      <c r="CM82" s="143"/>
      <c r="CN82" s="143"/>
      <c r="CO82" s="156"/>
      <c r="CP82" s="156"/>
      <c r="CQ82" s="156"/>
      <c r="CR82" s="156"/>
      <c r="CS82" s="156"/>
      <c r="CT82" s="156"/>
      <c r="CU82" s="156"/>
      <c r="CW82" s="83"/>
      <c r="CX82" s="83"/>
      <c r="CY82" s="83"/>
      <c r="CZ82" s="105"/>
      <c r="DA82" s="105"/>
      <c r="DB82" s="83"/>
      <c r="DC82" s="83"/>
      <c r="DD82" s="83"/>
      <c r="DE82" s="83"/>
      <c r="DF82" s="83"/>
      <c r="DG82" s="83"/>
      <c r="DH82" s="143"/>
      <c r="DI82" s="143"/>
      <c r="DJ82" s="143"/>
      <c r="DK82" s="143"/>
      <c r="DL82" s="143"/>
      <c r="DM82" s="143"/>
      <c r="DN82" s="156"/>
      <c r="DO82" s="156"/>
      <c r="DP82" s="156"/>
      <c r="DQ82" s="156"/>
      <c r="DR82" s="156"/>
      <c r="DS82" s="156"/>
      <c r="DT82" s="156"/>
      <c r="DU82" s="156"/>
      <c r="DV82" s="156"/>
      <c r="DW82" s="156"/>
      <c r="DX82" s="156"/>
      <c r="DY82" s="156"/>
      <c r="DZ82" s="156"/>
    </row>
    <row r="83" spans="2:130" s="75" customFormat="1" x14ac:dyDescent="0.15">
      <c r="B83" s="75" t="s">
        <v>424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138.80000000000001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v>174.196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>
        <v>988</v>
      </c>
      <c r="CG83" s="143"/>
      <c r="CH83" s="143"/>
      <c r="CI83" s="143"/>
      <c r="CJ83" s="143"/>
      <c r="CK83" s="143"/>
      <c r="CL83" s="143"/>
      <c r="CM83" s="143"/>
      <c r="CN83" s="143"/>
      <c r="CO83" s="156"/>
      <c r="CP83" s="156"/>
      <c r="CQ83" s="156"/>
      <c r="CR83" s="156"/>
      <c r="CS83" s="156"/>
      <c r="CT83" s="156"/>
      <c r="CU83" s="156"/>
      <c r="CW83" s="83"/>
      <c r="CX83" s="83"/>
      <c r="CY83" s="83"/>
      <c r="CZ83" s="105"/>
      <c r="DA83" s="105"/>
      <c r="DB83" s="83"/>
      <c r="DC83" s="83"/>
      <c r="DD83" s="83"/>
      <c r="DE83" s="83"/>
      <c r="DF83" s="83"/>
      <c r="DG83" s="83"/>
      <c r="DH83" s="143"/>
      <c r="DI83" s="143"/>
      <c r="DJ83" s="143"/>
      <c r="DK83" s="143"/>
      <c r="DL83" s="143"/>
      <c r="DM83" s="143"/>
      <c r="DN83" s="156"/>
      <c r="DO83" s="156"/>
      <c r="DP83" s="156"/>
      <c r="DQ83" s="156"/>
      <c r="DR83" s="156"/>
      <c r="DS83" s="156"/>
      <c r="DT83" s="156"/>
      <c r="DU83" s="156"/>
      <c r="DV83" s="156"/>
      <c r="DW83" s="156"/>
      <c r="DX83" s="156"/>
      <c r="DY83" s="156"/>
      <c r="DZ83" s="156"/>
    </row>
    <row r="84" spans="2:130" s="75" customFormat="1" x14ac:dyDescent="0.15">
      <c r="B84" s="100" t="s">
        <v>508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>
        <f>SUM(AI75:AI83)</f>
        <v>0</v>
      </c>
      <c r="AJ84" s="83">
        <f t="shared" ref="AJ84:AO84" si="268">SUM(AJ75:AJ83)</f>
        <v>0</v>
      </c>
      <c r="AK84" s="83">
        <f t="shared" si="268"/>
        <v>0</v>
      </c>
      <c r="AL84" s="83">
        <f t="shared" si="268"/>
        <v>0</v>
      </c>
      <c r="AM84" s="83">
        <f t="shared" si="268"/>
        <v>0</v>
      </c>
      <c r="AN84" s="83">
        <f t="shared" si="268"/>
        <v>0</v>
      </c>
      <c r="AO84" s="83">
        <f t="shared" si="268"/>
        <v>6405.2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f>SUM(AZ75:AZ83)</f>
        <v>14740.947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56"/>
      <c r="CP84" s="156"/>
      <c r="CQ84" s="156"/>
      <c r="CR84" s="156"/>
      <c r="CS84" s="156"/>
      <c r="CT84" s="156"/>
      <c r="CU84" s="156"/>
      <c r="CW84" s="83"/>
      <c r="CX84" s="83"/>
      <c r="CY84" s="83"/>
      <c r="CZ84" s="105"/>
      <c r="DA84" s="105"/>
      <c r="DB84" s="83"/>
      <c r="DC84" s="83"/>
      <c r="DD84" s="83"/>
      <c r="DE84" s="83"/>
      <c r="DF84" s="83"/>
      <c r="DG84" s="83"/>
      <c r="DH84" s="143"/>
      <c r="DI84" s="143"/>
      <c r="DJ84" s="143"/>
      <c r="DK84" s="143"/>
      <c r="DL84" s="143"/>
      <c r="DM84" s="143"/>
      <c r="DN84" s="156"/>
      <c r="DO84" s="156"/>
      <c r="DP84" s="156"/>
      <c r="DQ84" s="156"/>
      <c r="DR84" s="156"/>
      <c r="DS84" s="156"/>
      <c r="DT84" s="156"/>
      <c r="DU84" s="156"/>
      <c r="DV84" s="156"/>
      <c r="DW84" s="156"/>
      <c r="DX84" s="156"/>
      <c r="DY84" s="156"/>
      <c r="DZ84" s="156"/>
    </row>
    <row r="85" spans="2:130" s="75" customFormat="1" x14ac:dyDescent="0.15">
      <c r="B85" s="100" t="s">
        <v>509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>
        <v>0.8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56"/>
      <c r="CP85" s="156"/>
      <c r="CQ85" s="156"/>
      <c r="CR85" s="156"/>
      <c r="CS85" s="156"/>
      <c r="CT85" s="156"/>
      <c r="CU85" s="156"/>
      <c r="CW85" s="83"/>
      <c r="CX85" s="83"/>
      <c r="CY85" s="83"/>
      <c r="CZ85" s="105"/>
      <c r="DA85" s="105"/>
      <c r="DB85" s="83"/>
      <c r="DC85" s="83"/>
      <c r="DD85" s="83"/>
      <c r="DE85" s="83"/>
      <c r="DF85" s="83"/>
      <c r="DG85" s="83"/>
      <c r="DH85" s="143"/>
      <c r="DI85" s="143"/>
      <c r="DJ85" s="143"/>
      <c r="DK85" s="143"/>
      <c r="DL85" s="143"/>
      <c r="DM85" s="143"/>
      <c r="DN85" s="156"/>
      <c r="DO85" s="156"/>
      <c r="DP85" s="156"/>
      <c r="DQ85" s="156"/>
      <c r="DR85" s="156"/>
      <c r="DS85" s="156"/>
      <c r="DT85" s="156"/>
      <c r="DU85" s="156"/>
      <c r="DV85" s="156"/>
      <c r="DW85" s="156"/>
      <c r="DX85" s="156"/>
      <c r="DY85" s="156"/>
      <c r="DZ85" s="156"/>
    </row>
    <row r="86" spans="2:130" s="75" customFormat="1" x14ac:dyDescent="0.15">
      <c r="B86" s="100" t="s">
        <v>510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4809.8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56"/>
      <c r="CP86" s="156"/>
      <c r="CQ86" s="156"/>
      <c r="CR86" s="156"/>
      <c r="CS86" s="156"/>
      <c r="CT86" s="156"/>
      <c r="CU86" s="156"/>
      <c r="CW86" s="83"/>
      <c r="CX86" s="83"/>
      <c r="CY86" s="83"/>
      <c r="CZ86" s="105"/>
      <c r="DA86" s="105"/>
      <c r="DB86" s="83"/>
      <c r="DC86" s="83"/>
      <c r="DD86" s="83"/>
      <c r="DE86" s="83"/>
      <c r="DF86" s="83"/>
      <c r="DG86" s="83"/>
      <c r="DH86" s="143"/>
      <c r="DI86" s="143"/>
      <c r="DJ86" s="143"/>
      <c r="DK86" s="143"/>
      <c r="DL86" s="143"/>
      <c r="DM86" s="143"/>
      <c r="DN86" s="156"/>
      <c r="DO86" s="156"/>
      <c r="DP86" s="156"/>
      <c r="DQ86" s="156"/>
      <c r="DR86" s="156"/>
      <c r="DS86" s="156"/>
      <c r="DT86" s="156"/>
      <c r="DU86" s="156"/>
      <c r="DV86" s="156"/>
      <c r="DW86" s="156"/>
      <c r="DX86" s="156"/>
      <c r="DY86" s="156"/>
      <c r="DZ86" s="156"/>
    </row>
    <row r="87" spans="2:130" s="75" customFormat="1" x14ac:dyDescent="0.15">
      <c r="B87" s="100" t="s">
        <v>511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-15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56"/>
      <c r="CP87" s="156"/>
      <c r="CQ87" s="156"/>
      <c r="CR87" s="156"/>
      <c r="CS87" s="156"/>
      <c r="CT87" s="156"/>
      <c r="CU87" s="156"/>
      <c r="CW87" s="83"/>
      <c r="CX87" s="83"/>
      <c r="CY87" s="83"/>
      <c r="CZ87" s="105"/>
      <c r="DA87" s="105"/>
      <c r="DB87" s="83"/>
      <c r="DC87" s="83"/>
      <c r="DD87" s="83"/>
      <c r="DE87" s="83"/>
      <c r="DF87" s="83"/>
      <c r="DG87" s="83"/>
      <c r="DH87" s="143"/>
      <c r="DI87" s="143"/>
      <c r="DJ87" s="143"/>
      <c r="DK87" s="143"/>
      <c r="DL87" s="143"/>
      <c r="DM87" s="143"/>
      <c r="DN87" s="156"/>
      <c r="DO87" s="156"/>
      <c r="DP87" s="156"/>
      <c r="DQ87" s="156"/>
      <c r="DR87" s="156"/>
      <c r="DS87" s="156"/>
      <c r="DT87" s="156"/>
      <c r="DU87" s="156"/>
      <c r="DV87" s="156"/>
      <c r="DW87" s="156"/>
      <c r="DX87" s="156"/>
      <c r="DY87" s="156"/>
      <c r="DZ87" s="156"/>
    </row>
    <row r="88" spans="2:130" s="75" customFormat="1" x14ac:dyDescent="0.15">
      <c r="B88" s="100" t="s">
        <v>512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1321.8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56"/>
      <c r="CP88" s="156"/>
      <c r="CQ88" s="156"/>
      <c r="CR88" s="156"/>
      <c r="CS88" s="156"/>
      <c r="CT88" s="156"/>
      <c r="CU88" s="156"/>
      <c r="CW88" s="83"/>
      <c r="CX88" s="83"/>
      <c r="CY88" s="83"/>
      <c r="CZ88" s="105"/>
      <c r="DA88" s="105"/>
      <c r="DB88" s="83"/>
      <c r="DC88" s="83"/>
      <c r="DD88" s="83"/>
      <c r="DE88" s="83"/>
      <c r="DF88" s="83"/>
      <c r="DG88" s="83"/>
      <c r="DH88" s="143"/>
      <c r="DI88" s="143"/>
      <c r="DJ88" s="143"/>
      <c r="DK88" s="143"/>
      <c r="DL88" s="143"/>
      <c r="DM88" s="143"/>
      <c r="DN88" s="156"/>
      <c r="DO88" s="156"/>
      <c r="DP88" s="156"/>
      <c r="DQ88" s="156"/>
      <c r="DR88" s="156"/>
      <c r="DS88" s="156"/>
      <c r="DT88" s="156"/>
      <c r="DU88" s="156"/>
      <c r="DV88" s="156"/>
      <c r="DW88" s="156"/>
      <c r="DX88" s="156"/>
      <c r="DY88" s="156"/>
      <c r="DZ88" s="156"/>
    </row>
    <row r="89" spans="2:130" s="17" customFormat="1" x14ac:dyDescent="0.15">
      <c r="B89" s="75" t="s">
        <v>422</v>
      </c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3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>
        <f>SUM(AI85:AI88)</f>
        <v>0</v>
      </c>
      <c r="AJ89" s="82">
        <f t="shared" ref="AJ89:AO89" si="269">SUM(AJ85:AJ88)</f>
        <v>0</v>
      </c>
      <c r="AK89" s="82">
        <f t="shared" si="269"/>
        <v>0</v>
      </c>
      <c r="AL89" s="82">
        <f t="shared" si="269"/>
        <v>0</v>
      </c>
      <c r="AM89" s="82">
        <f t="shared" si="269"/>
        <v>0</v>
      </c>
      <c r="AN89" s="82">
        <f t="shared" si="269"/>
        <v>0</v>
      </c>
      <c r="AO89" s="82">
        <f t="shared" si="269"/>
        <v>6117.4000000000005</v>
      </c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>
        <v>20215</v>
      </c>
      <c r="CG89" s="141"/>
      <c r="CH89" s="141"/>
      <c r="CI89" s="141"/>
      <c r="CJ89" s="141"/>
      <c r="CK89" s="141"/>
      <c r="CL89" s="141"/>
      <c r="CM89" s="141"/>
      <c r="CN89" s="141"/>
      <c r="CO89" s="79"/>
      <c r="CP89" s="79"/>
      <c r="CQ89" s="79"/>
      <c r="CR89" s="79"/>
      <c r="CS89" s="79"/>
      <c r="CT89" s="79"/>
      <c r="CU89" s="79"/>
      <c r="CW89" s="82"/>
      <c r="CX89" s="82"/>
      <c r="CY89" s="82"/>
      <c r="CZ89" s="104"/>
      <c r="DA89" s="104"/>
      <c r="DB89" s="82"/>
      <c r="DC89" s="82"/>
      <c r="DD89" s="82"/>
      <c r="DE89" s="82"/>
      <c r="DF89" s="82"/>
      <c r="DG89" s="82"/>
      <c r="DH89" s="141"/>
      <c r="DI89" s="141"/>
      <c r="DJ89" s="141"/>
      <c r="DK89" s="141"/>
      <c r="DL89" s="141"/>
      <c r="DM89" s="141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</row>
    <row r="90" spans="2:130" s="17" customFormat="1" x14ac:dyDescent="0.15">
      <c r="B90" s="75" t="s">
        <v>423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AI89+AI84</f>
        <v>0</v>
      </c>
      <c r="AJ90" s="82">
        <f t="shared" ref="AJ90:AO90" si="270">AJ89+AJ84</f>
        <v>0</v>
      </c>
      <c r="AK90" s="82">
        <f t="shared" si="270"/>
        <v>0</v>
      </c>
      <c r="AL90" s="82">
        <f t="shared" si="270"/>
        <v>0</v>
      </c>
      <c r="AM90" s="82">
        <f t="shared" si="270"/>
        <v>0</v>
      </c>
      <c r="AN90" s="82">
        <f t="shared" si="270"/>
        <v>0</v>
      </c>
      <c r="AO90" s="82">
        <f t="shared" si="270"/>
        <v>12522.6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>
        <f>SUM(CF75:CF89)</f>
        <v>62870</v>
      </c>
      <c r="CG90" s="141"/>
      <c r="CH90" s="141"/>
      <c r="CI90" s="141"/>
      <c r="CJ90" s="141"/>
      <c r="CK90" s="141"/>
      <c r="CL90" s="141"/>
      <c r="CM90" s="141"/>
      <c r="CN90" s="141"/>
      <c r="CO90" s="79"/>
      <c r="CP90" s="79"/>
      <c r="CQ90" s="79"/>
      <c r="CR90" s="79"/>
      <c r="CS90" s="79"/>
      <c r="CT90" s="79"/>
      <c r="CU90" s="79"/>
      <c r="CW90" s="82"/>
      <c r="CX90" s="82"/>
      <c r="CY90" s="82"/>
      <c r="CZ90" s="104"/>
      <c r="DA90" s="104"/>
      <c r="DB90" s="82"/>
      <c r="DC90" s="82"/>
      <c r="DD90" s="82"/>
      <c r="DE90" s="82"/>
      <c r="DF90" s="82"/>
      <c r="DG90" s="82"/>
      <c r="DH90" s="141"/>
      <c r="DI90" s="141"/>
      <c r="DJ90" s="141"/>
      <c r="DK90" s="141"/>
      <c r="DL90" s="141"/>
      <c r="DM90" s="141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</row>
    <row r="91" spans="2:130" s="17" customFormat="1" x14ac:dyDescent="0.15">
      <c r="B91" s="75" t="s">
        <v>21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1"/>
      <c r="BX91" s="141"/>
      <c r="BY91" s="141"/>
      <c r="BZ91" s="141"/>
      <c r="CA91" s="141"/>
      <c r="CB91" s="141"/>
      <c r="CC91" s="141"/>
      <c r="CD91" s="141"/>
      <c r="CE91" s="141"/>
      <c r="CF91" s="141">
        <v>1254</v>
      </c>
      <c r="CG91" s="141"/>
      <c r="CH91" s="141"/>
      <c r="CI91" s="141"/>
      <c r="CJ91" s="141"/>
      <c r="CK91" s="141"/>
      <c r="CL91" s="141"/>
      <c r="CM91" s="141"/>
      <c r="CN91" s="141"/>
      <c r="CO91" s="79"/>
      <c r="CP91" s="79"/>
      <c r="CQ91" s="79"/>
      <c r="CR91" s="79"/>
      <c r="CS91" s="79"/>
      <c r="CT91" s="79"/>
      <c r="CU91" s="79"/>
      <c r="CW91" s="82"/>
      <c r="CX91" s="82"/>
      <c r="CY91" s="82"/>
      <c r="CZ91" s="104"/>
      <c r="DA91" s="104"/>
      <c r="DB91" s="82"/>
      <c r="DC91" s="82"/>
      <c r="DD91" s="82"/>
      <c r="DE91" s="82"/>
      <c r="DF91" s="82"/>
      <c r="DG91" s="82"/>
      <c r="DH91" s="141"/>
      <c r="DI91" s="141"/>
      <c r="DJ91" s="141"/>
      <c r="DK91" s="141"/>
      <c r="DL91" s="141"/>
      <c r="DM91" s="141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</row>
    <row r="92" spans="2:130" s="17" customFormat="1" x14ac:dyDescent="0.15">
      <c r="B92" s="75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1"/>
      <c r="BX92" s="141"/>
      <c r="BY92" s="141"/>
      <c r="BZ92" s="141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79"/>
      <c r="CP92" s="79"/>
      <c r="CQ92" s="79"/>
      <c r="CR92" s="79"/>
      <c r="CS92" s="79"/>
      <c r="CT92" s="79"/>
      <c r="CU92" s="79"/>
      <c r="CW92" s="82"/>
      <c r="CX92" s="82"/>
      <c r="CY92" s="82"/>
      <c r="CZ92" s="104"/>
      <c r="DA92" s="104"/>
      <c r="DB92" s="82"/>
      <c r="DC92" s="82"/>
      <c r="DD92" s="82"/>
      <c r="DE92" s="82"/>
      <c r="DF92" s="82"/>
      <c r="DG92" s="82"/>
      <c r="DH92" s="141"/>
      <c r="DI92" s="141"/>
      <c r="DJ92" s="141"/>
      <c r="DK92" s="141"/>
      <c r="DL92" s="141"/>
      <c r="DM92" s="141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</row>
    <row r="93" spans="2:130" s="17" customFormat="1" x14ac:dyDescent="0.15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79"/>
      <c r="CP93" s="79"/>
      <c r="CQ93" s="79"/>
      <c r="CR93" s="79"/>
      <c r="CS93" s="79"/>
      <c r="CT93" s="79"/>
      <c r="CU93" s="79"/>
      <c r="CW93" s="82"/>
      <c r="CX93" s="82"/>
      <c r="CY93" s="82"/>
      <c r="CZ93" s="104"/>
      <c r="DA93" s="104"/>
      <c r="DB93" s="82"/>
      <c r="DC93" s="82"/>
      <c r="DD93" s="82"/>
      <c r="DE93" s="82"/>
      <c r="DF93" s="82"/>
      <c r="DG93" s="82"/>
      <c r="DH93" s="141"/>
      <c r="DI93" s="141"/>
      <c r="DJ93" s="141"/>
      <c r="DK93" s="141"/>
      <c r="DL93" s="141"/>
      <c r="DM93" s="141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</row>
    <row r="94" spans="2:130" s="17" customFormat="1" x14ac:dyDescent="0.15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1"/>
      <c r="BX94" s="141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79"/>
      <c r="CP94" s="79"/>
      <c r="CQ94" s="79"/>
      <c r="CR94" s="79"/>
      <c r="CS94" s="79"/>
      <c r="CT94" s="79"/>
      <c r="CU94" s="79"/>
      <c r="CW94" s="82"/>
      <c r="CX94" s="82"/>
      <c r="CY94" s="82"/>
      <c r="CZ94" s="104"/>
      <c r="DA94" s="104"/>
      <c r="DB94" s="82"/>
      <c r="DC94" s="82"/>
      <c r="DD94" s="82"/>
      <c r="DE94" s="82"/>
      <c r="DF94" s="82"/>
      <c r="DG94" s="82"/>
      <c r="DH94" s="141"/>
      <c r="DI94" s="141"/>
      <c r="DJ94" s="141"/>
      <c r="DK94" s="141"/>
      <c r="DL94" s="141"/>
      <c r="DM94" s="141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</row>
    <row r="95" spans="2:130" s="17" customFormat="1" x14ac:dyDescent="0.15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1"/>
      <c r="BX95" s="141"/>
      <c r="BY95" s="141"/>
      <c r="BZ95" s="141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79"/>
      <c r="CP95" s="79"/>
      <c r="CQ95" s="79"/>
      <c r="CR95" s="79"/>
      <c r="CS95" s="79"/>
      <c r="CT95" s="79"/>
      <c r="CU95" s="79"/>
      <c r="CW95" s="82"/>
      <c r="CX95" s="82"/>
      <c r="CY95" s="82"/>
      <c r="CZ95" s="104"/>
      <c r="DA95" s="104"/>
      <c r="DB95" s="82"/>
      <c r="DC95" s="82"/>
      <c r="DD95" s="82"/>
      <c r="DE95" s="82"/>
      <c r="DF95" s="82"/>
      <c r="DG95" s="82"/>
      <c r="DH95" s="141"/>
      <c r="DI95" s="141"/>
      <c r="DJ95" s="141"/>
      <c r="DK95" s="141"/>
      <c r="DL95" s="141"/>
      <c r="DM95" s="141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</row>
    <row r="96" spans="2:130" s="17" customFormat="1" x14ac:dyDescent="0.15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1"/>
      <c r="BX96" s="141"/>
      <c r="BY96" s="141"/>
      <c r="BZ96" s="141"/>
      <c r="CA96" s="141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79"/>
      <c r="CP96" s="79"/>
      <c r="CQ96" s="79"/>
      <c r="CR96" s="79"/>
      <c r="CS96" s="79"/>
      <c r="CT96" s="79"/>
      <c r="CU96" s="79"/>
      <c r="CW96" s="82"/>
      <c r="CX96" s="82"/>
      <c r="CY96" s="82"/>
      <c r="CZ96" s="104"/>
      <c r="DA96" s="104"/>
      <c r="DB96" s="82"/>
      <c r="DC96" s="82"/>
      <c r="DD96" s="82"/>
      <c r="DE96" s="82"/>
      <c r="DF96" s="82"/>
      <c r="DG96" s="82"/>
      <c r="DH96" s="141"/>
      <c r="DI96" s="141"/>
      <c r="DJ96" s="141"/>
      <c r="DK96" s="141"/>
      <c r="DL96" s="141"/>
      <c r="DM96" s="141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</row>
    <row r="97" spans="2:130" s="17" customFormat="1" x14ac:dyDescent="0.15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1"/>
      <c r="BX97" s="141"/>
      <c r="BY97" s="141"/>
      <c r="BZ97" s="141"/>
      <c r="CA97" s="141"/>
      <c r="CB97" s="141"/>
      <c r="CC97" s="141"/>
      <c r="CD97" s="141"/>
      <c r="CE97" s="141"/>
      <c r="CF97" s="141"/>
      <c r="CG97" s="141"/>
      <c r="CH97" s="141"/>
      <c r="CI97" s="141"/>
      <c r="CJ97" s="141"/>
      <c r="CK97" s="141"/>
      <c r="CL97" s="141"/>
      <c r="CM97" s="141"/>
      <c r="CN97" s="141"/>
      <c r="CO97" s="79"/>
      <c r="CP97" s="79"/>
      <c r="CQ97" s="79"/>
      <c r="CR97" s="79"/>
      <c r="CS97" s="79"/>
      <c r="CT97" s="79"/>
      <c r="CU97" s="79"/>
      <c r="CW97" s="82"/>
      <c r="CX97" s="82"/>
      <c r="CY97" s="82"/>
      <c r="CZ97" s="104"/>
      <c r="DA97" s="104"/>
      <c r="DB97" s="82"/>
      <c r="DC97" s="82"/>
      <c r="DD97" s="82"/>
      <c r="DE97" s="82"/>
      <c r="DF97" s="82"/>
      <c r="DG97" s="82"/>
      <c r="DH97" s="141"/>
      <c r="DI97" s="141"/>
      <c r="DJ97" s="141"/>
      <c r="DK97" s="141"/>
      <c r="DL97" s="141"/>
      <c r="DM97" s="141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</row>
    <row r="98" spans="2:130" s="17" customFormat="1" x14ac:dyDescent="0.15">
      <c r="B98" s="100" t="s">
        <v>639</v>
      </c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129">
        <f>(AZ49*4)/(AZ73-AZ71)</f>
        <v>0.85137936998050989</v>
      </c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1"/>
      <c r="BX98" s="141"/>
      <c r="BY98" s="141"/>
      <c r="BZ98" s="141"/>
      <c r="CA98" s="141"/>
      <c r="CB98" s="141"/>
      <c r="CC98" s="141"/>
      <c r="CD98" s="141"/>
      <c r="CE98" s="141"/>
      <c r="CF98" s="141"/>
      <c r="CG98" s="141"/>
      <c r="CH98" s="141"/>
      <c r="CI98" s="141"/>
      <c r="CJ98" s="141"/>
      <c r="CK98" s="141"/>
      <c r="CL98" s="141"/>
      <c r="CM98" s="141"/>
      <c r="CN98" s="141"/>
      <c r="CO98" s="79"/>
      <c r="CP98" s="79"/>
      <c r="CQ98" s="79"/>
      <c r="CR98" s="79"/>
      <c r="CS98" s="79"/>
      <c r="CT98" s="79"/>
      <c r="CU98" s="79"/>
      <c r="CW98" s="82"/>
      <c r="CX98" s="82"/>
      <c r="CY98" s="82"/>
      <c r="CZ98" s="104"/>
      <c r="DA98" s="104"/>
      <c r="DB98" s="82"/>
      <c r="DC98" s="82"/>
      <c r="DD98" s="82"/>
      <c r="DE98" s="82"/>
      <c r="DF98" s="82"/>
      <c r="DG98" s="82"/>
      <c r="DH98" s="141"/>
      <c r="DI98" s="141"/>
      <c r="DJ98" s="141"/>
      <c r="DK98" s="141"/>
      <c r="DL98" s="141"/>
      <c r="DM98" s="141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</row>
    <row r="99" spans="2:130" x14ac:dyDescent="0.15">
      <c r="B99" s="92" t="s">
        <v>640</v>
      </c>
      <c r="AZ99" s="129">
        <f>(AZ49*4)/AZ73</f>
        <v>0.50544168132936818</v>
      </c>
    </row>
    <row r="100" spans="2:130" x14ac:dyDescent="0.15">
      <c r="B100" s="92" t="s">
        <v>641</v>
      </c>
      <c r="AZ100" s="129">
        <f>(AZ49*4)/(AZ73-AZ84)</f>
        <v>0.95795251286393612</v>
      </c>
    </row>
    <row r="101" spans="2:130" x14ac:dyDescent="0.15">
      <c r="B101" s="92" t="s">
        <v>642</v>
      </c>
      <c r="AZ101" s="129">
        <f>(AZ49*4)/(AZ73-AZ71-AZ84)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4" x14ac:dyDescent="0.15">
      <c r="A1" s="33" t="s">
        <v>139</v>
      </c>
    </row>
    <row r="3" spans="1:4" x14ac:dyDescent="0.15">
      <c r="B3" t="s">
        <v>2</v>
      </c>
      <c r="C3" t="s">
        <v>27</v>
      </c>
    </row>
    <row r="4" spans="1:4" x14ac:dyDescent="0.15">
      <c r="C4" t="s">
        <v>29</v>
      </c>
    </row>
    <row r="5" spans="1:4" x14ac:dyDescent="0.15">
      <c r="D5" t="s">
        <v>28</v>
      </c>
    </row>
    <row r="6" spans="1:4" x14ac:dyDescent="0.15">
      <c r="D6" t="s">
        <v>30</v>
      </c>
    </row>
    <row r="7" spans="1:4" x14ac:dyDescent="0.15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647</v>
      </c>
    </row>
    <row r="3" spans="1:3" x14ac:dyDescent="0.15">
      <c r="B3" s="95" t="s">
        <v>53</v>
      </c>
      <c r="C3" s="95" t="s">
        <v>707</v>
      </c>
    </row>
    <row r="4" spans="1:3" x14ac:dyDescent="0.15">
      <c r="B4" t="s">
        <v>4</v>
      </c>
      <c r="C4" t="s">
        <v>721</v>
      </c>
    </row>
    <row r="5" spans="1:3" x14ac:dyDescent="0.15">
      <c r="C5" t="s">
        <v>722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680</v>
      </c>
    </row>
    <row r="3" spans="1:3" x14ac:dyDescent="0.15">
      <c r="B3" s="95" t="s">
        <v>53</v>
      </c>
      <c r="C3" s="95" t="s">
        <v>729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731</v>
      </c>
    </row>
    <row r="6" spans="1:3" x14ac:dyDescent="0.15">
      <c r="B6" s="95"/>
      <c r="C6" s="95" t="s">
        <v>732</v>
      </c>
    </row>
    <row r="7" spans="1:3" x14ac:dyDescent="0.15">
      <c r="C7" s="95" t="s">
        <v>730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681</v>
      </c>
    </row>
    <row r="3" spans="1:3" x14ac:dyDescent="0.15">
      <c r="B3" s="95" t="s">
        <v>53</v>
      </c>
      <c r="C3" s="95" t="s">
        <v>734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735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  <col min="3" max="3" width="11.1640625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684</v>
      </c>
    </row>
    <row r="3" spans="1:3" x14ac:dyDescent="0.15">
      <c r="B3" s="95" t="s">
        <v>53</v>
      </c>
      <c r="C3" s="95" t="s">
        <v>746</v>
      </c>
    </row>
    <row r="4" spans="1:3" x14ac:dyDescent="0.15">
      <c r="B4" s="95" t="s">
        <v>1</v>
      </c>
      <c r="C4" s="95" t="s">
        <v>744</v>
      </c>
    </row>
    <row r="5" spans="1:3" x14ac:dyDescent="0.15">
      <c r="B5" s="95" t="s">
        <v>142</v>
      </c>
    </row>
    <row r="6" spans="1:3" x14ac:dyDescent="0.15">
      <c r="C6" s="121" t="s">
        <v>750</v>
      </c>
    </row>
    <row r="7" spans="1:3" x14ac:dyDescent="0.15">
      <c r="C7" s="95" t="s">
        <v>747</v>
      </c>
    </row>
    <row r="8" spans="1:3" x14ac:dyDescent="0.15">
      <c r="C8" s="95" t="s">
        <v>749</v>
      </c>
    </row>
    <row r="10" spans="1:3" x14ac:dyDescent="0.15">
      <c r="C10" s="121" t="s">
        <v>748</v>
      </c>
    </row>
    <row r="11" spans="1:3" x14ac:dyDescent="0.15">
      <c r="C11" s="95" t="s">
        <v>749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2" t="s">
        <v>139</v>
      </c>
    </row>
    <row r="2" spans="1:3" x14ac:dyDescent="0.15">
      <c r="B2" t="s">
        <v>140</v>
      </c>
      <c r="C2" t="s">
        <v>586</v>
      </c>
    </row>
    <row r="4" spans="1:3" x14ac:dyDescent="0.15">
      <c r="C4" s="95" t="s">
        <v>476</v>
      </c>
    </row>
    <row r="5" spans="1:3" x14ac:dyDescent="0.15">
      <c r="C5" s="95" t="s">
        <v>477</v>
      </c>
    </row>
    <row r="6" spans="1:3" x14ac:dyDescent="0.15">
      <c r="C6" s="95" t="s">
        <v>478</v>
      </c>
    </row>
    <row r="7" spans="1:3" x14ac:dyDescent="0.15">
      <c r="C7" s="95" t="s">
        <v>479</v>
      </c>
    </row>
    <row r="8" spans="1:3" x14ac:dyDescent="0.15">
      <c r="C8" s="95" t="s">
        <v>480</v>
      </c>
    </row>
    <row r="9" spans="1:3" x14ac:dyDescent="0.15">
      <c r="C9" s="95" t="s">
        <v>481</v>
      </c>
    </row>
    <row r="10" spans="1:3" x14ac:dyDescent="0.15">
      <c r="C10" s="95" t="s">
        <v>482</v>
      </c>
    </row>
    <row r="11" spans="1:3" x14ac:dyDescent="0.15">
      <c r="C11" s="95" t="s">
        <v>483</v>
      </c>
    </row>
    <row r="12" spans="1:3" x14ac:dyDescent="0.15">
      <c r="C12" s="95" t="s">
        <v>484</v>
      </c>
    </row>
    <row r="13" spans="1:3" x14ac:dyDescent="0.15">
      <c r="C13" s="95" t="s">
        <v>485</v>
      </c>
    </row>
    <row r="14" spans="1:3" x14ac:dyDescent="0.15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687</v>
      </c>
    </row>
    <row r="3" spans="1:3" x14ac:dyDescent="0.15">
      <c r="B3" s="95" t="s">
        <v>53</v>
      </c>
      <c r="C3" s="95" t="s">
        <v>760</v>
      </c>
    </row>
    <row r="4" spans="1:3" x14ac:dyDescent="0.15">
      <c r="B4" s="95" t="s">
        <v>1</v>
      </c>
      <c r="C4" s="95" t="s">
        <v>759</v>
      </c>
    </row>
    <row r="5" spans="1:3" x14ac:dyDescent="0.15">
      <c r="B5" s="95" t="s">
        <v>714</v>
      </c>
    </row>
    <row r="6" spans="1:3" x14ac:dyDescent="0.15">
      <c r="B6" s="95" t="s">
        <v>2</v>
      </c>
      <c r="C6" s="95" t="s">
        <v>761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evan domingos - 2023</cp:lastModifiedBy>
  <cp:lastPrinted>2011-01-02T20:01:21Z</cp:lastPrinted>
  <dcterms:created xsi:type="dcterms:W3CDTF">2006-04-10T21:49:36Z</dcterms:created>
  <dcterms:modified xsi:type="dcterms:W3CDTF">2022-11-26T18:29:03Z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