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E7083683-CF03-0149-A37B-6B2423D96C0D}" xr6:coauthVersionLast="47" xr6:coauthVersionMax="47" xr10:uidLastSave="{00000000-0000-0000-0000-000000000000}"/>
  <bookViews>
    <workbookView xWindow="5900" yWindow="760" windowWidth="24340" windowHeight="17960" activeTab="1" xr2:uid="{CD182038-7304-4EC0-81DB-78F78E8AB6D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9" i="2" l="1"/>
  <c r="T58" i="2"/>
  <c r="T57" i="2"/>
  <c r="S55" i="2"/>
  <c r="S47" i="2"/>
  <c r="T47" i="2"/>
  <c r="U47" i="2"/>
  <c r="V47" i="2"/>
  <c r="S48" i="2"/>
  <c r="T48" i="2"/>
  <c r="U48" i="2"/>
  <c r="V48" i="2"/>
  <c r="S49" i="2"/>
  <c r="T49" i="2"/>
  <c r="U49" i="2"/>
  <c r="V49" i="2"/>
  <c r="S50" i="2"/>
  <c r="T50" i="2"/>
  <c r="U50" i="2"/>
  <c r="V50" i="2"/>
  <c r="S51" i="2"/>
  <c r="T51" i="2"/>
  <c r="U51" i="2"/>
  <c r="V51" i="2"/>
  <c r="S52" i="2"/>
  <c r="T52" i="2"/>
  <c r="U52" i="2"/>
  <c r="V52" i="2"/>
  <c r="S53" i="2"/>
  <c r="T53" i="2"/>
  <c r="U53" i="2"/>
  <c r="V53" i="2"/>
  <c r="T55" i="2"/>
  <c r="U55" i="2" s="1"/>
  <c r="V5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6" i="2"/>
  <c r="H27" i="2"/>
  <c r="H28" i="2"/>
  <c r="H25" i="2"/>
  <c r="L23" i="2"/>
  <c r="M23" i="2"/>
  <c r="N23" i="2"/>
  <c r="O23" i="2"/>
  <c r="P23" i="2"/>
  <c r="Q23" i="2"/>
  <c r="R23" i="2"/>
  <c r="S23" i="2"/>
  <c r="T23" i="2"/>
  <c r="U23" i="2"/>
  <c r="V23" i="2"/>
  <c r="K23" i="2"/>
  <c r="AL42" i="2"/>
  <c r="AL40" i="2"/>
  <c r="AK33" i="2"/>
  <c r="AK32" i="2"/>
  <c r="AK31" i="2"/>
  <c r="AK38" i="2"/>
  <c r="AK40" i="2"/>
  <c r="AK42" i="2"/>
  <c r="AK35" i="2"/>
  <c r="AJ34" i="2"/>
  <c r="T32" i="2"/>
  <c r="U32" i="2"/>
  <c r="V32" i="2"/>
  <c r="T33" i="2"/>
  <c r="U33" i="2"/>
  <c r="V33" i="2"/>
  <c r="S33" i="2"/>
  <c r="L20" i="2"/>
  <c r="M20" i="2"/>
  <c r="N20" i="2"/>
  <c r="O20" i="2"/>
  <c r="P20" i="2"/>
  <c r="Q20" i="2"/>
  <c r="R20" i="2"/>
  <c r="S20" i="2" s="1"/>
  <c r="L21" i="2"/>
  <c r="M21" i="2"/>
  <c r="N21" i="2"/>
  <c r="O21" i="2"/>
  <c r="P21" i="2"/>
  <c r="Q21" i="2"/>
  <c r="R21" i="2"/>
  <c r="S21" i="2" s="1"/>
  <c r="S32" i="2" s="1"/>
  <c r="L22" i="2"/>
  <c r="M22" i="2"/>
  <c r="N22" i="2"/>
  <c r="O22" i="2"/>
  <c r="P22" i="2"/>
  <c r="Q22" i="2"/>
  <c r="R22" i="2"/>
  <c r="K21" i="2"/>
  <c r="K22" i="2"/>
  <c r="K20" i="2"/>
  <c r="P34" i="2"/>
  <c r="Q34" i="2"/>
  <c r="U38" i="2"/>
  <c r="V38" i="2"/>
  <c r="T38" i="2"/>
  <c r="S38" i="2"/>
  <c r="AL38" i="2" s="1"/>
  <c r="R34" i="2"/>
  <c r="AL32" i="2" l="1"/>
  <c r="AL33" i="2"/>
  <c r="S31" i="2"/>
  <c r="S34" i="2" s="1"/>
  <c r="T20" i="2"/>
  <c r="Q48" i="2"/>
  <c r="Q49" i="2"/>
  <c r="Q50" i="2"/>
  <c r="Q45" i="2"/>
  <c r="R45" i="2" s="1"/>
  <c r="S45" i="2" s="1"/>
  <c r="AM38" i="2"/>
  <c r="AN38" i="2" s="1"/>
  <c r="AO38" i="2" s="1"/>
  <c r="AP38" i="2" s="1"/>
  <c r="AQ38" i="2" s="1"/>
  <c r="AR38" i="2" s="1"/>
  <c r="AS38" i="2" s="1"/>
  <c r="AT38" i="2" s="1"/>
  <c r="V2" i="2"/>
  <c r="U2" i="2"/>
  <c r="T2" i="2"/>
  <c r="S2" i="2"/>
  <c r="N82" i="2"/>
  <c r="M85" i="2"/>
  <c r="M69" i="2"/>
  <c r="M68" i="2"/>
  <c r="M55" i="2"/>
  <c r="M60" i="2"/>
  <c r="L99" i="2"/>
  <c r="M99" i="2" s="1"/>
  <c r="N99" i="2" s="1"/>
  <c r="L97" i="2"/>
  <c r="M97" i="2" s="1"/>
  <c r="N97" i="2" s="1"/>
  <c r="L95" i="2"/>
  <c r="M95" i="2" s="1"/>
  <c r="N95" i="2" s="1"/>
  <c r="O93" i="2"/>
  <c r="K93" i="2"/>
  <c r="L92" i="2"/>
  <c r="M92" i="2" s="1"/>
  <c r="N92" i="2" s="1"/>
  <c r="L90" i="2"/>
  <c r="M90" i="2" s="1"/>
  <c r="L86" i="2"/>
  <c r="M86" i="2" s="1"/>
  <c r="N86" i="2" s="1"/>
  <c r="L83" i="2"/>
  <c r="N83" i="2" s="1"/>
  <c r="L81" i="2"/>
  <c r="M81" i="2" s="1"/>
  <c r="N81" i="2" s="1"/>
  <c r="L78" i="2"/>
  <c r="M78" i="2" s="1"/>
  <c r="N78" i="2" s="1"/>
  <c r="L77" i="2"/>
  <c r="M77" i="2" s="1"/>
  <c r="N77" i="2" s="1"/>
  <c r="L76" i="2"/>
  <c r="M76" i="2" s="1"/>
  <c r="N76" i="2" s="1"/>
  <c r="L75" i="2"/>
  <c r="M75" i="2" s="1"/>
  <c r="N75" i="2" s="1"/>
  <c r="L67" i="2"/>
  <c r="L71" i="2" s="1"/>
  <c r="L55" i="2"/>
  <c r="L63" i="2" s="1"/>
  <c r="K96" i="2"/>
  <c r="K98" i="2" s="1"/>
  <c r="K87" i="2"/>
  <c r="K88" i="2" s="1"/>
  <c r="K102" i="2" s="1"/>
  <c r="K67" i="2"/>
  <c r="K68" i="2"/>
  <c r="K55" i="2"/>
  <c r="K63" i="2" s="1"/>
  <c r="AC47" i="2"/>
  <c r="AB36" i="2"/>
  <c r="AB39" i="2" s="1"/>
  <c r="AB41" i="2" s="1"/>
  <c r="AB43" i="2" s="1"/>
  <c r="AB44" i="2" s="1"/>
  <c r="AD47" i="2"/>
  <c r="AC36" i="2"/>
  <c r="AC39" i="2" s="1"/>
  <c r="AC41" i="2" s="1"/>
  <c r="AC43" i="2" s="1"/>
  <c r="AC44" i="2" s="1"/>
  <c r="AE47" i="2"/>
  <c r="AD36" i="2"/>
  <c r="AD39" i="2" s="1"/>
  <c r="AD41" i="2" s="1"/>
  <c r="AD43" i="2" s="1"/>
  <c r="AD44" i="2" s="1"/>
  <c r="AD2" i="2"/>
  <c r="AC2" i="2" s="1"/>
  <c r="AB2" i="2" s="1"/>
  <c r="AA2" i="2" s="1"/>
  <c r="AE36" i="2"/>
  <c r="AE39" i="2" s="1"/>
  <c r="AE41" i="2" s="1"/>
  <c r="AE43" i="2" s="1"/>
  <c r="AE44" i="2" s="1"/>
  <c r="AE5" i="2"/>
  <c r="AJ50" i="2"/>
  <c r="AI50" i="2"/>
  <c r="AG33" i="2"/>
  <c r="AH50" i="2" s="1"/>
  <c r="AF33" i="2"/>
  <c r="R49" i="2"/>
  <c r="P49" i="2"/>
  <c r="O49" i="2"/>
  <c r="N49" i="2"/>
  <c r="M49" i="2"/>
  <c r="L49" i="2"/>
  <c r="K49" i="2"/>
  <c r="R48" i="2"/>
  <c r="P48" i="2"/>
  <c r="O48" i="2"/>
  <c r="N48" i="2"/>
  <c r="M48" i="2"/>
  <c r="L48" i="2"/>
  <c r="K48" i="2"/>
  <c r="R50" i="2"/>
  <c r="P50" i="2"/>
  <c r="N50" i="2"/>
  <c r="M50" i="2"/>
  <c r="L50" i="2"/>
  <c r="K50" i="2"/>
  <c r="O50" i="2"/>
  <c r="AT88" i="2"/>
  <c r="AS88" i="2"/>
  <c r="AR88" i="2"/>
  <c r="AQ88" i="2"/>
  <c r="AP88" i="2"/>
  <c r="AO88" i="2"/>
  <c r="AN88" i="2"/>
  <c r="AM88" i="2"/>
  <c r="AL88" i="2"/>
  <c r="AK45" i="2"/>
  <c r="AL45" i="2" s="1"/>
  <c r="AM45" i="2" s="1"/>
  <c r="AN45" i="2" s="1"/>
  <c r="AO45" i="2" s="1"/>
  <c r="AP45" i="2" s="1"/>
  <c r="AQ45" i="2" s="1"/>
  <c r="AR45" i="2" s="1"/>
  <c r="AS45" i="2" s="1"/>
  <c r="AT45" i="2" s="1"/>
  <c r="AL2" i="2"/>
  <c r="AM2" i="2" s="1"/>
  <c r="AN2" i="2" s="1"/>
  <c r="AO2" i="2" s="1"/>
  <c r="AP2" i="2" s="1"/>
  <c r="AJ87" i="2"/>
  <c r="AJ88" i="2" s="1"/>
  <c r="AJ102" i="2" s="1"/>
  <c r="AF87" i="2"/>
  <c r="AF88" i="2" s="1"/>
  <c r="AF102" i="2" s="1"/>
  <c r="AI87" i="2"/>
  <c r="AI88" i="2" s="1"/>
  <c r="AI102" i="2" s="1"/>
  <c r="AH87" i="2"/>
  <c r="AH88" i="2" s="1"/>
  <c r="AH102" i="2" s="1"/>
  <c r="AK88" i="2"/>
  <c r="AG87" i="2"/>
  <c r="AG88" i="2" s="1"/>
  <c r="AG102" i="2" s="1"/>
  <c r="O111" i="2"/>
  <c r="N111" i="2"/>
  <c r="AF34" i="2"/>
  <c r="AF36" i="2" s="1"/>
  <c r="AF39" i="2" s="1"/>
  <c r="AF41" i="2" s="1"/>
  <c r="AF43" i="2" s="1"/>
  <c r="AF44" i="2" s="1"/>
  <c r="AG34" i="2"/>
  <c r="AG36" i="2" s="1"/>
  <c r="AG39" i="2" s="1"/>
  <c r="AH36" i="2"/>
  <c r="G34" i="2"/>
  <c r="G36" i="2" s="1"/>
  <c r="G37" i="2" s="1"/>
  <c r="O34" i="2"/>
  <c r="N34" i="2"/>
  <c r="M34" i="2"/>
  <c r="M36" i="2" s="1"/>
  <c r="M37" i="2" s="1"/>
  <c r="L34" i="2"/>
  <c r="P36" i="2" s="1"/>
  <c r="K34" i="2"/>
  <c r="K36" i="2" s="1"/>
  <c r="J34" i="2"/>
  <c r="J36" i="2" s="1"/>
  <c r="I34" i="2"/>
  <c r="I36" i="2" s="1"/>
  <c r="I37" i="2" s="1"/>
  <c r="H34" i="2"/>
  <c r="AI34" i="2"/>
  <c r="N67" i="2"/>
  <c r="N71" i="2" s="1"/>
  <c r="N55" i="2"/>
  <c r="N63" i="2" s="1"/>
  <c r="O67" i="2"/>
  <c r="O68" i="2"/>
  <c r="O55" i="2"/>
  <c r="O63" i="2" s="1"/>
  <c r="O98" i="2"/>
  <c r="O87" i="2"/>
  <c r="O88" i="2" s="1"/>
  <c r="O102" i="2" s="1"/>
  <c r="M6" i="1"/>
  <c r="M5" i="1"/>
  <c r="M4" i="1"/>
  <c r="M7" i="1" s="1"/>
  <c r="T45" i="2" l="1"/>
  <c r="J51" i="2"/>
  <c r="J37" i="2"/>
  <c r="K39" i="2"/>
  <c r="K41" i="2" s="1"/>
  <c r="K43" i="2" s="1"/>
  <c r="K44" i="2" s="1"/>
  <c r="K37" i="2"/>
  <c r="P39" i="2"/>
  <c r="P37" i="2"/>
  <c r="S35" i="2"/>
  <c r="AI36" i="2"/>
  <c r="AI39" i="2" s="1"/>
  <c r="AI47" i="2"/>
  <c r="O36" i="2"/>
  <c r="AK34" i="2"/>
  <c r="AK36" i="2" s="1"/>
  <c r="AK39" i="2" s="1"/>
  <c r="AK41" i="2" s="1"/>
  <c r="AK43" i="2" s="1"/>
  <c r="T31" i="2"/>
  <c r="T34" i="2" s="1"/>
  <c r="U20" i="2"/>
  <c r="Q47" i="2"/>
  <c r="R36" i="2"/>
  <c r="M96" i="2"/>
  <c r="N96" i="2" s="1"/>
  <c r="N98" i="2" s="1"/>
  <c r="L93" i="2"/>
  <c r="L98" i="2"/>
  <c r="M93" i="2"/>
  <c r="N90" i="2"/>
  <c r="N93" i="2" s="1"/>
  <c r="M71" i="2"/>
  <c r="M63" i="2"/>
  <c r="L87" i="2"/>
  <c r="K100" i="2"/>
  <c r="K71" i="2"/>
  <c r="AE53" i="2"/>
  <c r="AF53" i="2"/>
  <c r="AB53" i="2"/>
  <c r="AE52" i="2"/>
  <c r="AB51" i="2"/>
  <c r="AB52" i="2"/>
  <c r="AF47" i="2"/>
  <c r="AC51" i="2"/>
  <c r="AC52" i="2"/>
  <c r="AE51" i="2"/>
  <c r="AC53" i="2"/>
  <c r="AD51" i="2"/>
  <c r="AD53" i="2"/>
  <c r="AD52" i="2"/>
  <c r="AK50" i="2"/>
  <c r="AM33" i="2"/>
  <c r="AN33" i="2" s="1"/>
  <c r="AO33" i="2" s="1"/>
  <c r="AP33" i="2" s="1"/>
  <c r="AQ33" i="2" s="1"/>
  <c r="AR33" i="2" s="1"/>
  <c r="AS33" i="2" s="1"/>
  <c r="AT33" i="2" s="1"/>
  <c r="AL50" i="2"/>
  <c r="AG50" i="2"/>
  <c r="AI55" i="2"/>
  <c r="AF52" i="2"/>
  <c r="P41" i="2"/>
  <c r="P51" i="2"/>
  <c r="AQ2" i="2"/>
  <c r="AR2" i="2" s="1"/>
  <c r="AS2" i="2" s="1"/>
  <c r="AT2" i="2" s="1"/>
  <c r="AF74" i="2"/>
  <c r="R47" i="2"/>
  <c r="P47" i="2"/>
  <c r="AG47" i="2"/>
  <c r="AG51" i="2"/>
  <c r="AH47" i="2"/>
  <c r="N47" i="2"/>
  <c r="AF51" i="2"/>
  <c r="AH39" i="2"/>
  <c r="AH51" i="2"/>
  <c r="AJ47" i="2"/>
  <c r="K47" i="2"/>
  <c r="G51" i="2"/>
  <c r="G39" i="2"/>
  <c r="G41" i="2" s="1"/>
  <c r="L47" i="2"/>
  <c r="L36" i="2"/>
  <c r="H36" i="2"/>
  <c r="H37" i="2" s="1"/>
  <c r="I51" i="2"/>
  <c r="I39" i="2"/>
  <c r="I41" i="2" s="1"/>
  <c r="M47" i="2"/>
  <c r="M39" i="2"/>
  <c r="M41" i="2" s="1"/>
  <c r="M51" i="2"/>
  <c r="AJ36" i="2"/>
  <c r="O47" i="2"/>
  <c r="J39" i="2"/>
  <c r="J41" i="2" s="1"/>
  <c r="N36" i="2"/>
  <c r="N37" i="2" s="1"/>
  <c r="O100" i="2"/>
  <c r="O71" i="2"/>
  <c r="K51" i="2"/>
  <c r="K74" i="2" l="1"/>
  <c r="O37" i="2"/>
  <c r="O39" i="2"/>
  <c r="O41" i="2" s="1"/>
  <c r="R39" i="2"/>
  <c r="R41" i="2" s="1"/>
  <c r="R53" i="2" s="1"/>
  <c r="R37" i="2"/>
  <c r="AI51" i="2"/>
  <c r="L39" i="2"/>
  <c r="L41" i="2" s="1"/>
  <c r="L43" i="2" s="1"/>
  <c r="L37" i="2"/>
  <c r="K53" i="2"/>
  <c r="U45" i="2"/>
  <c r="O51" i="2"/>
  <c r="K52" i="2"/>
  <c r="T35" i="2"/>
  <c r="T36" i="2"/>
  <c r="T39" i="2" s="1"/>
  <c r="T41" i="2" s="1"/>
  <c r="T43" i="2" s="1"/>
  <c r="T44" i="2" s="1"/>
  <c r="S36" i="2"/>
  <c r="S39" i="2" s="1"/>
  <c r="S41" i="2" s="1"/>
  <c r="S43" i="2" s="1"/>
  <c r="S44" i="2" s="1"/>
  <c r="M98" i="2"/>
  <c r="U31" i="2"/>
  <c r="V20" i="2"/>
  <c r="V31" i="2" s="1"/>
  <c r="V34" i="2" s="1"/>
  <c r="R51" i="2"/>
  <c r="L88" i="2"/>
  <c r="M87" i="2"/>
  <c r="AN50" i="2"/>
  <c r="AM50" i="2"/>
  <c r="P43" i="2"/>
  <c r="P53" i="2"/>
  <c r="P52" i="2"/>
  <c r="G43" i="2"/>
  <c r="G44" i="2" s="1"/>
  <c r="G52" i="2"/>
  <c r="G53" i="2"/>
  <c r="M43" i="2"/>
  <c r="M53" i="2"/>
  <c r="M52" i="2"/>
  <c r="J43" i="2"/>
  <c r="J44" i="2" s="1"/>
  <c r="J53" i="2"/>
  <c r="J52" i="2"/>
  <c r="I43" i="2"/>
  <c r="I44" i="2" s="1"/>
  <c r="I52" i="2"/>
  <c r="I53" i="2"/>
  <c r="R43" i="2"/>
  <c r="R44" i="2" s="1"/>
  <c r="AO50" i="2"/>
  <c r="AI41" i="2"/>
  <c r="AI52" i="2"/>
  <c r="AH41" i="2"/>
  <c r="AH52" i="2"/>
  <c r="Q36" i="2"/>
  <c r="L51" i="2"/>
  <c r="H39" i="2"/>
  <c r="H41" i="2" s="1"/>
  <c r="H51" i="2"/>
  <c r="AJ51" i="2"/>
  <c r="AJ39" i="2"/>
  <c r="N51" i="2"/>
  <c r="N39" i="2"/>
  <c r="N41" i="2" s="1"/>
  <c r="R52" i="2" l="1"/>
  <c r="L52" i="2"/>
  <c r="O43" i="2"/>
  <c r="O53" i="2"/>
  <c r="O52" i="2"/>
  <c r="L53" i="2"/>
  <c r="V35" i="2"/>
  <c r="U34" i="2"/>
  <c r="AL31" i="2"/>
  <c r="Q39" i="2"/>
  <c r="Q41" i="2" s="1"/>
  <c r="Q43" i="2" s="1"/>
  <c r="Q44" i="2" s="1"/>
  <c r="Q37" i="2"/>
  <c r="V45" i="2"/>
  <c r="N87" i="2"/>
  <c r="N88" i="2" s="1"/>
  <c r="M88" i="2"/>
  <c r="L102" i="2"/>
  <c r="L100" i="2"/>
  <c r="M44" i="2"/>
  <c r="M74" i="2"/>
  <c r="L44" i="2"/>
  <c r="L74" i="2"/>
  <c r="AH43" i="2"/>
  <c r="AH44" i="2" s="1"/>
  <c r="AH53" i="2"/>
  <c r="AI43" i="2"/>
  <c r="AI44" i="2" s="1"/>
  <c r="AI53" i="2"/>
  <c r="H43" i="2"/>
  <c r="H44" i="2" s="1"/>
  <c r="H52" i="2"/>
  <c r="H53" i="2"/>
  <c r="AK47" i="2"/>
  <c r="N43" i="2"/>
  <c r="N74" i="2" s="1"/>
  <c r="N52" i="2"/>
  <c r="N53" i="2"/>
  <c r="P44" i="2"/>
  <c r="P55" i="2"/>
  <c r="AP50" i="2"/>
  <c r="AJ41" i="2"/>
  <c r="AJ52" i="2"/>
  <c r="AG41" i="2"/>
  <c r="AG52" i="2"/>
  <c r="Q51" i="2"/>
  <c r="Q52" i="2" l="1"/>
  <c r="Q53" i="2"/>
  <c r="U35" i="2"/>
  <c r="AL35" i="2" s="1"/>
  <c r="AL34" i="2"/>
  <c r="AM34" i="2" s="1"/>
  <c r="AN34" i="2" s="1"/>
  <c r="AO34" i="2" s="1"/>
  <c r="AP34" i="2" s="1"/>
  <c r="AQ34" i="2" s="1"/>
  <c r="AR34" i="2" s="1"/>
  <c r="V36" i="2"/>
  <c r="V39" i="2" s="1"/>
  <c r="V41" i="2" s="1"/>
  <c r="V43" i="2" s="1"/>
  <c r="V44" i="2" s="1"/>
  <c r="O44" i="2"/>
  <c r="O74" i="2"/>
  <c r="M102" i="2"/>
  <c r="M100" i="2"/>
  <c r="AH74" i="2"/>
  <c r="AI74" i="2"/>
  <c r="N102" i="2"/>
  <c r="N100" i="2"/>
  <c r="N44" i="2"/>
  <c r="AG43" i="2"/>
  <c r="AG74" i="2" s="1"/>
  <c r="AG53" i="2"/>
  <c r="AJ43" i="2"/>
  <c r="AJ74" i="2" s="1"/>
  <c r="AJ53" i="2"/>
  <c r="R55" i="2"/>
  <c r="AJ55" i="2" s="1"/>
  <c r="AQ50" i="2"/>
  <c r="AK52" i="2"/>
  <c r="AK51" i="2"/>
  <c r="AL47" i="2" l="1"/>
  <c r="AL36" i="2"/>
  <c r="AL51" i="2" s="1"/>
  <c r="U36" i="2"/>
  <c r="U39" i="2" s="1"/>
  <c r="U41" i="2" s="1"/>
  <c r="U43" i="2" s="1"/>
  <c r="U44" i="2" s="1"/>
  <c r="AJ44" i="2"/>
  <c r="AG44" i="2"/>
  <c r="AM35" i="2"/>
  <c r="AM36" i="2" s="1"/>
  <c r="AR50" i="2"/>
  <c r="AK74" i="2"/>
  <c r="AK55" i="2"/>
  <c r="AK53" i="2"/>
  <c r="AK44" i="2"/>
  <c r="AM47" i="2"/>
  <c r="AL39" i="2" l="1"/>
  <c r="AL41" i="2" s="1"/>
  <c r="AL43" i="2" s="1"/>
  <c r="AL55" i="2" s="1"/>
  <c r="AN35" i="2"/>
  <c r="AN36" i="2" s="1"/>
  <c r="AS34" i="2"/>
  <c r="AT34" i="2" s="1"/>
  <c r="AT50" i="2"/>
  <c r="AS50" i="2"/>
  <c r="AM39" i="2"/>
  <c r="AM51" i="2"/>
  <c r="AN47" i="2"/>
  <c r="AL52" i="2" l="1"/>
  <c r="AO47" i="2"/>
  <c r="AO35" i="2"/>
  <c r="AO36" i="2" s="1"/>
  <c r="AM40" i="2"/>
  <c r="AM41" i="2" s="1"/>
  <c r="AM53" i="2" s="1"/>
  <c r="AL44" i="2"/>
  <c r="AL74" i="2"/>
  <c r="AM52" i="2"/>
  <c r="AL53" i="2"/>
  <c r="AN39" i="2"/>
  <c r="AN51" i="2"/>
  <c r="AP35" i="2"/>
  <c r="AM43" i="2" l="1"/>
  <c r="AN52" i="2"/>
  <c r="AO51" i="2"/>
  <c r="AO39" i="2"/>
  <c r="AQ35" i="2"/>
  <c r="AP47" i="2"/>
  <c r="AP36" i="2"/>
  <c r="AM44" i="2" l="1"/>
  <c r="AM55" i="2"/>
  <c r="AM74" i="2"/>
  <c r="AO52" i="2"/>
  <c r="AP39" i="2"/>
  <c r="AP51" i="2"/>
  <c r="AR35" i="2"/>
  <c r="AQ47" i="2"/>
  <c r="AQ36" i="2"/>
  <c r="AN40" i="2" l="1"/>
  <c r="AN41" i="2" s="1"/>
  <c r="AP52" i="2"/>
  <c r="AS35" i="2"/>
  <c r="AR36" i="2"/>
  <c r="AR47" i="2"/>
  <c r="AQ51" i="2"/>
  <c r="AQ39" i="2"/>
  <c r="AN43" i="2" l="1"/>
  <c r="AN53" i="2"/>
  <c r="AQ52" i="2"/>
  <c r="AR39" i="2"/>
  <c r="AR51" i="2"/>
  <c r="AT35" i="2"/>
  <c r="AS47" i="2"/>
  <c r="AS36" i="2"/>
  <c r="AN44" i="2" l="1"/>
  <c r="AN74" i="2"/>
  <c r="AN55" i="2"/>
  <c r="AR52" i="2"/>
  <c r="AS39" i="2"/>
  <c r="AS51" i="2"/>
  <c r="AT36" i="2"/>
  <c r="AT47" i="2"/>
  <c r="AO40" i="2" l="1"/>
  <c r="AO41" i="2" s="1"/>
  <c r="AO42" i="2" s="1"/>
  <c r="AS52" i="2"/>
  <c r="AT39" i="2"/>
  <c r="AT51" i="2"/>
  <c r="AO53" i="2" l="1"/>
  <c r="AT52" i="2"/>
  <c r="AO43" i="2" l="1"/>
  <c r="AO74" i="2" s="1"/>
  <c r="AO55" i="2" l="1"/>
  <c r="AP40" i="2" s="1"/>
  <c r="AP41" i="2" s="1"/>
  <c r="AP42" i="2" s="1"/>
  <c r="AO44" i="2"/>
  <c r="AP53" i="2" l="1"/>
  <c r="AP43" i="2" l="1"/>
  <c r="AP44" i="2" s="1"/>
  <c r="AP55" i="2" l="1"/>
  <c r="AQ40" i="2" s="1"/>
  <c r="AQ41" i="2" s="1"/>
  <c r="AQ42" i="2" s="1"/>
  <c r="AP74" i="2"/>
  <c r="AQ53" i="2" l="1"/>
  <c r="AQ43" i="2" l="1"/>
  <c r="AQ44" i="2" s="1"/>
  <c r="AQ55" i="2" l="1"/>
  <c r="AR40" i="2" s="1"/>
  <c r="AR41" i="2" s="1"/>
  <c r="AR42" i="2" s="1"/>
  <c r="AQ74" i="2"/>
  <c r="AR53" i="2" l="1"/>
  <c r="AR43" i="2" l="1"/>
  <c r="AR44" i="2" l="1"/>
  <c r="AR74" i="2"/>
  <c r="AR55" i="2"/>
  <c r="AS40" i="2" l="1"/>
  <c r="AS41" i="2" s="1"/>
  <c r="AS42" i="2" s="1"/>
  <c r="AS53" i="2" l="1"/>
  <c r="AS43" i="2" l="1"/>
  <c r="AS44" i="2" l="1"/>
  <c r="AS74" i="2"/>
  <c r="AS55" i="2"/>
  <c r="AT40" i="2" l="1"/>
  <c r="AT41" i="2" s="1"/>
  <c r="AT42" i="2" s="1"/>
  <c r="AT53" i="2" l="1"/>
  <c r="AT43" i="2" l="1"/>
  <c r="AT74" i="2" l="1"/>
  <c r="AT44" i="2"/>
  <c r="AU43" i="2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AX79" i="2" s="1"/>
  <c r="AX80" i="2" s="1"/>
  <c r="AX81" i="2" s="1"/>
  <c r="AT55" i="2"/>
</calcChain>
</file>

<file path=xl/sharedStrings.xml><?xml version="1.0" encoding="utf-8"?>
<sst xmlns="http://schemas.openxmlformats.org/spreadsheetml/2006/main" count="151" uniqueCount="132">
  <si>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</si>
  <si>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</si>
  <si>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</si>
  <si>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</si>
  <si>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</si>
  <si>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</si>
  <si>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</si>
  <si>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</si>
  <si>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</si>
  <si>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</si>
  <si>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</si>
  <si>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</si>
  <si>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</si>
  <si>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</si>
  <si>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</si>
  <si>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</si>
  <si>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</si>
  <si>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</si>
  <si>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</si>
  <si>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</si>
  <si>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</si>
  <si>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</si>
  <si>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</si>
  <si>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</si>
  <si>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Gross Margin</t>
  </si>
  <si>
    <t>COGS</t>
  </si>
  <si>
    <t>SG&amp;A</t>
  </si>
  <si>
    <t>Operating Income</t>
  </si>
  <si>
    <t>Interest Expense</t>
  </si>
  <si>
    <t>Pretax Income</t>
  </si>
  <si>
    <t>Net Income</t>
  </si>
  <si>
    <t>Taxes</t>
  </si>
  <si>
    <t>EPS</t>
  </si>
  <si>
    <t>Revenue y/y</t>
  </si>
  <si>
    <t>Model NI</t>
  </si>
  <si>
    <t>Reported NI</t>
  </si>
  <si>
    <t>D&amp;A</t>
  </si>
  <si>
    <t>SBC</t>
  </si>
  <si>
    <t>Gain of sale</t>
  </si>
  <si>
    <t>Digital asset impairments</t>
  </si>
  <si>
    <t>Loss on PP&amp;E</t>
  </si>
  <si>
    <t>Other</t>
  </si>
  <si>
    <t>WC</t>
  </si>
  <si>
    <t>CFFO</t>
  </si>
  <si>
    <t>CapEx</t>
  </si>
  <si>
    <t>Digital Asset Sale</t>
  </si>
  <si>
    <t>CFFI</t>
  </si>
  <si>
    <t>Stock Awards</t>
  </si>
  <si>
    <t>CFFF</t>
  </si>
  <si>
    <t>FX</t>
  </si>
  <si>
    <t>CIC</t>
  </si>
  <si>
    <t>AR</t>
  </si>
  <si>
    <t>ONCA</t>
  </si>
  <si>
    <t>Assets</t>
  </si>
  <si>
    <t>Inventory</t>
  </si>
  <si>
    <t>Prepaids</t>
  </si>
  <si>
    <t>PP&amp;E</t>
  </si>
  <si>
    <t>Lease</t>
  </si>
  <si>
    <t>DT</t>
  </si>
  <si>
    <t>AP</t>
  </si>
  <si>
    <t>AL</t>
  </si>
  <si>
    <t>OLTL</t>
  </si>
  <si>
    <t>SE</t>
  </si>
  <si>
    <t>L+SE</t>
  </si>
  <si>
    <t>6/1/22: FYQ122 results</t>
  </si>
  <si>
    <t>Hardware</t>
  </si>
  <si>
    <t>Software</t>
  </si>
  <si>
    <t>Collectibles</t>
  </si>
  <si>
    <t>FY2021</t>
  </si>
  <si>
    <t>FY2022</t>
  </si>
  <si>
    <t>FY2023</t>
  </si>
  <si>
    <t>FY2020</t>
  </si>
  <si>
    <t>FY2019</t>
  </si>
  <si>
    <t>FY2018</t>
  </si>
  <si>
    <t>New Hardware</t>
  </si>
  <si>
    <t>New Software</t>
  </si>
  <si>
    <t>Pre-owned</t>
  </si>
  <si>
    <t>Accessories</t>
  </si>
  <si>
    <t>Digital</t>
  </si>
  <si>
    <t xml:space="preserve">Hardware </t>
  </si>
  <si>
    <t>Gross Profit</t>
  </si>
  <si>
    <t>Inventory Reserves</t>
  </si>
  <si>
    <t>Goodwill</t>
  </si>
  <si>
    <t>FCF</t>
  </si>
  <si>
    <t>Retirement of Debt</t>
  </si>
  <si>
    <t>Impairments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</si>
  <si>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</si>
  <si>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</si>
  <si>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</si>
  <si>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</si>
  <si>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</si>
  <si>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</si>
  <si>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</si>
  <si>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</si>
  <si>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</si>
  <si>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Discount</t>
  </si>
  <si>
    <t>Maturity</t>
  </si>
  <si>
    <t>NPV</t>
  </si>
  <si>
    <t>Upside</t>
  </si>
  <si>
    <t>Tax Rate</t>
  </si>
  <si>
    <t>Operating Margin</t>
  </si>
  <si>
    <t>ROIC</t>
  </si>
  <si>
    <t>United States</t>
  </si>
  <si>
    <t>Canada</t>
  </si>
  <si>
    <t>Australia</t>
  </si>
  <si>
    <t>Europe</t>
  </si>
  <si>
    <t>Collectibles y/y</t>
  </si>
  <si>
    <t>Software y/y</t>
  </si>
  <si>
    <t>Hardware y/y</t>
  </si>
  <si>
    <t>Grapevine, TX</t>
  </si>
  <si>
    <t>Est. 1996.</t>
  </si>
  <si>
    <t>FY2017</t>
  </si>
  <si>
    <t>Stores</t>
  </si>
  <si>
    <t xml:space="preserve">  US Stores</t>
  </si>
  <si>
    <t>FY2016</t>
  </si>
  <si>
    <t>FY2015</t>
  </si>
  <si>
    <t>FY2014</t>
  </si>
  <si>
    <t>FY2013</t>
  </si>
  <si>
    <t>Issuance of Common</t>
  </si>
  <si>
    <t>Q123</t>
  </si>
  <si>
    <t>Q223</t>
  </si>
  <si>
    <t>Q323</t>
  </si>
  <si>
    <t>Q423</t>
  </si>
  <si>
    <t>Hardware Y/Y</t>
  </si>
  <si>
    <t>Software Y/Y</t>
  </si>
  <si>
    <t>Collectibles Y/Y</t>
  </si>
  <si>
    <t>Gross Margin %</t>
  </si>
  <si>
    <t>Hardware Q/Q</t>
  </si>
  <si>
    <t>Software Q/Q</t>
  </si>
  <si>
    <t>Collectibles Q/Q</t>
  </si>
  <si>
    <t>Total Revenue Q/Q</t>
  </si>
  <si>
    <t>Total. Revenue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</si>
</sst>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1" fillId="0" borderId="0" xfId="0" applyNumberFormat="1" applyFont="1"/>
    <xf numFmtId="9" fontId="0" fillId="0" borderId="0" xfId="0" applyNumberFormat="1"/>
    <xf numFmtId="4" fontId="1" fillId="0" borderId="0" xfId="0" applyNumberFormat="1" applyFont="1"/>
    <xf numFmtId="1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760553</xdr:colOff>
      <xdr:row>0</xdr:row>
      <xdr:rowOff>103909</xdr:rowOff>
    </xdr:from>
    <xdr:to>
      <xdr:col>17</xdr:col>
      <xdr:colOff>760553</xdr:colOff>
      <xdr:row>125</xdr:row>
      <xdr:rowOff>161059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5E6D02-E762-DD46-B587-BD1BD9BA3AD8}"/>
            </a:ext>
          </a:extLst>
        </xdr:cNvPr>
        <xdr:cNvCxnSpPr/>
      </xdr:nvCxnSpPr>
      <xdr:spPr>
        <a:xfrm>
          <a:off x="13980098" y="103909"/>
          <a:ext cx="0" cy="2026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0</xdr:row>
      <xdr:rowOff>0</xdr:rowOff>
    </xdr:from>
    <xdr:to>
      <xdr:col>36</xdr:col>
      <xdr:colOff>38100</xdr:colOff>
      <xdr:row>109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234E424-D78E-4BFF-9515-A459501DE400}"/>
            </a:ext>
          </a:extLst>
        </xdr:cNvPr>
        <xdr:cNvCxnSpPr/>
      </xdr:nvCxnSpPr>
      <xdr:spPr>
        <a:xfrm>
          <a:off x="15887700" y="0"/>
          <a:ext cx="9525" cy="1054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A739-C7D1-4EC7-91DB-542DCD5B38AF}">
  <dimension ref="B2:N13"/>
  <sheetViews>
    <sheetView workbookViewId="0">
      <selection activeCell="M1" sqref="M1"/>
    </sheetView>
  </sheetViews>
  <sheetFormatPr baseColWidth="10" defaultColWidth="8.83203125" defaultRowHeight="13" x14ac:dyDescent="0.15"/>
  <cols>
    <col min="14" max="14" width="10.5" customWidth="1"/>
  </cols>
  <sheetData>
    <row r="2" spans="2:14" x14ac:dyDescent="0.15">
      <c r="B2" t="s">
        <v>109</v>
      </c>
      <c r="L2" t="s">
        <v>0</v>
      </c>
      <c r="M2" s="1">
        <v>128.5</v>
      </c>
    </row>
    <row r="3" spans="2:14" x14ac:dyDescent="0.15">
      <c r="B3" t="s">
        <v>110</v>
      </c>
      <c r="L3" t="s">
        <v>1</v>
      </c>
      <c r="M3" s="2">
        <v>76.129034000000004</v>
      </c>
      <c r="N3" s="3">
        <v>44707</v>
      </c>
    </row>
    <row r="4" spans="2:14" x14ac:dyDescent="0.15">
      <c r="L4" t="s">
        <v>2</v>
      </c>
      <c r="M4" s="2">
        <f>M2*M3</f>
        <v>9782.5808690000013</v>
      </c>
    </row>
    <row r="5" spans="2:14" x14ac:dyDescent="0.15">
      <c r="L5" t="s">
        <v>3</v>
      </c>
      <c r="M5" s="2">
        <f>1035+33.3+15.3</f>
        <v>1083.5999999999999</v>
      </c>
      <c r="N5" s="4" t="s">
        <v>6</v>
      </c>
    </row>
    <row r="6" spans="2:14" x14ac:dyDescent="0.15">
      <c r="L6" t="s">
        <v>4</v>
      </c>
      <c r="M6" s="2">
        <f>35.7+6.5</f>
        <v>42.2</v>
      </c>
      <c r="N6" s="4" t="s">
        <v>6</v>
      </c>
    </row>
    <row r="7" spans="2:14" x14ac:dyDescent="0.15">
      <c r="L7" t="s">
        <v>5</v>
      </c>
      <c r="M7" s="2">
        <f>M4-M5+M6</f>
        <v>8741.1808690000016</v>
      </c>
    </row>
    <row r="13" spans="2:14" x14ac:dyDescent="0.15">
      <c r="B1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DC47-869E-4A1F-AC19-77E1C7206D83}">
  <dimension ref="A1:CF111"/>
  <sheetViews>
    <sheetView tabSelected="1" zoomScale="110" workbookViewId="0">
      <pane xSplit="2" ySplit="3" topLeftCell="I4" activePane="bottomRight" state="frozen"/>
      <selection pane="topRight" activeCell="C1" sqref="C1"/>
      <selection pane="bottomLeft" activeCell="A4" sqref="A4"/>
      <selection pane="bottomRight" activeCell="R43" sqref="R43"/>
    </sheetView>
  </sheetViews>
  <sheetFormatPr baseColWidth="10" defaultColWidth="8.83203125" defaultRowHeight="13" x14ac:dyDescent="0.15"/>
  <cols>
    <col min="1" max="1" width="5" bestFit="1" customWidth="1"/>
    <col min="2" max="2" width="22.5" customWidth="1"/>
    <col min="3" max="6" width="9.1640625" style="4"/>
    <col min="7" max="15" width="9.83203125" style="4" customWidth="1"/>
    <col min="16" max="23" width="10.1640625" style="4" customWidth="1"/>
    <col min="28" max="31" width="9.1640625" style="4"/>
    <col min="35" max="37" width="9.1640625" style="4"/>
    <col min="50" max="50" width="8.5" customWidth="1"/>
  </cols>
  <sheetData>
    <row r="1" spans="1:46" x14ac:dyDescent="0.15">
      <c r="A1" t="s">
        <v>7</v>
      </c>
    </row>
    <row r="2" spans="1:46" x14ac:dyDescent="0.15">
      <c r="G2" s="5">
        <v>43953</v>
      </c>
      <c r="H2" s="5">
        <v>44044</v>
      </c>
      <c r="I2" s="5">
        <v>44135</v>
      </c>
      <c r="J2" s="5">
        <v>44226</v>
      </c>
      <c r="K2" s="5">
        <v>44317</v>
      </c>
      <c r="L2" s="5">
        <v>44408</v>
      </c>
      <c r="M2" s="5">
        <v>44499</v>
      </c>
      <c r="N2" s="5">
        <v>44590</v>
      </c>
      <c r="O2" s="5">
        <v>44681</v>
      </c>
      <c r="P2" s="5">
        <v>44773</v>
      </c>
      <c r="Q2" s="5">
        <v>44864</v>
      </c>
      <c r="R2" s="5">
        <v>44955</v>
      </c>
      <c r="S2" s="5">
        <f>O2+365</f>
        <v>45046</v>
      </c>
      <c r="T2" s="5">
        <f t="shared" ref="T2:V2" si="0">P2+365</f>
        <v>45138</v>
      </c>
      <c r="U2" s="5">
        <f t="shared" si="0"/>
        <v>45229</v>
      </c>
      <c r="V2" s="5">
        <f t="shared" si="0"/>
        <v>45320</v>
      </c>
      <c r="W2" s="5"/>
      <c r="AA2" s="5">
        <f t="shared" ref="AA2" si="1">AB2-365</f>
        <v>41303</v>
      </c>
      <c r="AB2" s="5">
        <f>AC2-365</f>
        <v>41668</v>
      </c>
      <c r="AC2" s="5">
        <f t="shared" ref="AC2" si="2">AD2-365</f>
        <v>42033</v>
      </c>
      <c r="AD2" s="5">
        <f>AE2-365</f>
        <v>42398</v>
      </c>
      <c r="AE2" s="5">
        <v>42763</v>
      </c>
      <c r="AF2" s="5">
        <v>43134</v>
      </c>
      <c r="AG2" s="5">
        <v>43498</v>
      </c>
      <c r="AH2" s="5">
        <v>43862</v>
      </c>
      <c r="AI2" s="5">
        <v>44226</v>
      </c>
      <c r="AJ2" s="5">
        <v>44590</v>
      </c>
      <c r="AK2" s="5">
        <v>44955</v>
      </c>
      <c r="AL2" s="3">
        <f>AK2+365</f>
        <v>45320</v>
      </c>
      <c r="AM2" s="3">
        <f>AL2+366</f>
        <v>45686</v>
      </c>
      <c r="AN2" s="3">
        <f t="shared" ref="AN2:AT2" si="3">AM2+365</f>
        <v>46051</v>
      </c>
      <c r="AO2" s="3">
        <f t="shared" si="3"/>
        <v>46416</v>
      </c>
      <c r="AP2" s="3">
        <f t="shared" si="3"/>
        <v>46781</v>
      </c>
      <c r="AQ2" s="3">
        <f>AP2+366</f>
        <v>47147</v>
      </c>
      <c r="AR2" s="3">
        <f t="shared" si="3"/>
        <v>47512</v>
      </c>
      <c r="AS2" s="3">
        <f t="shared" si="3"/>
        <v>47877</v>
      </c>
      <c r="AT2" s="3">
        <f t="shared" si="3"/>
        <v>48242</v>
      </c>
    </row>
    <row r="3" spans="1:46" x14ac:dyDescent="0.15"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6</v>
      </c>
      <c r="P3" s="4" t="s">
        <v>21</v>
      </c>
      <c r="Q3" s="4" t="s">
        <v>22</v>
      </c>
      <c r="R3" s="4" t="s">
        <v>23</v>
      </c>
      <c r="S3" s="4" t="s">
        <v>119</v>
      </c>
      <c r="T3" s="4" t="s">
        <v>120</v>
      </c>
      <c r="U3" s="4" t="s">
        <v>121</v>
      </c>
      <c r="V3" s="4" t="s">
        <v>122</v>
      </c>
      <c r="AA3" s="4" t="s">
        <v>117</v>
      </c>
      <c r="AB3" s="4" t="s">
        <v>116</v>
      </c>
      <c r="AC3" s="4" t="s">
        <v>115</v>
      </c>
      <c r="AD3" s="4" t="s">
        <v>114</v>
      </c>
      <c r="AE3" s="4" t="s">
        <v>111</v>
      </c>
      <c r="AF3" s="4" t="s">
        <v>73</v>
      </c>
      <c r="AG3" s="4" t="s">
        <v>72</v>
      </c>
      <c r="AH3" s="4" t="s">
        <v>71</v>
      </c>
      <c r="AI3" s="4" t="s">
        <v>68</v>
      </c>
      <c r="AJ3" s="4" t="s">
        <v>69</v>
      </c>
      <c r="AK3" s="4" t="s">
        <v>70</v>
      </c>
      <c r="AL3" s="4" t="s">
        <v>86</v>
      </c>
      <c r="AM3" s="4" t="s">
        <v>87</v>
      </c>
      <c r="AN3" s="4" t="s">
        <v>88</v>
      </c>
      <c r="AO3" s="4" t="s">
        <v>89</v>
      </c>
      <c r="AP3" s="4" t="s">
        <v>90</v>
      </c>
      <c r="AQ3" s="4" t="s">
        <v>91</v>
      </c>
      <c r="AR3" s="4" t="s">
        <v>92</v>
      </c>
      <c r="AS3" s="4" t="s">
        <v>93</v>
      </c>
      <c r="AT3" s="4" t="s">
        <v>94</v>
      </c>
    </row>
    <row r="4" spans="1:46" s="2" customFormat="1" x14ac:dyDescent="0.15">
      <c r="B4" s="2" t="s">
        <v>112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4573</v>
      </c>
      <c r="P4" s="7"/>
      <c r="Q4" s="7"/>
      <c r="R4" s="7"/>
      <c r="S4" s="7"/>
      <c r="T4" s="7"/>
      <c r="U4" s="7"/>
      <c r="V4" s="7"/>
      <c r="W4" s="7"/>
      <c r="AB4" s="7"/>
      <c r="AC4" s="7"/>
      <c r="AD4" s="7"/>
      <c r="AE4" s="7">
        <v>7535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s="2" customFormat="1" x14ac:dyDescent="0.15">
      <c r="B5" s="2" t="s">
        <v>113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B5" s="7"/>
      <c r="AC5" s="7"/>
      <c r="AD5" s="7"/>
      <c r="AE5" s="7">
        <f>AE4-2069</f>
        <v>5466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15">
      <c r="AF6" s="4"/>
      <c r="AG6" s="4"/>
      <c r="AH6" s="4"/>
      <c r="AL6" s="4"/>
      <c r="AM6" s="4"/>
      <c r="AN6" s="4"/>
      <c r="AO6" s="4"/>
      <c r="AP6" s="4"/>
      <c r="AQ6" s="4"/>
      <c r="AR6" s="4"/>
      <c r="AS6" s="4"/>
      <c r="AT6" s="4"/>
    </row>
    <row r="7" spans="1:46" s="2" customFormat="1" x14ac:dyDescent="0.15">
      <c r="B7" s="2" t="s">
        <v>102</v>
      </c>
      <c r="C7" s="7"/>
      <c r="D7" s="7"/>
      <c r="E7" s="7"/>
      <c r="F7" s="7"/>
      <c r="G7" s="7"/>
      <c r="H7" s="7"/>
      <c r="I7" s="7"/>
      <c r="J7" s="7"/>
      <c r="K7" s="7">
        <v>966.3</v>
      </c>
      <c r="L7" s="7"/>
      <c r="M7" s="7"/>
      <c r="N7" s="7"/>
      <c r="O7" s="7">
        <v>995.3</v>
      </c>
      <c r="P7" s="7"/>
      <c r="Q7" s="7"/>
      <c r="R7" s="7"/>
      <c r="S7" s="7"/>
      <c r="T7" s="7"/>
      <c r="U7" s="7"/>
      <c r="V7" s="7"/>
      <c r="W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s="2" customFormat="1" x14ac:dyDescent="0.15">
      <c r="B8" s="2" t="s">
        <v>103</v>
      </c>
      <c r="C8" s="7"/>
      <c r="D8" s="7"/>
      <c r="E8" s="7"/>
      <c r="F8" s="7"/>
      <c r="G8" s="7"/>
      <c r="H8" s="7"/>
      <c r="I8" s="7"/>
      <c r="J8" s="7"/>
      <c r="K8" s="7">
        <v>61.9</v>
      </c>
      <c r="L8" s="7"/>
      <c r="M8" s="7"/>
      <c r="N8" s="7"/>
      <c r="O8" s="7">
        <v>76.900000000000006</v>
      </c>
      <c r="P8" s="7"/>
      <c r="Q8" s="7"/>
      <c r="R8" s="7"/>
      <c r="S8" s="7"/>
      <c r="T8" s="7"/>
      <c r="U8" s="7"/>
      <c r="V8" s="7"/>
      <c r="W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s="2" customFormat="1" x14ac:dyDescent="0.15">
      <c r="B9" s="2" t="s">
        <v>104</v>
      </c>
      <c r="C9" s="7"/>
      <c r="D9" s="7"/>
      <c r="E9" s="7"/>
      <c r="F9" s="7"/>
      <c r="G9" s="7"/>
      <c r="H9" s="7"/>
      <c r="I9" s="7"/>
      <c r="J9" s="7"/>
      <c r="K9" s="7">
        <v>114.8</v>
      </c>
      <c r="L9" s="7"/>
      <c r="M9" s="7"/>
      <c r="N9" s="7"/>
      <c r="O9" s="7">
        <v>126.7</v>
      </c>
      <c r="P9" s="7"/>
      <c r="Q9" s="7"/>
      <c r="R9" s="7"/>
      <c r="S9" s="7"/>
      <c r="T9" s="7"/>
      <c r="U9" s="7"/>
      <c r="V9" s="7"/>
      <c r="W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s="2" customFormat="1" x14ac:dyDescent="0.15">
      <c r="B10" s="2" t="s">
        <v>105</v>
      </c>
      <c r="C10" s="7"/>
      <c r="D10" s="7"/>
      <c r="E10" s="7"/>
      <c r="F10" s="7"/>
      <c r="G10" s="7"/>
      <c r="H10" s="7"/>
      <c r="I10" s="7"/>
      <c r="J10" s="7"/>
      <c r="K10" s="7">
        <v>133.80000000000001</v>
      </c>
      <c r="L10" s="7"/>
      <c r="M10" s="7"/>
      <c r="N10" s="7"/>
      <c r="O10" s="7">
        <v>179.5</v>
      </c>
      <c r="P10" s="7"/>
      <c r="Q10" s="7"/>
      <c r="R10" s="7"/>
      <c r="S10" s="7"/>
      <c r="T10" s="7"/>
      <c r="U10" s="7"/>
      <c r="V10" s="7"/>
      <c r="W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15">
      <c r="AF11" s="4"/>
      <c r="AG11" s="4"/>
      <c r="AH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s="2" customFormat="1" x14ac:dyDescent="0.15">
      <c r="B12" s="2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AB12" s="7"/>
      <c r="AC12" s="7"/>
      <c r="AD12" s="7"/>
      <c r="AE12" s="7"/>
      <c r="AF12" s="7">
        <v>1791.8</v>
      </c>
      <c r="AG12" s="7">
        <v>1767.8</v>
      </c>
      <c r="AH12" s="7"/>
      <c r="AI12" s="7"/>
      <c r="AJ12" s="7"/>
      <c r="AK12" s="7"/>
    </row>
    <row r="13" spans="1:46" s="2" customFormat="1" x14ac:dyDescent="0.15">
      <c r="B13" s="2" t="s">
        <v>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AB13" s="7"/>
      <c r="AC13" s="7"/>
      <c r="AD13" s="7"/>
      <c r="AE13" s="7"/>
      <c r="AF13" s="7">
        <v>2582</v>
      </c>
      <c r="AG13" s="7">
        <v>2449.6999999999998</v>
      </c>
      <c r="AH13" s="7"/>
      <c r="AI13" s="7"/>
      <c r="AJ13" s="7"/>
      <c r="AK13" s="7"/>
    </row>
    <row r="14" spans="1:46" s="2" customFormat="1" x14ac:dyDescent="0.15">
      <c r="B14" s="2" t="s">
        <v>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AB14" s="7"/>
      <c r="AC14" s="7"/>
      <c r="AD14" s="7"/>
      <c r="AE14" s="7"/>
      <c r="AF14" s="7">
        <v>2149.6</v>
      </c>
      <c r="AG14" s="7">
        <v>1866.3</v>
      </c>
      <c r="AH14" s="7"/>
      <c r="AI14" s="7"/>
      <c r="AJ14" s="7"/>
      <c r="AK14" s="7"/>
    </row>
    <row r="15" spans="1:46" s="2" customFormat="1" x14ac:dyDescent="0.15">
      <c r="B15" s="2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AB15" s="7"/>
      <c r="AC15" s="7"/>
      <c r="AD15" s="7"/>
      <c r="AE15" s="7"/>
      <c r="AF15" s="7">
        <v>784.3</v>
      </c>
      <c r="AG15" s="7">
        <v>956.5</v>
      </c>
      <c r="AH15" s="7"/>
      <c r="AI15" s="7"/>
      <c r="AJ15" s="7"/>
      <c r="AK15" s="7"/>
    </row>
    <row r="16" spans="1:46" s="2" customFormat="1" x14ac:dyDescent="0.15">
      <c r="B16" s="2" t="s">
        <v>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AB16" s="7"/>
      <c r="AC16" s="7"/>
      <c r="AD16" s="7"/>
      <c r="AE16" s="7"/>
      <c r="AF16" s="7">
        <v>189.2</v>
      </c>
      <c r="AG16" s="7">
        <v>194</v>
      </c>
      <c r="AH16" s="7"/>
      <c r="AI16" s="7"/>
      <c r="AJ16" s="7"/>
      <c r="AK16" s="7"/>
    </row>
    <row r="17" spans="2:46" s="2" customFormat="1" x14ac:dyDescent="0.15">
      <c r="B17" s="2" t="s">
        <v>67</v>
      </c>
      <c r="C17" s="7"/>
      <c r="D17" s="7"/>
      <c r="E17" s="7"/>
      <c r="F17" s="7"/>
      <c r="G17" s="7"/>
      <c r="H17" s="7"/>
      <c r="I17" s="7"/>
      <c r="J17" s="7"/>
      <c r="K17" s="7">
        <v>175.4</v>
      </c>
      <c r="L17" s="7"/>
      <c r="M17" s="7"/>
      <c r="N17" s="7"/>
      <c r="O17" s="7">
        <v>220.9</v>
      </c>
      <c r="P17" s="7"/>
      <c r="Q17" s="7"/>
      <c r="R17" s="7"/>
      <c r="S17" s="7"/>
      <c r="T17" s="7"/>
      <c r="U17" s="7"/>
      <c r="V17" s="7"/>
      <c r="W17" s="7"/>
      <c r="AB17" s="7"/>
      <c r="AC17" s="7"/>
      <c r="AD17" s="7"/>
      <c r="AE17" s="7"/>
      <c r="AF17" s="7">
        <v>636.20000000000005</v>
      </c>
      <c r="AG17" s="7">
        <v>707.5</v>
      </c>
      <c r="AH17" s="7"/>
      <c r="AI17" s="7"/>
      <c r="AJ17" s="7"/>
      <c r="AK17" s="7"/>
    </row>
    <row r="18" spans="2:46" s="2" customFormat="1" x14ac:dyDescent="0.15">
      <c r="B18" s="2" t="s">
        <v>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AB18" s="7"/>
      <c r="AC18" s="7"/>
      <c r="AD18" s="7"/>
      <c r="AE18" s="7"/>
      <c r="AF18" s="7">
        <v>414</v>
      </c>
      <c r="AG18" s="7">
        <v>343.5</v>
      </c>
      <c r="AH18" s="7"/>
      <c r="AI18" s="7"/>
      <c r="AJ18" s="7"/>
      <c r="AK18" s="7"/>
    </row>
    <row r="19" spans="2:46" s="2" customFormat="1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2:46" s="2" customFormat="1" x14ac:dyDescent="0.15">
      <c r="B20" s="2" t="s">
        <v>123</v>
      </c>
      <c r="C20" s="7"/>
      <c r="D20" s="7"/>
      <c r="E20" s="7"/>
      <c r="F20" s="7"/>
      <c r="G20" s="7"/>
      <c r="H20" s="7"/>
      <c r="I20" s="7"/>
      <c r="J20" s="7"/>
      <c r="K20" s="10">
        <f>K31/G31-1</f>
        <v>0.37107776261937242</v>
      </c>
      <c r="L20" s="10">
        <f t="shared" ref="L20:R22" si="4">L31/H31-1</f>
        <v>0.38043478260869557</v>
      </c>
      <c r="M20" s="10">
        <f t="shared" si="4"/>
        <v>0.62046444121915822</v>
      </c>
      <c r="N20" s="10">
        <f t="shared" si="4"/>
        <v>2.2361744216048862E-2</v>
      </c>
      <c r="O20" s="10">
        <f t="shared" si="4"/>
        <v>-4.2217484008528872E-2</v>
      </c>
      <c r="P20" s="10">
        <f t="shared" si="4"/>
        <v>-2.1653543307086687E-2</v>
      </c>
      <c r="Q20" s="10">
        <f t="shared" si="4"/>
        <v>-6.4039408866994996E-2</v>
      </c>
      <c r="R20" s="10">
        <f t="shared" si="4"/>
        <v>4.5511903760410366E-2</v>
      </c>
      <c r="S20" s="21">
        <f>R20</f>
        <v>4.5511903760410366E-2</v>
      </c>
      <c r="T20" s="21">
        <f t="shared" ref="T20:V20" si="5">S20</f>
        <v>4.5511903760410366E-2</v>
      </c>
      <c r="U20" s="21">
        <f t="shared" si="5"/>
        <v>4.5511903760410366E-2</v>
      </c>
      <c r="V20" s="21">
        <f t="shared" si="5"/>
        <v>4.5511903760410366E-2</v>
      </c>
      <c r="W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2:46" s="2" customFormat="1" x14ac:dyDescent="0.15">
      <c r="B21" s="2" t="s">
        <v>124</v>
      </c>
      <c r="C21" s="7"/>
      <c r="D21" s="7"/>
      <c r="E21" s="7"/>
      <c r="F21" s="7"/>
      <c r="G21" s="7"/>
      <c r="H21" s="7"/>
      <c r="I21" s="7"/>
      <c r="J21" s="7"/>
      <c r="K21" s="10">
        <f t="shared" ref="K21:K22" si="6">K32/G32-1</f>
        <v>-4.5803357314148752E-2</v>
      </c>
      <c r="L21" s="10">
        <f t="shared" si="4"/>
        <v>2.6131953428201848E-2</v>
      </c>
      <c r="M21" s="10">
        <f t="shared" si="4"/>
        <v>-2.2277227722772186E-2</v>
      </c>
      <c r="N21" s="10">
        <f t="shared" si="4"/>
        <v>7.480853391684894E-2</v>
      </c>
      <c r="O21" s="10">
        <f t="shared" si="4"/>
        <v>0.21563206835888415</v>
      </c>
      <c r="P21" s="10">
        <f t="shared" si="4"/>
        <v>-0.20221886031265768</v>
      </c>
      <c r="Q21" s="10">
        <f t="shared" si="4"/>
        <v>-0.18964326812428078</v>
      </c>
      <c r="R21" s="10">
        <f t="shared" si="4"/>
        <v>-0.14747423336302323</v>
      </c>
      <c r="S21" s="21">
        <f>R21</f>
        <v>-0.14747423336302323</v>
      </c>
      <c r="T21" s="10">
        <v>0</v>
      </c>
      <c r="U21" s="10">
        <v>0</v>
      </c>
      <c r="V21" s="10">
        <v>0</v>
      </c>
      <c r="W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2:46" s="2" customFormat="1" x14ac:dyDescent="0.15">
      <c r="B22" s="2" t="s">
        <v>125</v>
      </c>
      <c r="C22" s="7"/>
      <c r="D22" s="7"/>
      <c r="E22" s="7"/>
      <c r="F22" s="7"/>
      <c r="G22" s="7"/>
      <c r="H22" s="7"/>
      <c r="I22" s="7"/>
      <c r="J22" s="7"/>
      <c r="K22" s="10">
        <f t="shared" si="6"/>
        <v>0.92959295929592956</v>
      </c>
      <c r="L22" s="10">
        <f t="shared" si="4"/>
        <v>0.55575065847234395</v>
      </c>
      <c r="M22" s="10">
        <f t="shared" si="4"/>
        <v>0.30837304288631717</v>
      </c>
      <c r="N22" s="10">
        <f t="shared" si="4"/>
        <v>0.2239263803680982</v>
      </c>
      <c r="O22" s="10">
        <f t="shared" si="4"/>
        <v>0.25940706955530213</v>
      </c>
      <c r="P22" s="10">
        <f t="shared" si="4"/>
        <v>0.25959367945823919</v>
      </c>
      <c r="Q22" s="10">
        <f t="shared" si="4"/>
        <v>7.8563995837669154E-2</v>
      </c>
      <c r="R22" s="10">
        <f t="shared" si="4"/>
        <v>0.12137486573576783</v>
      </c>
      <c r="S22" s="10">
        <v>0.04</v>
      </c>
      <c r="T22" s="10">
        <v>0.04</v>
      </c>
      <c r="U22" s="10">
        <v>0.04</v>
      </c>
      <c r="V22" s="10">
        <v>0.04</v>
      </c>
      <c r="W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2:46" s="2" customFormat="1" x14ac:dyDescent="0.15">
      <c r="B23" s="2" t="s">
        <v>131</v>
      </c>
      <c r="C23" s="7"/>
      <c r="D23" s="7"/>
      <c r="E23" s="7"/>
      <c r="F23" s="7"/>
      <c r="G23" s="7"/>
      <c r="H23" s="7"/>
      <c r="I23" s="7"/>
      <c r="J23" s="7"/>
      <c r="K23" s="10">
        <f>K34/G34-1</f>
        <v>0.25053868756121478</v>
      </c>
      <c r="L23" s="10">
        <f t="shared" ref="L23:V23" si="7">L34/H34-1</f>
        <v>0.25626326963906587</v>
      </c>
      <c r="M23" s="10">
        <f t="shared" si="7"/>
        <v>0.29053448790683811</v>
      </c>
      <c r="N23" s="10">
        <f t="shared" si="7"/>
        <v>6.2108288959050073E-2</v>
      </c>
      <c r="O23" s="10">
        <f t="shared" si="7"/>
        <v>7.9573934837092741E-2</v>
      </c>
      <c r="P23" s="10">
        <f t="shared" si="7"/>
        <v>-4.0054081460199509E-2</v>
      </c>
      <c r="Q23" s="10">
        <f t="shared" si="7"/>
        <v>-8.4991516273330237E-2</v>
      </c>
      <c r="R23" s="10">
        <f t="shared" si="7"/>
        <v>-1.2378543857314073E-2</v>
      </c>
      <c r="S23" s="10">
        <f t="shared" si="7"/>
        <v>-2.3092981662746648E-2</v>
      </c>
      <c r="T23" s="10">
        <f t="shared" si="7"/>
        <v>3.175290440379297E-2</v>
      </c>
      <c r="U23" s="10">
        <f t="shared" si="7"/>
        <v>3.1041776515321251E-2</v>
      </c>
      <c r="V23" s="10">
        <f t="shared" si="7"/>
        <v>3.1037822997950437E-2</v>
      </c>
      <c r="W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2:46" s="2" customFormat="1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2:46" s="2" customFormat="1" x14ac:dyDescent="0.15">
      <c r="B25" s="2" t="s">
        <v>127</v>
      </c>
      <c r="C25" s="7"/>
      <c r="D25" s="7"/>
      <c r="E25" s="7"/>
      <c r="F25" s="7"/>
      <c r="G25" s="7"/>
      <c r="H25" s="10">
        <f>H31/G31-1</f>
        <v>-0.13934905476515302</v>
      </c>
      <c r="I25" s="10">
        <f t="shared" ref="I25:V25" si="8">I31/H31-1</f>
        <v>-6.3858695652174058E-2</v>
      </c>
      <c r="J25" s="10">
        <f t="shared" si="8"/>
        <v>1.8125302370585392</v>
      </c>
      <c r="K25" s="10">
        <f t="shared" si="8"/>
        <v>-0.3949428055388321</v>
      </c>
      <c r="L25" s="10">
        <f t="shared" si="8"/>
        <v>-0.13347547974413643</v>
      </c>
      <c r="M25" s="10">
        <f t="shared" si="8"/>
        <v>9.8917322834645605E-2</v>
      </c>
      <c r="N25" s="10">
        <f t="shared" si="8"/>
        <v>0.77444394685773998</v>
      </c>
      <c r="O25" s="10">
        <f t="shared" si="8"/>
        <v>-0.43316227811895358</v>
      </c>
      <c r="P25" s="10">
        <f t="shared" si="8"/>
        <v>-0.11487088156723058</v>
      </c>
      <c r="Q25" s="10">
        <f t="shared" si="8"/>
        <v>5.1307847082495028E-2</v>
      </c>
      <c r="R25" s="10">
        <f t="shared" si="8"/>
        <v>0.98213716108452953</v>
      </c>
      <c r="S25" s="10">
        <f t="shared" si="8"/>
        <v>-0.43316227811895358</v>
      </c>
      <c r="T25" s="10">
        <f t="shared" si="8"/>
        <v>-0.11487088156723058</v>
      </c>
      <c r="U25" s="10">
        <f t="shared" si="8"/>
        <v>5.1307847082495028E-2</v>
      </c>
      <c r="V25" s="10">
        <f t="shared" si="8"/>
        <v>0.98213716108452953</v>
      </c>
      <c r="W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2:46" s="2" customFormat="1" x14ac:dyDescent="0.15">
      <c r="B26" s="2" t="s">
        <v>128</v>
      </c>
      <c r="C26" s="7"/>
      <c r="D26" s="7"/>
      <c r="E26" s="7"/>
      <c r="F26" s="7"/>
      <c r="G26" s="7"/>
      <c r="H26" s="10">
        <f t="shared" ref="H26:V28" si="9">H32/G32-1</f>
        <v>-7.3141486810551548E-2</v>
      </c>
      <c r="I26" s="10">
        <f t="shared" si="9"/>
        <v>0.14980595084087955</v>
      </c>
      <c r="J26" s="10">
        <f t="shared" si="9"/>
        <v>0.64536453645364555</v>
      </c>
      <c r="K26" s="10">
        <f t="shared" si="9"/>
        <v>-0.45582603938730859</v>
      </c>
      <c r="L26" s="10">
        <f t="shared" si="9"/>
        <v>-3.2671525508920496E-3</v>
      </c>
      <c r="M26" s="10">
        <f t="shared" si="9"/>
        <v>9.5562279374684866E-2</v>
      </c>
      <c r="N26" s="10">
        <f t="shared" si="9"/>
        <v>0.80874568469505181</v>
      </c>
      <c r="O26" s="10">
        <f t="shared" si="9"/>
        <v>-0.38452729354879756</v>
      </c>
      <c r="P26" s="10">
        <f t="shared" si="9"/>
        <v>-0.34587554269175114</v>
      </c>
      <c r="Q26" s="10">
        <f t="shared" si="9"/>
        <v>0.11283185840707977</v>
      </c>
      <c r="R26" s="10">
        <f t="shared" si="9"/>
        <v>0.90286850326611745</v>
      </c>
      <c r="S26" s="10">
        <f t="shared" si="9"/>
        <v>-0.38452729354879756</v>
      </c>
      <c r="T26" s="10">
        <f t="shared" si="9"/>
        <v>-0.23272177462902577</v>
      </c>
      <c r="U26" s="10">
        <f t="shared" si="9"/>
        <v>0.11283185840707977</v>
      </c>
      <c r="V26" s="10">
        <f t="shared" si="9"/>
        <v>0.90286850326611745</v>
      </c>
      <c r="W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2:46" s="2" customFormat="1" x14ac:dyDescent="0.15">
      <c r="B27" s="2" t="s">
        <v>129</v>
      </c>
      <c r="C27" s="7"/>
      <c r="D27" s="7"/>
      <c r="E27" s="7"/>
      <c r="F27" s="7"/>
      <c r="G27" s="7"/>
      <c r="H27" s="10">
        <f t="shared" si="9"/>
        <v>0.2530253025302529</v>
      </c>
      <c r="I27" s="10">
        <f t="shared" si="9"/>
        <v>0.28972783143107983</v>
      </c>
      <c r="J27" s="10">
        <f t="shared" si="9"/>
        <v>0.55343771272974807</v>
      </c>
      <c r="K27" s="10">
        <f t="shared" si="9"/>
        <v>-0.23137598597721287</v>
      </c>
      <c r="L27" s="10">
        <f t="shared" si="9"/>
        <v>1.0262257696693089E-2</v>
      </c>
      <c r="M27" s="10">
        <f t="shared" si="9"/>
        <v>8.4650112866817118E-2</v>
      </c>
      <c r="N27" s="10">
        <f t="shared" si="9"/>
        <v>0.45317377731529662</v>
      </c>
      <c r="O27" s="10">
        <f t="shared" si="9"/>
        <v>-0.20909416398138203</v>
      </c>
      <c r="P27" s="10">
        <f t="shared" si="9"/>
        <v>1.0411951109098982E-2</v>
      </c>
      <c r="Q27" s="10">
        <f t="shared" si="9"/>
        <v>-7.1236559139784883E-2</v>
      </c>
      <c r="R27" s="10">
        <f t="shared" si="9"/>
        <v>0.51085383502170756</v>
      </c>
      <c r="S27" s="10">
        <f t="shared" si="9"/>
        <v>-0.26648786717752226</v>
      </c>
      <c r="T27" s="10">
        <f t="shared" si="9"/>
        <v>1.0411951109098982E-2</v>
      </c>
      <c r="U27" s="10">
        <f t="shared" si="9"/>
        <v>-7.1236559139784883E-2</v>
      </c>
      <c r="V27" s="10">
        <f t="shared" si="9"/>
        <v>0.51085383502170756</v>
      </c>
      <c r="W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2:46" s="2" customFormat="1" x14ac:dyDescent="0.15">
      <c r="B28" s="2" t="s">
        <v>130</v>
      </c>
      <c r="C28" s="7"/>
      <c r="D28" s="7"/>
      <c r="E28" s="7"/>
      <c r="F28" s="7"/>
      <c r="G28" s="7"/>
      <c r="H28" s="10">
        <f t="shared" si="9"/>
        <v>-7.7375122428991139E-2</v>
      </c>
      <c r="I28" s="10">
        <f t="shared" si="9"/>
        <v>6.6560509554139946E-2</v>
      </c>
      <c r="J28" s="10">
        <f t="shared" si="9"/>
        <v>1.1121727878968848</v>
      </c>
      <c r="K28" s="10">
        <f t="shared" si="9"/>
        <v>-0.39833184110079622</v>
      </c>
      <c r="L28" s="10">
        <f t="shared" si="9"/>
        <v>-7.3151629072681801E-2</v>
      </c>
      <c r="M28" s="10">
        <f t="shared" si="9"/>
        <v>9.5656582727733586E-2</v>
      </c>
      <c r="N28" s="10">
        <f t="shared" si="9"/>
        <v>0.73831559463211471</v>
      </c>
      <c r="O28" s="10">
        <f t="shared" si="9"/>
        <v>-0.38843781889169882</v>
      </c>
      <c r="P28" s="10">
        <f t="shared" si="9"/>
        <v>-0.17585606500290196</v>
      </c>
      <c r="Q28" s="10">
        <f t="shared" si="9"/>
        <v>4.4366197183098643E-2</v>
      </c>
      <c r="R28" s="10">
        <f t="shared" si="9"/>
        <v>0.87626432906271057</v>
      </c>
      <c r="S28" s="10">
        <f t="shared" si="9"/>
        <v>-0.39507249143033685</v>
      </c>
      <c r="T28" s="10">
        <f t="shared" si="9"/>
        <v>-0.12958666217046588</v>
      </c>
      <c r="U28" s="10">
        <f t="shared" si="9"/>
        <v>4.3646375677945715E-2</v>
      </c>
      <c r="V28" s="10">
        <f t="shared" si="9"/>
        <v>0.87625713454956267</v>
      </c>
      <c r="W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2:46" s="2" customFormat="1" x14ac:dyDescent="0.1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2:46" x14ac:dyDescent="0.15">
      <c r="AF30" s="4"/>
      <c r="AG30" s="4"/>
      <c r="AH30" s="4"/>
    </row>
    <row r="31" spans="2:46" s="2" customFormat="1" x14ac:dyDescent="0.15">
      <c r="B31" s="2" t="s">
        <v>65</v>
      </c>
      <c r="C31" s="7"/>
      <c r="D31" s="7"/>
      <c r="E31" s="7"/>
      <c r="F31" s="7"/>
      <c r="G31" s="7">
        <v>513.1</v>
      </c>
      <c r="H31" s="7">
        <v>441.6</v>
      </c>
      <c r="I31" s="7">
        <v>413.4</v>
      </c>
      <c r="J31" s="7">
        <v>1162.7</v>
      </c>
      <c r="K31" s="7">
        <v>703.5</v>
      </c>
      <c r="L31" s="7">
        <v>609.6</v>
      </c>
      <c r="M31" s="7">
        <v>669.9</v>
      </c>
      <c r="N31" s="7">
        <v>1188.7</v>
      </c>
      <c r="O31" s="7">
        <v>673.8</v>
      </c>
      <c r="P31" s="7">
        <v>596.4</v>
      </c>
      <c r="Q31" s="7">
        <v>627</v>
      </c>
      <c r="R31" s="7">
        <v>1242.8</v>
      </c>
      <c r="S31" s="7">
        <f>O31*(1+S20)</f>
        <v>704.46592075376441</v>
      </c>
      <c r="T31" s="7">
        <f>P31*(1+T20)</f>
        <v>623.54329940270873</v>
      </c>
      <c r="U31" s="7">
        <f>Q31*(1+U20)</f>
        <v>655.5359636577773</v>
      </c>
      <c r="V31" s="7">
        <f>R31*(1+V20)</f>
        <v>1299.362193993438</v>
      </c>
      <c r="W31" s="7"/>
      <c r="AB31" s="7"/>
      <c r="AC31" s="7"/>
      <c r="AD31" s="7"/>
      <c r="AE31" s="7"/>
      <c r="AH31" s="7"/>
      <c r="AI31" s="7">
        <v>2530.8000000000002</v>
      </c>
      <c r="AJ31" s="7">
        <v>3171.7</v>
      </c>
      <c r="AK31" s="9">
        <f>SUM(O31:R31)</f>
        <v>3140</v>
      </c>
      <c r="AL31" s="8">
        <f>SUM(S31:V31)</f>
        <v>3282.9073778076881</v>
      </c>
    </row>
    <row r="32" spans="2:46" s="2" customFormat="1" x14ac:dyDescent="0.15">
      <c r="B32" s="2" t="s">
        <v>66</v>
      </c>
      <c r="C32" s="7"/>
      <c r="D32" s="7"/>
      <c r="E32" s="7"/>
      <c r="F32" s="7"/>
      <c r="G32" s="7">
        <v>417</v>
      </c>
      <c r="H32" s="7">
        <v>386.5</v>
      </c>
      <c r="I32" s="7">
        <v>444.4</v>
      </c>
      <c r="J32" s="7">
        <v>731.2</v>
      </c>
      <c r="K32" s="7">
        <v>397.9</v>
      </c>
      <c r="L32" s="7">
        <v>396.6</v>
      </c>
      <c r="M32" s="7">
        <v>434.5</v>
      </c>
      <c r="N32" s="7">
        <v>785.9</v>
      </c>
      <c r="O32" s="7">
        <v>483.7</v>
      </c>
      <c r="P32" s="7">
        <v>316.39999999999998</v>
      </c>
      <c r="Q32" s="7">
        <v>352.1</v>
      </c>
      <c r="R32" s="7">
        <v>670</v>
      </c>
      <c r="S32" s="7">
        <f>O32*(1+S21)</f>
        <v>412.36671332230566</v>
      </c>
      <c r="T32" s="7">
        <f>P32*(1+T21)</f>
        <v>316.39999999999998</v>
      </c>
      <c r="U32" s="7">
        <f>Q32*(1+U21)</f>
        <v>352.1</v>
      </c>
      <c r="V32" s="7">
        <f>R32*(1+V21)</f>
        <v>670</v>
      </c>
      <c r="W32" s="7"/>
      <c r="AB32" s="7"/>
      <c r="AC32" s="7"/>
      <c r="AD32" s="7"/>
      <c r="AE32" s="7"/>
      <c r="AG32" s="17"/>
      <c r="AH32" s="7"/>
      <c r="AI32" s="7">
        <v>1979.1</v>
      </c>
      <c r="AJ32" s="7">
        <v>2014.8</v>
      </c>
      <c r="AK32" s="9">
        <f>SUM(O32:R32)</f>
        <v>1822.1999999999998</v>
      </c>
      <c r="AL32" s="8">
        <f>SUM(S32:V32)</f>
        <v>1750.8667133223057</v>
      </c>
      <c r="AM32" s="7"/>
      <c r="AN32" s="7"/>
      <c r="AO32" s="7"/>
      <c r="AP32" s="7"/>
      <c r="AQ32" s="7"/>
      <c r="AR32" s="7"/>
      <c r="AS32" s="7"/>
      <c r="AT32" s="7"/>
    </row>
    <row r="33" spans="2:84" s="2" customFormat="1" x14ac:dyDescent="0.15">
      <c r="B33" s="2" t="s">
        <v>67</v>
      </c>
      <c r="C33" s="7"/>
      <c r="D33" s="7"/>
      <c r="E33" s="7"/>
      <c r="F33" s="7"/>
      <c r="G33" s="7">
        <v>90.9</v>
      </c>
      <c r="H33" s="7">
        <v>113.9</v>
      </c>
      <c r="I33" s="7">
        <v>146.9</v>
      </c>
      <c r="J33" s="7">
        <v>228.2</v>
      </c>
      <c r="K33" s="7">
        <v>175.4</v>
      </c>
      <c r="L33" s="7">
        <v>177.2</v>
      </c>
      <c r="M33" s="7">
        <v>192.2</v>
      </c>
      <c r="N33" s="7">
        <v>279.3</v>
      </c>
      <c r="O33" s="7">
        <v>220.9</v>
      </c>
      <c r="P33" s="7">
        <v>223.2</v>
      </c>
      <c r="Q33" s="7">
        <v>207.3</v>
      </c>
      <c r="R33" s="7">
        <v>313.2</v>
      </c>
      <c r="S33" s="7">
        <f>O33*(1+S22)</f>
        <v>229.73600000000002</v>
      </c>
      <c r="T33" s="7">
        <f>P33*(1+T22)</f>
        <v>232.12799999999999</v>
      </c>
      <c r="U33" s="7">
        <f>Q33*(1+U22)</f>
        <v>215.59200000000001</v>
      </c>
      <c r="V33" s="7">
        <f>R33*(1+V22)</f>
        <v>325.72800000000001</v>
      </c>
      <c r="W33" s="7"/>
      <c r="AB33" s="7"/>
      <c r="AC33" s="7"/>
      <c r="AD33" s="7"/>
      <c r="AE33" s="7"/>
      <c r="AF33" s="2">
        <f>AF17</f>
        <v>636.20000000000005</v>
      </c>
      <c r="AG33" s="2">
        <f>AG17</f>
        <v>707.5</v>
      </c>
      <c r="AH33" s="7">
        <v>737.5</v>
      </c>
      <c r="AI33" s="7">
        <v>579.9</v>
      </c>
      <c r="AJ33" s="7">
        <v>824.2</v>
      </c>
      <c r="AK33" s="9">
        <f>SUM(O33:R33)</f>
        <v>964.60000000000014</v>
      </c>
      <c r="AL33" s="8">
        <f>SUM(S33:V33)</f>
        <v>1003.184</v>
      </c>
      <c r="AM33" s="7">
        <f t="shared" ref="AM33:AT33" si="10">AL33*1.1</f>
        <v>1103.5024000000001</v>
      </c>
      <c r="AN33" s="7">
        <f t="shared" si="10"/>
        <v>1213.8526400000003</v>
      </c>
      <c r="AO33" s="7">
        <f t="shared" si="10"/>
        <v>1335.2379040000005</v>
      </c>
      <c r="AP33" s="7">
        <f t="shared" si="10"/>
        <v>1468.7616944000008</v>
      </c>
      <c r="AQ33" s="7">
        <f t="shared" si="10"/>
        <v>1615.637863840001</v>
      </c>
      <c r="AR33" s="7">
        <f t="shared" si="10"/>
        <v>1777.2016502240012</v>
      </c>
      <c r="AS33" s="7">
        <f t="shared" si="10"/>
        <v>1954.9218152464016</v>
      </c>
      <c r="AT33" s="7">
        <f t="shared" si="10"/>
        <v>2150.4139967710421</v>
      </c>
    </row>
    <row r="34" spans="2:84" s="8" customFormat="1" x14ac:dyDescent="0.15">
      <c r="B34" s="8" t="s">
        <v>8</v>
      </c>
      <c r="C34" s="9"/>
      <c r="D34" s="9"/>
      <c r="E34" s="9"/>
      <c r="F34" s="9"/>
      <c r="G34" s="9">
        <f>SUM(G31:G33)</f>
        <v>1021</v>
      </c>
      <c r="H34" s="9">
        <f>SUM(H31:H33)</f>
        <v>942</v>
      </c>
      <c r="I34" s="9">
        <f t="shared" ref="I34:O34" si="11">SUM(I31:I33)</f>
        <v>1004.6999999999999</v>
      </c>
      <c r="J34" s="9">
        <f t="shared" si="11"/>
        <v>2122.1</v>
      </c>
      <c r="K34" s="9">
        <f t="shared" si="11"/>
        <v>1276.8000000000002</v>
      </c>
      <c r="L34" s="9">
        <f t="shared" si="11"/>
        <v>1183.4000000000001</v>
      </c>
      <c r="M34" s="9">
        <f t="shared" si="11"/>
        <v>1296.6000000000001</v>
      </c>
      <c r="N34" s="9">
        <f t="shared" si="11"/>
        <v>2253.9</v>
      </c>
      <c r="O34" s="9">
        <f t="shared" si="11"/>
        <v>1378.4</v>
      </c>
      <c r="P34" s="9">
        <f>P31+P32+P33</f>
        <v>1136</v>
      </c>
      <c r="Q34" s="9">
        <f>Q31+Q32+Q33</f>
        <v>1186.4000000000001</v>
      </c>
      <c r="R34" s="9">
        <f>R31+R32+R33</f>
        <v>2226</v>
      </c>
      <c r="S34" s="9">
        <f>S31+S32+S33</f>
        <v>1346.5686340760701</v>
      </c>
      <c r="T34" s="9">
        <f t="shared" ref="T34:V34" si="12">T31+T32+T33</f>
        <v>1172.0712994027087</v>
      </c>
      <c r="U34" s="9">
        <f t="shared" si="12"/>
        <v>1223.2279636577773</v>
      </c>
      <c r="V34" s="9">
        <f t="shared" si="12"/>
        <v>2295.0901939934379</v>
      </c>
      <c r="W34" s="9"/>
      <c r="AB34" s="9">
        <v>9039.5</v>
      </c>
      <c r="AC34" s="9">
        <v>9296</v>
      </c>
      <c r="AD34" s="9">
        <v>9363.7999999999993</v>
      </c>
      <c r="AE34" s="9">
        <v>8607.9</v>
      </c>
      <c r="AF34" s="9">
        <f>SUM(AF12:AF18)</f>
        <v>8547.0999999999985</v>
      </c>
      <c r="AG34" s="9">
        <f>SUM(AG12:AG18)</f>
        <v>8285.2999999999993</v>
      </c>
      <c r="AH34" s="9">
        <v>6466</v>
      </c>
      <c r="AI34" s="9">
        <f t="shared" ref="AI34" si="13">SUM(AI31:AI33)</f>
        <v>5089.7999999999993</v>
      </c>
      <c r="AJ34" s="9">
        <f>SUM(AJ31:AJ33)</f>
        <v>6010.7</v>
      </c>
      <c r="AK34" s="9">
        <f>SUM(O34:R34)</f>
        <v>5926.8</v>
      </c>
      <c r="AL34" s="8">
        <f>SUM(S34:V34)</f>
        <v>6036.9580911299945</v>
      </c>
      <c r="AM34" s="8">
        <f t="shared" ref="AM34:AR34" si="14">AL34*1</f>
        <v>6036.9580911299945</v>
      </c>
      <c r="AN34" s="8">
        <f t="shared" si="14"/>
        <v>6036.9580911299945</v>
      </c>
      <c r="AO34" s="8">
        <f t="shared" si="14"/>
        <v>6036.9580911299945</v>
      </c>
      <c r="AP34" s="8">
        <f t="shared" si="14"/>
        <v>6036.9580911299945</v>
      </c>
      <c r="AQ34" s="8">
        <f t="shared" si="14"/>
        <v>6036.9580911299945</v>
      </c>
      <c r="AR34" s="8">
        <f t="shared" si="14"/>
        <v>6036.9580911299945</v>
      </c>
      <c r="AS34" s="8">
        <f t="shared" ref="AS34:AT34" si="15">AR34*1</f>
        <v>6036.9580911299945</v>
      </c>
      <c r="AT34" s="8">
        <f t="shared" si="15"/>
        <v>6036.9580911299945</v>
      </c>
    </row>
    <row r="35" spans="2:84" s="2" customFormat="1" x14ac:dyDescent="0.15">
      <c r="B35" s="2" t="s">
        <v>25</v>
      </c>
      <c r="C35" s="7"/>
      <c r="D35" s="7"/>
      <c r="E35" s="7"/>
      <c r="F35" s="7"/>
      <c r="G35" s="7">
        <v>738.6</v>
      </c>
      <c r="H35" s="7">
        <v>689.8</v>
      </c>
      <c r="I35" s="7">
        <v>728.4</v>
      </c>
      <c r="J35" s="7">
        <v>1673.5</v>
      </c>
      <c r="K35" s="7">
        <v>946.7</v>
      </c>
      <c r="L35" s="7">
        <v>862.5</v>
      </c>
      <c r="M35" s="7">
        <v>978</v>
      </c>
      <c r="N35" s="7">
        <v>1875.7</v>
      </c>
      <c r="O35" s="7">
        <v>1079.9000000000001</v>
      </c>
      <c r="P35" s="7">
        <v>853.8</v>
      </c>
      <c r="Q35" s="7">
        <v>894.8</v>
      </c>
      <c r="R35" s="7">
        <v>1726.6</v>
      </c>
      <c r="S35" s="7">
        <f>(1-S37)*S34</f>
        <v>1050.3235345793348</v>
      </c>
      <c r="T35" s="7">
        <f>(1-T37)*T34</f>
        <v>914.21561353411289</v>
      </c>
      <c r="U35" s="7">
        <f>(1-U37)*U34</f>
        <v>954.11781165306638</v>
      </c>
      <c r="V35" s="7">
        <f>(1-V37)*V34</f>
        <v>1790.1703513148816</v>
      </c>
      <c r="W35" s="7"/>
      <c r="AB35" s="7">
        <v>6378.4</v>
      </c>
      <c r="AC35" s="7">
        <v>6520.1</v>
      </c>
      <c r="AD35" s="7">
        <v>6445.5</v>
      </c>
      <c r="AE35" s="7">
        <v>5598.6</v>
      </c>
      <c r="AF35" s="7">
        <v>6062.2</v>
      </c>
      <c r="AG35" s="7">
        <v>5977.2</v>
      </c>
      <c r="AH35" s="7">
        <v>4557.3</v>
      </c>
      <c r="AI35" s="7">
        <v>3830.3</v>
      </c>
      <c r="AJ35" s="7">
        <v>4662.8999999999996</v>
      </c>
      <c r="AK35" s="9">
        <f>SUM(O35:R35)</f>
        <v>4555.1000000000004</v>
      </c>
      <c r="AL35" s="8">
        <f>SUM(S35:V35)</f>
        <v>4708.8273110813952</v>
      </c>
      <c r="AM35" s="7">
        <f>AM34*0.76</f>
        <v>4588.088149258796</v>
      </c>
      <c r="AN35" s="7">
        <f>AN34*0.75</f>
        <v>4527.7185683474963</v>
      </c>
      <c r="AO35" s="7">
        <f>AO34*0.75</f>
        <v>4527.7185683474963</v>
      </c>
      <c r="AP35" s="7">
        <f>AP34*0.74</f>
        <v>4467.3489874361958</v>
      </c>
      <c r="AQ35" s="7">
        <f>AQ34*0.74</f>
        <v>4467.3489874361958</v>
      </c>
      <c r="AR35" s="7">
        <f>AR34*0.73</f>
        <v>4406.9794065248961</v>
      </c>
      <c r="AS35" s="7">
        <f>AS34*0.73</f>
        <v>4406.9794065248961</v>
      </c>
      <c r="AT35" s="7">
        <f>AT34*0.72</f>
        <v>4346.6098256135956</v>
      </c>
    </row>
    <row r="36" spans="2:84" s="2" customFormat="1" x14ac:dyDescent="0.15">
      <c r="B36" s="2" t="s">
        <v>24</v>
      </c>
      <c r="C36" s="7"/>
      <c r="D36" s="7"/>
      <c r="E36" s="7"/>
      <c r="F36" s="7"/>
      <c r="G36" s="7">
        <f>G34-G35</f>
        <v>282.39999999999998</v>
      </c>
      <c r="H36" s="7">
        <f>H34-H35</f>
        <v>252.20000000000005</v>
      </c>
      <c r="I36" s="7">
        <f>I34-I35</f>
        <v>276.29999999999995</v>
      </c>
      <c r="J36" s="7">
        <f>J34-J35</f>
        <v>448.59999999999991</v>
      </c>
      <c r="K36" s="7">
        <f>K34-K35</f>
        <v>330.10000000000014</v>
      </c>
      <c r="L36" s="7">
        <f>L34-L35</f>
        <v>320.90000000000009</v>
      </c>
      <c r="M36" s="7">
        <f>M34-M35</f>
        <v>318.60000000000014</v>
      </c>
      <c r="N36" s="7">
        <f>N34-N35</f>
        <v>378.20000000000005</v>
      </c>
      <c r="O36" s="7">
        <f>O34-O35</f>
        <v>298.5</v>
      </c>
      <c r="P36" s="7">
        <f>P34-P35</f>
        <v>282.20000000000005</v>
      </c>
      <c r="Q36" s="7">
        <f>Q34-Q35</f>
        <v>291.60000000000014</v>
      </c>
      <c r="R36" s="7">
        <f>R34-R35</f>
        <v>499.40000000000009</v>
      </c>
      <c r="S36" s="7">
        <f>S34-S35</f>
        <v>296.24509949673529</v>
      </c>
      <c r="T36" s="7">
        <f>T34-T35</f>
        <v>257.85568586859586</v>
      </c>
      <c r="U36" s="7">
        <f>U34-U35</f>
        <v>269.11015200471093</v>
      </c>
      <c r="V36" s="7">
        <f>V34-V35</f>
        <v>504.91984267855628</v>
      </c>
      <c r="W36" s="7"/>
      <c r="AB36" s="7">
        <f>AB34-AB35</f>
        <v>2661.1000000000004</v>
      </c>
      <c r="AC36" s="7">
        <f>AC34-AC35</f>
        <v>2775.8999999999996</v>
      </c>
      <c r="AD36" s="7">
        <f>AD34-AD35</f>
        <v>2918.2999999999993</v>
      </c>
      <c r="AE36" s="7">
        <f>AE34-AE35</f>
        <v>3009.2999999999993</v>
      </c>
      <c r="AF36" s="7">
        <f>AF34-AF35</f>
        <v>2484.8999999999987</v>
      </c>
      <c r="AG36" s="7">
        <f>AG34-AG35</f>
        <v>2308.0999999999995</v>
      </c>
      <c r="AH36" s="7">
        <f>AH34-AH35</f>
        <v>1908.6999999999998</v>
      </c>
      <c r="AI36" s="7">
        <f>AI34-AI35</f>
        <v>1259.4999999999991</v>
      </c>
      <c r="AJ36" s="7">
        <f>AJ34-AJ35</f>
        <v>1347.8000000000002</v>
      </c>
      <c r="AK36" s="7">
        <f>AK34-AK35</f>
        <v>1371.6999999999998</v>
      </c>
      <c r="AL36" s="7">
        <f>AL34-AL35</f>
        <v>1328.1307800485993</v>
      </c>
      <c r="AM36" s="7">
        <f>AM34-AM35</f>
        <v>1448.8699418711985</v>
      </c>
      <c r="AN36" s="7">
        <f>AN34-AN35</f>
        <v>1509.2395227824982</v>
      </c>
      <c r="AO36" s="7">
        <f>AO34-AO35</f>
        <v>1509.2395227824982</v>
      </c>
      <c r="AP36" s="7">
        <f>AP34-AP35</f>
        <v>1569.6091036937987</v>
      </c>
      <c r="AQ36" s="7">
        <f>AQ34-AQ35</f>
        <v>1569.6091036937987</v>
      </c>
      <c r="AR36" s="7">
        <f>AR34-AR35</f>
        <v>1629.9786846050984</v>
      </c>
      <c r="AS36" s="7">
        <f>AS34-AS35</f>
        <v>1629.9786846050984</v>
      </c>
      <c r="AT36" s="7">
        <f>AT34-AT35</f>
        <v>1690.3482655163989</v>
      </c>
    </row>
    <row r="37" spans="2:84" s="2" customFormat="1" x14ac:dyDescent="0.15">
      <c r="B37" s="2" t="s">
        <v>126</v>
      </c>
      <c r="C37" s="7"/>
      <c r="D37" s="7"/>
      <c r="E37" s="7"/>
      <c r="F37" s="7"/>
      <c r="G37" s="10">
        <f>G36/G34</f>
        <v>0.27659157688540642</v>
      </c>
      <c r="H37" s="10">
        <f>H36/H34</f>
        <v>0.26772823779193211</v>
      </c>
      <c r="I37" s="10">
        <f>I36/I34</f>
        <v>0.27500746491489997</v>
      </c>
      <c r="J37" s="10">
        <f>J36/J34</f>
        <v>0.21139437349795012</v>
      </c>
      <c r="K37" s="10">
        <f>K36/K34</f>
        <v>0.25853696741854643</v>
      </c>
      <c r="L37" s="10">
        <f>L36/L34</f>
        <v>0.27116782153118141</v>
      </c>
      <c r="M37" s="10">
        <f>M36/M34</f>
        <v>0.24571957427117083</v>
      </c>
      <c r="N37" s="10">
        <f>N36/N34</f>
        <v>0.16779803895470075</v>
      </c>
      <c r="O37" s="10">
        <f>O36/O34</f>
        <v>0.21655542658154381</v>
      </c>
      <c r="P37" s="10">
        <f>P36/P34</f>
        <v>0.24841549295774651</v>
      </c>
      <c r="Q37" s="10">
        <f>Q36/Q34</f>
        <v>0.24578556979096436</v>
      </c>
      <c r="R37" s="10">
        <f>R36/R34</f>
        <v>0.22434860736747533</v>
      </c>
      <c r="S37" s="10">
        <v>0.22</v>
      </c>
      <c r="T37" s="10">
        <v>0.22</v>
      </c>
      <c r="U37" s="10">
        <v>0.22</v>
      </c>
      <c r="V37" s="10">
        <v>0.22</v>
      </c>
      <c r="W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2:84" s="2" customFormat="1" x14ac:dyDescent="0.15">
      <c r="B38" s="2" t="s">
        <v>26</v>
      </c>
      <c r="C38" s="7"/>
      <c r="D38" s="7"/>
      <c r="E38" s="7"/>
      <c r="F38" s="7"/>
      <c r="G38" s="7">
        <v>386.5</v>
      </c>
      <c r="H38" s="7">
        <v>348.2</v>
      </c>
      <c r="I38" s="7">
        <v>360.4</v>
      </c>
      <c r="J38" s="7">
        <v>419.1</v>
      </c>
      <c r="K38" s="7">
        <v>370.3</v>
      </c>
      <c r="L38" s="7">
        <v>378.9</v>
      </c>
      <c r="M38" s="7">
        <v>421.5</v>
      </c>
      <c r="N38" s="7">
        <v>538.9</v>
      </c>
      <c r="O38" s="7">
        <v>452.2</v>
      </c>
      <c r="P38" s="7">
        <v>387.5</v>
      </c>
      <c r="Q38" s="7">
        <v>387.9</v>
      </c>
      <c r="R38" s="7">
        <v>453.6</v>
      </c>
      <c r="S38" s="7">
        <f>O38/N38*R38*1.03</f>
        <v>392.04204416403792</v>
      </c>
      <c r="T38" s="7">
        <f>P38*1.03</f>
        <v>399.125</v>
      </c>
      <c r="U38" s="7">
        <f t="shared" ref="U38:V38" si="16">Q38*1.03</f>
        <v>399.53699999999998</v>
      </c>
      <c r="V38" s="7">
        <f t="shared" si="16"/>
        <v>467.20800000000003</v>
      </c>
      <c r="W38" s="7"/>
      <c r="AB38" s="7">
        <v>1892.4</v>
      </c>
      <c r="AC38" s="7">
        <v>2001</v>
      </c>
      <c r="AD38" s="7">
        <v>2108.9</v>
      </c>
      <c r="AE38" s="7">
        <v>2252.6</v>
      </c>
      <c r="AF38" s="7">
        <v>1909.6</v>
      </c>
      <c r="AG38" s="7">
        <v>1994.2</v>
      </c>
      <c r="AH38" s="7">
        <v>1922.7</v>
      </c>
      <c r="AI38" s="7">
        <v>1514.2</v>
      </c>
      <c r="AJ38" s="7">
        <v>1709.6</v>
      </c>
      <c r="AK38" s="22">
        <f>SUM(O38:R38)</f>
        <v>1681.1999999999998</v>
      </c>
      <c r="AL38" s="8">
        <f>SUM(S38:V38)</f>
        <v>1657.912044164038</v>
      </c>
      <c r="AM38" s="7">
        <f t="shared" ref="AM38:AT38" si="17">AL38*1.01</f>
        <v>1674.4911646056785</v>
      </c>
      <c r="AN38" s="7">
        <f t="shared" si="17"/>
        <v>1691.2360762517353</v>
      </c>
      <c r="AO38" s="7">
        <f t="shared" si="17"/>
        <v>1708.1484370142527</v>
      </c>
      <c r="AP38" s="7">
        <f t="shared" si="17"/>
        <v>1725.2299213843953</v>
      </c>
      <c r="AQ38" s="7">
        <f t="shared" si="17"/>
        <v>1742.4822205982393</v>
      </c>
      <c r="AR38" s="7">
        <f t="shared" si="17"/>
        <v>1759.9070428042216</v>
      </c>
      <c r="AS38" s="7">
        <f t="shared" si="17"/>
        <v>1777.5061132322639</v>
      </c>
      <c r="AT38" s="7">
        <f t="shared" si="17"/>
        <v>1795.2811743645866</v>
      </c>
    </row>
    <row r="39" spans="2:84" s="2" customFormat="1" x14ac:dyDescent="0.15">
      <c r="B39" s="2" t="s">
        <v>27</v>
      </c>
      <c r="C39" s="7"/>
      <c r="D39" s="7"/>
      <c r="E39" s="7"/>
      <c r="F39" s="7"/>
      <c r="G39" s="7">
        <f t="shared" ref="G39" si="18">G36-G38</f>
        <v>-104.10000000000002</v>
      </c>
      <c r="H39" s="7">
        <f>H36-H38</f>
        <v>-95.999999999999943</v>
      </c>
      <c r="I39" s="7">
        <f>I36-I38</f>
        <v>-84.100000000000023</v>
      </c>
      <c r="J39" s="7">
        <f>J36-J38</f>
        <v>29.499999999999886</v>
      </c>
      <c r="K39" s="7">
        <f>K36-K38</f>
        <v>-40.199999999999875</v>
      </c>
      <c r="L39" s="7">
        <f t="shared" ref="L39" si="19">L36-L38</f>
        <v>-57.999999999999886</v>
      </c>
      <c r="M39" s="7">
        <f t="shared" ref="M39" si="20">M36-M38</f>
        <v>-102.89999999999986</v>
      </c>
      <c r="N39" s="7">
        <f>N36-N38</f>
        <v>-160.69999999999993</v>
      </c>
      <c r="O39" s="7">
        <f>O36-O38</f>
        <v>-153.69999999999999</v>
      </c>
      <c r="P39" s="7">
        <f>P36-P38-2.5</f>
        <v>-107.79999999999995</v>
      </c>
      <c r="Q39" s="7">
        <f t="shared" ref="Q39:V39" si="21">Q36-Q38</f>
        <v>-96.299999999999841</v>
      </c>
      <c r="R39" s="7">
        <f t="shared" si="21"/>
        <v>45.800000000000068</v>
      </c>
      <c r="S39" s="7">
        <f>S36-S38</f>
        <v>-95.796944667302625</v>
      </c>
      <c r="T39" s="7">
        <f t="shared" si="21"/>
        <v>-141.26931413140414</v>
      </c>
      <c r="U39" s="7">
        <f t="shared" si="21"/>
        <v>-130.42684799528905</v>
      </c>
      <c r="V39" s="7">
        <f t="shared" si="21"/>
        <v>37.711842678556252</v>
      </c>
      <c r="W39" s="7"/>
      <c r="AB39" s="7">
        <f t="shared" ref="AB39" si="22">AB36-AB38</f>
        <v>768.70000000000027</v>
      </c>
      <c r="AC39" s="7">
        <f t="shared" ref="AC39" si="23">AC36-AC38</f>
        <v>774.89999999999964</v>
      </c>
      <c r="AD39" s="7">
        <f t="shared" ref="AD39" si="24">AD36-AD38</f>
        <v>809.39999999999918</v>
      </c>
      <c r="AE39" s="7">
        <f t="shared" ref="AE39:AF39" si="25">AE36-AE38</f>
        <v>756.69999999999936</v>
      </c>
      <c r="AF39" s="7">
        <f t="shared" si="25"/>
        <v>575.29999999999882</v>
      </c>
      <c r="AG39" s="7">
        <f>AG36-AG38</f>
        <v>313.89999999999941</v>
      </c>
      <c r="AH39" s="7">
        <f t="shared" ref="AH39" si="26">AH36-AH38</f>
        <v>-14.000000000000227</v>
      </c>
      <c r="AI39" s="7">
        <f>AI36-AI38</f>
        <v>-254.70000000000095</v>
      </c>
      <c r="AJ39" s="7">
        <f>AJ36-AJ38</f>
        <v>-361.79999999999973</v>
      </c>
      <c r="AK39" s="7">
        <f>AK36-AK38</f>
        <v>-309.5</v>
      </c>
      <c r="AL39" s="7">
        <f t="shared" ref="AL39:AT39" si="27">AL36-AL38</f>
        <v>-329.78126411543872</v>
      </c>
      <c r="AM39" s="7">
        <f t="shared" si="27"/>
        <v>-225.62122273447994</v>
      </c>
      <c r="AN39" s="7">
        <f t="shared" si="27"/>
        <v>-181.99655346923714</v>
      </c>
      <c r="AO39" s="7">
        <f t="shared" si="27"/>
        <v>-198.90891423175458</v>
      </c>
      <c r="AP39" s="7">
        <f t="shared" si="27"/>
        <v>-155.6208176905966</v>
      </c>
      <c r="AQ39" s="7">
        <f t="shared" si="27"/>
        <v>-172.87311690444062</v>
      </c>
      <c r="AR39" s="7">
        <f t="shared" si="27"/>
        <v>-129.92835819912329</v>
      </c>
      <c r="AS39" s="7">
        <f t="shared" si="27"/>
        <v>-147.52742862716559</v>
      </c>
      <c r="AT39" s="7">
        <f t="shared" si="27"/>
        <v>-104.93290884818771</v>
      </c>
    </row>
    <row r="40" spans="2:84" s="2" customFormat="1" x14ac:dyDescent="0.15">
      <c r="B40" s="2" t="s">
        <v>28</v>
      </c>
      <c r="C40" s="7"/>
      <c r="D40" s="7"/>
      <c r="E40" s="7"/>
      <c r="F40" s="7"/>
      <c r="G40" s="7">
        <v>-6.7</v>
      </c>
      <c r="H40" s="7">
        <v>-7.5</v>
      </c>
      <c r="I40" s="7">
        <v>-9.6999999999999993</v>
      </c>
      <c r="J40" s="7">
        <v>-8.1999999999999993</v>
      </c>
      <c r="K40" s="7">
        <v>-24.7</v>
      </c>
      <c r="L40" s="7">
        <v>-0.5</v>
      </c>
      <c r="M40" s="7">
        <v>-0.8</v>
      </c>
      <c r="N40" s="7">
        <v>-0.9</v>
      </c>
      <c r="O40" s="7">
        <v>-0.7</v>
      </c>
      <c r="P40" s="7">
        <v>0.3</v>
      </c>
      <c r="Q40" s="7">
        <v>3.7</v>
      </c>
      <c r="R40" s="7">
        <v>6.2</v>
      </c>
      <c r="S40" s="7">
        <v>6</v>
      </c>
      <c r="T40" s="7">
        <v>6</v>
      </c>
      <c r="U40" s="7">
        <v>6</v>
      </c>
      <c r="V40" s="7">
        <v>6</v>
      </c>
      <c r="W40" s="7"/>
      <c r="AB40" s="7">
        <v>-4.7</v>
      </c>
      <c r="AC40" s="7">
        <v>-10</v>
      </c>
      <c r="AD40" s="7">
        <v>-23</v>
      </c>
      <c r="AE40" s="7">
        <v>-53</v>
      </c>
      <c r="AF40" s="7">
        <v>-55.3</v>
      </c>
      <c r="AG40" s="7">
        <v>-51.1</v>
      </c>
      <c r="AH40" s="7">
        <v>-27.2</v>
      </c>
      <c r="AI40" s="7">
        <v>-32.1</v>
      </c>
      <c r="AJ40" s="7">
        <v>-26.9</v>
      </c>
      <c r="AK40" s="22">
        <f>SUM(O40:R40)</f>
        <v>9.5</v>
      </c>
      <c r="AL40" s="8">
        <f>SUM(S40:V40)</f>
        <v>24</v>
      </c>
      <c r="AM40" s="7">
        <f>AL55*$AX$78</f>
        <v>4.2163747176912265</v>
      </c>
      <c r="AN40" s="7">
        <f>AM55*$AX$78</f>
        <v>-0.21172224264454825</v>
      </c>
      <c r="AO40" s="7">
        <f>AN55*$AX$78</f>
        <v>-3.8558877568821823</v>
      </c>
      <c r="AP40" s="7">
        <f>AO55*$AX$78</f>
        <v>-7.302889390689006</v>
      </c>
      <c r="AQ40" s="7">
        <f>AP55*$AX$78</f>
        <v>-10.072592411070861</v>
      </c>
      <c r="AR40" s="7">
        <f>AQ55*$AX$78</f>
        <v>-13.182669469434558</v>
      </c>
      <c r="AS40" s="7">
        <f>AR55*$AX$78</f>
        <v>-15.61555693980004</v>
      </c>
      <c r="AT40" s="7">
        <f>AS55*$AX$78</f>
        <v>-18.388987694438455</v>
      </c>
    </row>
    <row r="41" spans="2:84" s="2" customFormat="1" x14ac:dyDescent="0.15">
      <c r="B41" s="2" t="s">
        <v>29</v>
      </c>
      <c r="C41" s="7"/>
      <c r="D41" s="7"/>
      <c r="E41" s="7"/>
      <c r="F41" s="7"/>
      <c r="G41" s="7">
        <f t="shared" ref="G41" si="28">G39+G40</f>
        <v>-110.80000000000003</v>
      </c>
      <c r="H41" s="7">
        <f>H39+H40</f>
        <v>-103.49999999999994</v>
      </c>
      <c r="I41" s="7">
        <f>I39+I40</f>
        <v>-93.800000000000026</v>
      </c>
      <c r="J41" s="7">
        <f>J39+J40</f>
        <v>21.299999999999887</v>
      </c>
      <c r="K41" s="7">
        <f>K39+K40</f>
        <v>-64.899999999999878</v>
      </c>
      <c r="L41" s="7">
        <f t="shared" ref="L41" si="29">L39+L40</f>
        <v>-58.499999999999886</v>
      </c>
      <c r="M41" s="7">
        <f t="shared" ref="M41" si="30">M39+M40</f>
        <v>-103.69999999999986</v>
      </c>
      <c r="N41" s="7">
        <f>N39+N40</f>
        <v>-161.59999999999994</v>
      </c>
      <c r="O41" s="7">
        <f>O39+O40</f>
        <v>-154.39999999999998</v>
      </c>
      <c r="P41" s="7">
        <f t="shared" ref="P41:V41" si="31">P39+P40</f>
        <v>-107.49999999999996</v>
      </c>
      <c r="Q41" s="7">
        <f t="shared" si="31"/>
        <v>-92.599999999999838</v>
      </c>
      <c r="R41" s="7">
        <f t="shared" si="31"/>
        <v>52.000000000000071</v>
      </c>
      <c r="S41" s="7">
        <f t="shared" si="31"/>
        <v>-89.796944667302625</v>
      </c>
      <c r="T41" s="7">
        <f t="shared" si="31"/>
        <v>-135.26931413140414</v>
      </c>
      <c r="U41" s="7">
        <f t="shared" si="31"/>
        <v>-124.42684799528905</v>
      </c>
      <c r="V41" s="7">
        <f t="shared" si="31"/>
        <v>43.711842678556252</v>
      </c>
      <c r="W41" s="7"/>
      <c r="AB41" s="7">
        <f t="shared" ref="AB41" si="32">AB39+AB40</f>
        <v>764.00000000000023</v>
      </c>
      <c r="AC41" s="7">
        <f t="shared" ref="AC41" si="33">AC39+AC40</f>
        <v>764.89999999999964</v>
      </c>
      <c r="AD41" s="7">
        <f t="shared" ref="AD41" si="34">AD39+AD40</f>
        <v>786.39999999999918</v>
      </c>
      <c r="AE41" s="7">
        <f t="shared" ref="AE41:AF41" si="35">AE39+AE40</f>
        <v>703.69999999999936</v>
      </c>
      <c r="AF41" s="7">
        <f t="shared" si="35"/>
        <v>519.99999999999886</v>
      </c>
      <c r="AG41" s="7">
        <f t="shared" ref="AG41:AH41" si="36">AG39+AG40</f>
        <v>262.79999999999939</v>
      </c>
      <c r="AH41" s="7">
        <f t="shared" si="36"/>
        <v>-41.20000000000023</v>
      </c>
      <c r="AI41" s="7">
        <f t="shared" ref="AI41:AJ41" si="37">AI39+AI40</f>
        <v>-286.80000000000098</v>
      </c>
      <c r="AJ41" s="7">
        <f t="shared" si="37"/>
        <v>-388.6999999999997</v>
      </c>
      <c r="AK41" s="7">
        <f>AK39+AK40</f>
        <v>-300</v>
      </c>
      <c r="AL41" s="7">
        <f t="shared" ref="AL41" si="38">AL39+AL40</f>
        <v>-305.78126411543872</v>
      </c>
      <c r="AM41" s="7">
        <f t="shared" ref="AM41" si="39">AM39+AM40</f>
        <v>-221.40484801678872</v>
      </c>
      <c r="AN41" s="7">
        <f t="shared" ref="AN41" si="40">AN39+AN40</f>
        <v>-182.2082757118817</v>
      </c>
      <c r="AO41" s="7">
        <f t="shared" ref="AO41" si="41">AO39+AO40</f>
        <v>-202.76480198863675</v>
      </c>
      <c r="AP41" s="7">
        <f t="shared" ref="AP41" si="42">AP39+AP40</f>
        <v>-162.92370708128561</v>
      </c>
      <c r="AQ41" s="7">
        <f t="shared" ref="AQ41" si="43">AQ39+AQ40</f>
        <v>-182.94570931551149</v>
      </c>
      <c r="AR41" s="7">
        <f t="shared" ref="AR41" si="44">AR39+AR40</f>
        <v>-143.11102766855785</v>
      </c>
      <c r="AS41" s="7">
        <f t="shared" ref="AS41" si="45">AS39+AS40</f>
        <v>-163.14298556696562</v>
      </c>
      <c r="AT41" s="7">
        <f t="shared" ref="AT41" si="46">AT39+AT40</f>
        <v>-123.32189654262616</v>
      </c>
    </row>
    <row r="42" spans="2:84" s="2" customFormat="1" x14ac:dyDescent="0.15">
      <c r="B42" s="2" t="s">
        <v>31</v>
      </c>
      <c r="C42" s="7"/>
      <c r="D42" s="7"/>
      <c r="E42" s="7"/>
      <c r="F42" s="7"/>
      <c r="G42" s="7">
        <v>50.4</v>
      </c>
      <c r="H42" s="7">
        <v>17.899999999999999</v>
      </c>
      <c r="I42" s="7">
        <v>-53.9</v>
      </c>
      <c r="J42" s="7">
        <v>-69.7</v>
      </c>
      <c r="K42" s="7">
        <v>1.3</v>
      </c>
      <c r="L42" s="7">
        <v>3.1</v>
      </c>
      <c r="M42" s="7">
        <v>1.7</v>
      </c>
      <c r="N42" s="7">
        <v>-20.2</v>
      </c>
      <c r="O42" s="7">
        <v>3.5</v>
      </c>
      <c r="P42" s="7">
        <v>1.2</v>
      </c>
      <c r="Q42" s="7">
        <v>2.1</v>
      </c>
      <c r="R42" s="7">
        <v>4.2</v>
      </c>
      <c r="S42" s="7">
        <v>6</v>
      </c>
      <c r="T42" s="7">
        <v>6</v>
      </c>
      <c r="U42" s="7">
        <v>6</v>
      </c>
      <c r="V42" s="7">
        <v>6</v>
      </c>
      <c r="W42" s="7"/>
      <c r="AB42" s="7">
        <v>214.6</v>
      </c>
      <c r="AC42" s="7">
        <v>215.2</v>
      </c>
      <c r="AD42" s="7">
        <v>222.4</v>
      </c>
      <c r="AE42" s="7">
        <v>151.5</v>
      </c>
      <c r="AF42" s="7">
        <v>153.5</v>
      </c>
      <c r="AG42" s="7">
        <v>41.7</v>
      </c>
      <c r="AH42" s="7">
        <v>37.6</v>
      </c>
      <c r="AI42" s="7">
        <v>-55.3</v>
      </c>
      <c r="AJ42" s="7">
        <v>-14.1</v>
      </c>
      <c r="AK42" s="22">
        <f>SUM(O42:R42)</f>
        <v>11</v>
      </c>
      <c r="AL42" s="8">
        <f>SUM(S42:V42)</f>
        <v>24</v>
      </c>
      <c r="AM42" s="2">
        <v>0</v>
      </c>
      <c r="AN42" s="2">
        <v>0</v>
      </c>
      <c r="AO42" s="2">
        <f>AO41*0.15</f>
        <v>-30.41472029829551</v>
      </c>
      <c r="AP42" s="2">
        <f t="shared" ref="AP42:AT42" si="47">AP41*0.15</f>
        <v>-24.438556062192841</v>
      </c>
      <c r="AQ42" s="2">
        <f t="shared" si="47"/>
        <v>-27.441856397326724</v>
      </c>
      <c r="AR42" s="2">
        <f t="shared" si="47"/>
        <v>-21.466654150283677</v>
      </c>
      <c r="AS42" s="2">
        <f t="shared" si="47"/>
        <v>-24.471447835044842</v>
      </c>
      <c r="AT42" s="2">
        <f t="shared" si="47"/>
        <v>-18.498284481393924</v>
      </c>
    </row>
    <row r="43" spans="2:84" s="2" customFormat="1" x14ac:dyDescent="0.15">
      <c r="B43" s="2" t="s">
        <v>30</v>
      </c>
      <c r="C43" s="7"/>
      <c r="D43" s="7"/>
      <c r="E43" s="7"/>
      <c r="F43" s="7"/>
      <c r="G43" s="7">
        <f t="shared" ref="G43" si="48">G41-G42</f>
        <v>-161.20000000000002</v>
      </c>
      <c r="H43" s="7">
        <f>H41-H42</f>
        <v>-121.39999999999995</v>
      </c>
      <c r="I43" s="7">
        <f>I41-I42</f>
        <v>-39.900000000000027</v>
      </c>
      <c r="J43" s="7">
        <f>J41-J42</f>
        <v>90.999999999999886</v>
      </c>
      <c r="K43" s="7">
        <f>K41-K42</f>
        <v>-66.199999999999875</v>
      </c>
      <c r="L43" s="7">
        <f t="shared" ref="L43" si="49">L41-L42</f>
        <v>-61.599999999999888</v>
      </c>
      <c r="M43" s="7">
        <f t="shared" ref="M43" si="50">M41-M42</f>
        <v>-105.39999999999986</v>
      </c>
      <c r="N43" s="7">
        <f>N41-N42</f>
        <v>-141.39999999999995</v>
      </c>
      <c r="O43" s="7">
        <f>O41-O42</f>
        <v>-157.89999999999998</v>
      </c>
      <c r="P43" s="6">
        <f t="shared" ref="P43:V43" si="51">P41-P42</f>
        <v>-108.69999999999996</v>
      </c>
      <c r="Q43" s="15">
        <f t="shared" si="51"/>
        <v>-94.699999999999832</v>
      </c>
      <c r="R43" s="7">
        <f t="shared" si="51"/>
        <v>47.800000000000068</v>
      </c>
      <c r="S43" s="7">
        <f t="shared" si="51"/>
        <v>-95.796944667302625</v>
      </c>
      <c r="T43" s="7">
        <f t="shared" si="51"/>
        <v>-141.26931413140414</v>
      </c>
      <c r="U43" s="7">
        <f t="shared" si="51"/>
        <v>-130.42684799528905</v>
      </c>
      <c r="V43" s="7">
        <f t="shared" si="51"/>
        <v>37.711842678556252</v>
      </c>
      <c r="W43" s="7"/>
      <c r="AB43" s="7">
        <f t="shared" ref="AB43" si="52">AB41-AB42</f>
        <v>549.4000000000002</v>
      </c>
      <c r="AC43" s="7">
        <f t="shared" ref="AC43" si="53">AC41-AC42</f>
        <v>549.69999999999959</v>
      </c>
      <c r="AD43" s="7">
        <f t="shared" ref="AD43" si="54">AD41-AD42</f>
        <v>563.9999999999992</v>
      </c>
      <c r="AE43" s="7">
        <f t="shared" ref="AE43:AF43" si="55">AE41-AE42</f>
        <v>552.19999999999936</v>
      </c>
      <c r="AF43" s="7">
        <f t="shared" si="55"/>
        <v>366.49999999999886</v>
      </c>
      <c r="AG43" s="7">
        <f t="shared" ref="AG43:AH43" si="56">AG41-AG42</f>
        <v>221.0999999999994</v>
      </c>
      <c r="AH43" s="7">
        <f t="shared" si="56"/>
        <v>-78.800000000000239</v>
      </c>
      <c r="AI43" s="7">
        <f>AI41-AI42</f>
        <v>-231.50000000000097</v>
      </c>
      <c r="AJ43" s="7">
        <f>AJ41-AJ42</f>
        <v>-374.59999999999968</v>
      </c>
      <c r="AK43" s="7">
        <f>AK41-AK42</f>
        <v>-311</v>
      </c>
      <c r="AL43" s="7">
        <f t="shared" ref="AL43:AT43" si="57">AL41-AL42</f>
        <v>-329.78126411543872</v>
      </c>
      <c r="AM43" s="7">
        <f t="shared" si="57"/>
        <v>-221.40484801678872</v>
      </c>
      <c r="AN43" s="7">
        <f t="shared" si="57"/>
        <v>-182.2082757118817</v>
      </c>
      <c r="AO43" s="7">
        <f t="shared" si="57"/>
        <v>-172.35008169034123</v>
      </c>
      <c r="AP43" s="7">
        <f t="shared" si="57"/>
        <v>-138.48515101909277</v>
      </c>
      <c r="AQ43" s="7">
        <f t="shared" si="57"/>
        <v>-155.50385291818478</v>
      </c>
      <c r="AR43" s="7">
        <f t="shared" si="57"/>
        <v>-121.64437351827418</v>
      </c>
      <c r="AS43" s="7">
        <f t="shared" si="57"/>
        <v>-138.67153773192078</v>
      </c>
      <c r="AT43" s="7">
        <f t="shared" si="57"/>
        <v>-104.82361206123224</v>
      </c>
      <c r="AU43" s="2">
        <f t="shared" ref="AU43:CF43" si="58">AT43*(1+$AX$77)</f>
        <v>-104.82361206123224</v>
      </c>
      <c r="AV43" s="2">
        <f t="shared" si="58"/>
        <v>-104.82361206123224</v>
      </c>
      <c r="AW43" s="2">
        <f t="shared" si="58"/>
        <v>-104.82361206123224</v>
      </c>
      <c r="AX43" s="2">
        <f t="shared" si="58"/>
        <v>-104.82361206123224</v>
      </c>
      <c r="AY43" s="2">
        <f t="shared" si="58"/>
        <v>-104.82361206123224</v>
      </c>
      <c r="AZ43" s="2">
        <f t="shared" si="58"/>
        <v>-104.82361206123224</v>
      </c>
      <c r="BA43" s="2">
        <f t="shared" si="58"/>
        <v>-104.82361206123224</v>
      </c>
      <c r="BB43" s="2">
        <f t="shared" si="58"/>
        <v>-104.82361206123224</v>
      </c>
      <c r="BC43" s="2">
        <f t="shared" si="58"/>
        <v>-104.82361206123224</v>
      </c>
      <c r="BD43" s="2">
        <f t="shared" si="58"/>
        <v>-104.82361206123224</v>
      </c>
      <c r="BE43" s="2">
        <f t="shared" si="58"/>
        <v>-104.82361206123224</v>
      </c>
      <c r="BF43" s="2">
        <f t="shared" si="58"/>
        <v>-104.82361206123224</v>
      </c>
      <c r="BG43" s="2">
        <f t="shared" si="58"/>
        <v>-104.82361206123224</v>
      </c>
      <c r="BH43" s="2">
        <f t="shared" si="58"/>
        <v>-104.82361206123224</v>
      </c>
      <c r="BI43" s="2">
        <f t="shared" si="58"/>
        <v>-104.82361206123224</v>
      </c>
      <c r="BJ43" s="2">
        <f t="shared" si="58"/>
        <v>-104.82361206123224</v>
      </c>
      <c r="BK43" s="2">
        <f t="shared" si="58"/>
        <v>-104.82361206123224</v>
      </c>
      <c r="BL43" s="2">
        <f t="shared" si="58"/>
        <v>-104.82361206123224</v>
      </c>
      <c r="BM43" s="2">
        <f t="shared" si="58"/>
        <v>-104.82361206123224</v>
      </c>
      <c r="BN43" s="2">
        <f t="shared" si="58"/>
        <v>-104.82361206123224</v>
      </c>
      <c r="BO43" s="2">
        <f t="shared" si="58"/>
        <v>-104.82361206123224</v>
      </c>
      <c r="BP43" s="2">
        <f t="shared" si="58"/>
        <v>-104.82361206123224</v>
      </c>
      <c r="BQ43" s="2">
        <f t="shared" si="58"/>
        <v>-104.82361206123224</v>
      </c>
      <c r="BR43" s="2">
        <f t="shared" si="58"/>
        <v>-104.82361206123224</v>
      </c>
      <c r="BS43" s="2">
        <f t="shared" si="58"/>
        <v>-104.82361206123224</v>
      </c>
      <c r="BT43" s="2">
        <f t="shared" si="58"/>
        <v>-104.82361206123224</v>
      </c>
      <c r="BU43" s="2">
        <f t="shared" si="58"/>
        <v>-104.82361206123224</v>
      </c>
      <c r="BV43" s="2">
        <f t="shared" si="58"/>
        <v>-104.82361206123224</v>
      </c>
      <c r="BW43" s="2">
        <f t="shared" si="58"/>
        <v>-104.82361206123224</v>
      </c>
      <c r="BX43" s="2">
        <f t="shared" si="58"/>
        <v>-104.82361206123224</v>
      </c>
      <c r="BY43" s="2">
        <f t="shared" si="58"/>
        <v>-104.82361206123224</v>
      </c>
      <c r="BZ43" s="2">
        <f t="shared" si="58"/>
        <v>-104.82361206123224</v>
      </c>
      <c r="CA43" s="2">
        <f t="shared" si="58"/>
        <v>-104.82361206123224</v>
      </c>
      <c r="CB43" s="2">
        <f t="shared" si="58"/>
        <v>-104.82361206123224</v>
      </c>
      <c r="CC43" s="2">
        <f t="shared" si="58"/>
        <v>-104.82361206123224</v>
      </c>
      <c r="CD43" s="2">
        <f t="shared" si="58"/>
        <v>-104.82361206123224</v>
      </c>
      <c r="CE43" s="2">
        <f t="shared" si="58"/>
        <v>-104.82361206123224</v>
      </c>
      <c r="CF43" s="2">
        <f t="shared" si="58"/>
        <v>-104.82361206123224</v>
      </c>
    </row>
    <row r="44" spans="2:84" x14ac:dyDescent="0.15">
      <c r="B44" t="s">
        <v>32</v>
      </c>
      <c r="G44" s="6">
        <f t="shared" ref="G44" si="59">G43/G45</f>
        <v>-0.62480620155038769</v>
      </c>
      <c r="H44" s="6">
        <f>H43/H45</f>
        <v>-0.46692307692307672</v>
      </c>
      <c r="I44" s="6">
        <f>I43/I45</f>
        <v>-0.15299079754601236</v>
      </c>
      <c r="J44" s="6">
        <f>J43/J45</f>
        <v>0.3355457227138639</v>
      </c>
      <c r="K44" s="6">
        <f>K43/K45</f>
        <v>-0.25075757575757529</v>
      </c>
      <c r="L44" s="6">
        <f t="shared" ref="L44" si="60">L43/L45</f>
        <v>-0.21212121212121174</v>
      </c>
      <c r="M44" s="6">
        <f t="shared" ref="M44" si="61">M43/M45</f>
        <v>-0.34716732542819451</v>
      </c>
      <c r="N44" s="6">
        <f>N43/N45</f>
        <v>-0.46574440052700899</v>
      </c>
      <c r="O44" s="6">
        <f>O43/O45</f>
        <v>-0.52009222661396559</v>
      </c>
      <c r="P44" s="6">
        <f t="shared" ref="P44:R44" si="62">P43/P45</f>
        <v>-0.35733070348454954</v>
      </c>
      <c r="Q44" s="6">
        <f t="shared" si="62"/>
        <v>-0.31130834976988769</v>
      </c>
      <c r="R44" s="6">
        <f t="shared" si="62"/>
        <v>0.15713346482577276</v>
      </c>
      <c r="S44" s="6">
        <f t="shared" ref="S44:V44" si="63">S43/S45</f>
        <v>-0.31491434801874629</v>
      </c>
      <c r="T44" s="6">
        <f t="shared" si="63"/>
        <v>-0.46439616742736406</v>
      </c>
      <c r="U44" s="6">
        <f t="shared" si="63"/>
        <v>-0.42875360945196928</v>
      </c>
      <c r="V44" s="6">
        <f t="shared" si="63"/>
        <v>0.12397055449887</v>
      </c>
      <c r="W44" s="6"/>
      <c r="AB44" s="6">
        <f t="shared" ref="AB44" si="64">AB43/AB45</f>
        <v>4.6402027027027044</v>
      </c>
      <c r="AC44" s="6">
        <f t="shared" ref="AC44" si="65">AC43/AC45</f>
        <v>4.8560070671378055</v>
      </c>
      <c r="AD44" s="6">
        <f t="shared" ref="AD44" si="66">AD43/AD45</f>
        <v>5.2858481724461033</v>
      </c>
      <c r="AE44" s="6">
        <f t="shared" ref="AE44:AF44" si="67">AE43/AE45</f>
        <v>5.3198458574181053</v>
      </c>
      <c r="AF44" s="6">
        <f t="shared" si="67"/>
        <v>3.6108374384236339</v>
      </c>
      <c r="AG44" s="6">
        <f t="shared" ref="AG44:AH44" si="68">AG43/AG45</f>
        <v>2.1655239960822663</v>
      </c>
      <c r="AH44" s="6">
        <f t="shared" si="68"/>
        <v>-0.90057142857143135</v>
      </c>
      <c r="AI44" s="6">
        <f>AI43/AI45</f>
        <v>-3.5615384615384764</v>
      </c>
      <c r="AJ44" s="6">
        <f>AJ43/AJ45</f>
        <v>-5.1597796143250649</v>
      </c>
      <c r="AK44" s="6">
        <f t="shared" ref="AK44:AT44" si="69">AK43/AK45</f>
        <v>-4.2837465564738295</v>
      </c>
      <c r="AL44" s="6">
        <f t="shared" si="69"/>
        <v>-4.5424416544826274</v>
      </c>
      <c r="AM44" s="6">
        <f t="shared" si="69"/>
        <v>-3.0496535539502583</v>
      </c>
      <c r="AN44" s="6">
        <f t="shared" si="69"/>
        <v>-2.5097558638000237</v>
      </c>
      <c r="AO44" s="6">
        <f t="shared" si="69"/>
        <v>-2.3739680673600723</v>
      </c>
      <c r="AP44" s="6">
        <f t="shared" si="69"/>
        <v>-1.9075089672051346</v>
      </c>
      <c r="AQ44" s="6">
        <f t="shared" si="69"/>
        <v>-2.1419263487353275</v>
      </c>
      <c r="AR44" s="6">
        <f t="shared" si="69"/>
        <v>-1.6755423349624543</v>
      </c>
      <c r="AS44" s="6">
        <f t="shared" si="69"/>
        <v>-1.9100762772991844</v>
      </c>
      <c r="AT44" s="6">
        <f t="shared" si="69"/>
        <v>-1.443851405802097</v>
      </c>
    </row>
    <row r="45" spans="2:84" s="2" customFormat="1" x14ac:dyDescent="0.15">
      <c r="B45" s="2" t="s">
        <v>1</v>
      </c>
      <c r="C45" s="7"/>
      <c r="D45" s="7"/>
      <c r="E45" s="7"/>
      <c r="F45" s="7"/>
      <c r="G45" s="7">
        <v>258</v>
      </c>
      <c r="H45" s="7">
        <v>260</v>
      </c>
      <c r="I45" s="7">
        <v>260.8</v>
      </c>
      <c r="J45" s="7">
        <v>271.2</v>
      </c>
      <c r="K45" s="7">
        <v>264</v>
      </c>
      <c r="L45" s="7">
        <v>290.39999999999998</v>
      </c>
      <c r="M45" s="7">
        <v>303.60000000000002</v>
      </c>
      <c r="N45" s="7">
        <v>303.60000000000002</v>
      </c>
      <c r="O45" s="7">
        <v>303.60000000000002</v>
      </c>
      <c r="P45" s="15">
        <v>304.2</v>
      </c>
      <c r="Q45" s="7">
        <f>P45</f>
        <v>304.2</v>
      </c>
      <c r="R45" s="7">
        <f>Q45</f>
        <v>304.2</v>
      </c>
      <c r="S45" s="7">
        <f t="shared" ref="S45:V45" si="70">R45</f>
        <v>304.2</v>
      </c>
      <c r="T45" s="7">
        <f t="shared" si="70"/>
        <v>304.2</v>
      </c>
      <c r="U45" s="7">
        <f t="shared" si="70"/>
        <v>304.2</v>
      </c>
      <c r="V45" s="7">
        <f t="shared" si="70"/>
        <v>304.2</v>
      </c>
      <c r="W45" s="7"/>
      <c r="AB45" s="7">
        <v>118.4</v>
      </c>
      <c r="AC45" s="7">
        <v>113.2</v>
      </c>
      <c r="AD45" s="7">
        <v>106.7</v>
      </c>
      <c r="AE45" s="7">
        <v>103.8</v>
      </c>
      <c r="AF45" s="7">
        <v>101.5</v>
      </c>
      <c r="AG45" s="7">
        <v>102.1</v>
      </c>
      <c r="AH45" s="7">
        <v>87.5</v>
      </c>
      <c r="AI45" s="7">
        <v>65</v>
      </c>
      <c r="AJ45" s="7">
        <v>72.599999999999994</v>
      </c>
      <c r="AK45" s="7">
        <f>AJ45</f>
        <v>72.599999999999994</v>
      </c>
      <c r="AL45" s="7">
        <f t="shared" ref="AL45:AT45" si="71">AK45</f>
        <v>72.599999999999994</v>
      </c>
      <c r="AM45" s="7">
        <f t="shared" si="71"/>
        <v>72.599999999999994</v>
      </c>
      <c r="AN45" s="7">
        <f t="shared" si="71"/>
        <v>72.599999999999994</v>
      </c>
      <c r="AO45" s="7">
        <f t="shared" si="71"/>
        <v>72.599999999999994</v>
      </c>
      <c r="AP45" s="7">
        <f t="shared" si="71"/>
        <v>72.599999999999994</v>
      </c>
      <c r="AQ45" s="7">
        <f t="shared" si="71"/>
        <v>72.599999999999994</v>
      </c>
      <c r="AR45" s="7">
        <f t="shared" si="71"/>
        <v>72.599999999999994</v>
      </c>
      <c r="AS45" s="7">
        <f t="shared" si="71"/>
        <v>72.599999999999994</v>
      </c>
      <c r="AT45" s="7">
        <f t="shared" si="71"/>
        <v>72.599999999999994</v>
      </c>
    </row>
    <row r="46" spans="2:84" x14ac:dyDescent="0.15">
      <c r="AF46" s="4"/>
      <c r="AG46" s="4"/>
      <c r="AH46" s="4"/>
    </row>
    <row r="47" spans="2:84" s="11" customFormat="1" x14ac:dyDescent="0.15">
      <c r="B47" s="8" t="s">
        <v>33</v>
      </c>
      <c r="C47" s="12"/>
      <c r="D47" s="12"/>
      <c r="E47" s="12"/>
      <c r="F47" s="12"/>
      <c r="G47" s="12"/>
      <c r="H47" s="12"/>
      <c r="I47" s="12"/>
      <c r="J47" s="12"/>
      <c r="K47" s="13">
        <f>K34/G34-1</f>
        <v>0.25053868756121478</v>
      </c>
      <c r="L47" s="13">
        <f>L34/H34-1</f>
        <v>0.25626326963906587</v>
      </c>
      <c r="M47" s="13">
        <f>M34/I34-1</f>
        <v>0.29053448790683811</v>
      </c>
      <c r="N47" s="13">
        <f>N34/J34-1</f>
        <v>6.2108288959050073E-2</v>
      </c>
      <c r="O47" s="13">
        <f>O34/K34-1</f>
        <v>7.9573934837092741E-2</v>
      </c>
      <c r="P47" s="13">
        <f>P34/L34-1</f>
        <v>-4.0054081460199509E-2</v>
      </c>
      <c r="Q47" s="13">
        <f>Q34/M34-1</f>
        <v>-8.4991516273330237E-2</v>
      </c>
      <c r="R47" s="13">
        <f>R34/N34-1</f>
        <v>-1.2378543857314073E-2</v>
      </c>
      <c r="S47" s="13">
        <f t="shared" ref="S47:V47" si="72">S34/O34-1</f>
        <v>-2.3092981662746648E-2</v>
      </c>
      <c r="T47" s="13">
        <f t="shared" si="72"/>
        <v>3.175290440379297E-2</v>
      </c>
      <c r="U47" s="13">
        <f t="shared" si="72"/>
        <v>3.1041776515321251E-2</v>
      </c>
      <c r="V47" s="13">
        <f t="shared" si="72"/>
        <v>3.1037822997950437E-2</v>
      </c>
      <c r="W47" s="13"/>
      <c r="AB47" s="12"/>
      <c r="AC47" s="13">
        <f>AC34/AB34-1</f>
        <v>2.8375463244648458E-2</v>
      </c>
      <c r="AD47" s="13">
        <f>AD34/AC34-1</f>
        <v>7.293459552495607E-3</v>
      </c>
      <c r="AE47" s="13">
        <f>AE34/AD34-1</f>
        <v>-8.0725773724342642E-2</v>
      </c>
      <c r="AF47" s="13">
        <f>AF34/AE34-1</f>
        <v>-7.0632790808444756E-3</v>
      </c>
      <c r="AG47" s="13">
        <f>AG34/AF34-1</f>
        <v>-3.0630272256086832E-2</v>
      </c>
      <c r="AH47" s="13">
        <f>AH34/AG34-1</f>
        <v>-0.21958166873860929</v>
      </c>
      <c r="AI47" s="13">
        <f>AI34/AH34-1</f>
        <v>-0.21283637488400875</v>
      </c>
      <c r="AJ47" s="13">
        <f>AJ34/AI34-1</f>
        <v>0.18093048842783621</v>
      </c>
      <c r="AK47" s="13">
        <f>AK34/AJ34-1</f>
        <v>-1.3958440780607817E-2</v>
      </c>
      <c r="AL47" s="13">
        <f>AL34/AK34-1</f>
        <v>1.8586436378820625E-2</v>
      </c>
      <c r="AM47" s="13">
        <f>AM34/AL34-1</f>
        <v>0</v>
      </c>
      <c r="AN47" s="13">
        <f>AN34/AM34-1</f>
        <v>0</v>
      </c>
      <c r="AO47" s="13">
        <f>AO34/AN34-1</f>
        <v>0</v>
      </c>
      <c r="AP47" s="13">
        <f>AP34/AO34-1</f>
        <v>0</v>
      </c>
      <c r="AQ47" s="13">
        <f>AQ34/AP34-1</f>
        <v>0</v>
      </c>
      <c r="AR47" s="13">
        <f>AR34/AQ34-1</f>
        <v>0</v>
      </c>
      <c r="AS47" s="13">
        <f>AS34/AR34-1</f>
        <v>0</v>
      </c>
      <c r="AT47" s="13">
        <f>AT34/AS34-1</f>
        <v>0</v>
      </c>
    </row>
    <row r="48" spans="2:84" x14ac:dyDescent="0.15">
      <c r="B48" s="2" t="s">
        <v>108</v>
      </c>
      <c r="K48" s="10">
        <f>K31/G31-1</f>
        <v>0.37107776261937242</v>
      </c>
      <c r="L48" s="10">
        <f>L31/H31-1</f>
        <v>0.38043478260869557</v>
      </c>
      <c r="M48" s="10">
        <f>M31/I31-1</f>
        <v>0.62046444121915822</v>
      </c>
      <c r="N48" s="10">
        <f>N31/J31-1</f>
        <v>2.2361744216048862E-2</v>
      </c>
      <c r="O48" s="10">
        <f>O31/K31-1</f>
        <v>-4.2217484008528872E-2</v>
      </c>
      <c r="P48" s="10">
        <f>P31/L31-1</f>
        <v>-2.1653543307086687E-2</v>
      </c>
      <c r="Q48" s="10">
        <f>Q31/M31-1</f>
        <v>-6.4039408866994996E-2</v>
      </c>
      <c r="R48" s="10">
        <f>R31/N31-1</f>
        <v>4.5511903760410366E-2</v>
      </c>
      <c r="S48" s="10">
        <f t="shared" ref="S48:V48" si="73">S31/O31-1</f>
        <v>4.5511903760410366E-2</v>
      </c>
      <c r="T48" s="10">
        <f t="shared" si="73"/>
        <v>4.5511903760410366E-2</v>
      </c>
      <c r="U48" s="10">
        <f t="shared" si="73"/>
        <v>4.5511903760410366E-2</v>
      </c>
      <c r="V48" s="10">
        <f t="shared" si="73"/>
        <v>4.5511903760410366E-2</v>
      </c>
      <c r="W48" s="10"/>
      <c r="AF48" s="4"/>
      <c r="AG48" s="2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2:46" x14ac:dyDescent="0.15">
      <c r="B49" s="2" t="s">
        <v>107</v>
      </c>
      <c r="K49" s="10">
        <f>K32/G32-1</f>
        <v>-4.5803357314148752E-2</v>
      </c>
      <c r="L49" s="10">
        <f>L32/H32-1</f>
        <v>2.6131953428201848E-2</v>
      </c>
      <c r="M49" s="10">
        <f>M32/I32-1</f>
        <v>-2.2277227722772186E-2</v>
      </c>
      <c r="N49" s="10">
        <f>N32/J32-1</f>
        <v>7.480853391684894E-2</v>
      </c>
      <c r="O49" s="10">
        <f>O32/K32-1</f>
        <v>0.21563206835888415</v>
      </c>
      <c r="P49" s="10">
        <f>P32/L32-1</f>
        <v>-0.20221886031265768</v>
      </c>
      <c r="Q49" s="10">
        <f>Q32/M32-1</f>
        <v>-0.18964326812428078</v>
      </c>
      <c r="R49" s="10">
        <f>R32/N32-1</f>
        <v>-0.14747423336302323</v>
      </c>
      <c r="S49" s="10">
        <f t="shared" ref="S49:V49" si="74">S32/O32-1</f>
        <v>-0.14747423336302323</v>
      </c>
      <c r="T49" s="10">
        <f t="shared" si="74"/>
        <v>0</v>
      </c>
      <c r="U49" s="10">
        <f t="shared" si="74"/>
        <v>0</v>
      </c>
      <c r="V49" s="10">
        <f t="shared" si="74"/>
        <v>0</v>
      </c>
      <c r="W49" s="10"/>
      <c r="AF49" s="4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2:46" x14ac:dyDescent="0.15">
      <c r="B50" s="2" t="s">
        <v>106</v>
      </c>
      <c r="K50" s="10">
        <f>K33/G33-1</f>
        <v>0.92959295929592956</v>
      </c>
      <c r="L50" s="10">
        <f>L33/H33-1</f>
        <v>0.55575065847234395</v>
      </c>
      <c r="M50" s="10">
        <f>M33/I33-1</f>
        <v>0.30837304288631717</v>
      </c>
      <c r="N50" s="10">
        <f>N33/J33-1</f>
        <v>0.2239263803680982</v>
      </c>
      <c r="O50" s="10">
        <f>O33/K33-1</f>
        <v>0.25940706955530213</v>
      </c>
      <c r="P50" s="10">
        <f>P33/L33-1</f>
        <v>0.25959367945823919</v>
      </c>
      <c r="Q50" s="10">
        <f>Q33/M33-1</f>
        <v>7.8563995837669154E-2</v>
      </c>
      <c r="R50" s="10">
        <f>R33/N33-1</f>
        <v>0.12137486573576783</v>
      </c>
      <c r="S50" s="10">
        <f t="shared" ref="S50:V50" si="75">S33/O33-1</f>
        <v>4.0000000000000036E-2</v>
      </c>
      <c r="T50" s="10">
        <f t="shared" si="75"/>
        <v>4.0000000000000036E-2</v>
      </c>
      <c r="U50" s="10">
        <f t="shared" si="75"/>
        <v>4.0000000000000036E-2</v>
      </c>
      <c r="V50" s="10">
        <f t="shared" si="75"/>
        <v>4.0000000000000036E-2</v>
      </c>
      <c r="W50" s="10"/>
      <c r="AF50" s="4"/>
      <c r="AG50" s="10">
        <f>AG33/AF33-1</f>
        <v>0.11207167557371878</v>
      </c>
      <c r="AH50" s="10">
        <f>AH33/AG33-1</f>
        <v>4.2402826855123754E-2</v>
      </c>
      <c r="AI50" s="10">
        <f>AI33/AH33-1</f>
        <v>-0.21369491525423734</v>
      </c>
      <c r="AJ50" s="10">
        <f>AJ33/AI33-1</f>
        <v>0.42127953095361281</v>
      </c>
      <c r="AK50" s="10">
        <f>AK33/AJ33-1</f>
        <v>0.17034700315457418</v>
      </c>
      <c r="AL50" s="10">
        <f>AL33/AK33-1</f>
        <v>3.9999999999999813E-2</v>
      </c>
      <c r="AM50" s="10">
        <f>AM33/AL33-1</f>
        <v>0.10000000000000009</v>
      </c>
      <c r="AN50" s="10">
        <f>AN33/AM33-1</f>
        <v>0.10000000000000009</v>
      </c>
      <c r="AO50" s="10">
        <f>AO33/AN33-1</f>
        <v>0.10000000000000009</v>
      </c>
      <c r="AP50" s="10">
        <f>AP33/AO33-1</f>
        <v>0.10000000000000009</v>
      </c>
      <c r="AQ50" s="10">
        <f>AQ33/AP33-1</f>
        <v>0.10000000000000009</v>
      </c>
      <c r="AR50" s="10">
        <f>AR33/AQ33-1</f>
        <v>0.10000000000000009</v>
      </c>
      <c r="AS50" s="10">
        <f>AS33/AR33-1</f>
        <v>0.10000000000000009</v>
      </c>
      <c r="AT50" s="10">
        <f>AT33/AS33-1</f>
        <v>0.10000000000000009</v>
      </c>
    </row>
    <row r="51" spans="2:46" x14ac:dyDescent="0.15">
      <c r="B51" t="s">
        <v>24</v>
      </c>
      <c r="G51" s="10">
        <f>G36/G34</f>
        <v>0.27659157688540642</v>
      </c>
      <c r="H51" s="10">
        <f>H36/H34</f>
        <v>0.26772823779193211</v>
      </c>
      <c r="I51" s="10">
        <f>I36/I34</f>
        <v>0.27500746491489997</v>
      </c>
      <c r="J51" s="10">
        <f>J36/J34</f>
        <v>0.21139437349795012</v>
      </c>
      <c r="K51" s="10">
        <f>K36/K34</f>
        <v>0.25853696741854643</v>
      </c>
      <c r="L51" s="10">
        <f>L36/L34</f>
        <v>0.27116782153118141</v>
      </c>
      <c r="M51" s="10">
        <f>M36/M34</f>
        <v>0.24571957427117083</v>
      </c>
      <c r="N51" s="10">
        <f>N36/N34</f>
        <v>0.16779803895470075</v>
      </c>
      <c r="O51" s="10">
        <f>O36/O34</f>
        <v>0.21655542658154381</v>
      </c>
      <c r="P51" s="10">
        <f>P36/P34</f>
        <v>0.24841549295774651</v>
      </c>
      <c r="Q51" s="10">
        <f>Q36/Q34</f>
        <v>0.24578556979096436</v>
      </c>
      <c r="R51" s="10">
        <f>R36/R34</f>
        <v>0.22434860736747533</v>
      </c>
      <c r="S51" s="10">
        <f t="shared" ref="S51:V51" si="76">S36/S34</f>
        <v>0.21999999999999989</v>
      </c>
      <c r="T51" s="10">
        <f t="shared" si="76"/>
        <v>0.21999999999999995</v>
      </c>
      <c r="U51" s="10">
        <f t="shared" si="76"/>
        <v>0.21999999999999995</v>
      </c>
      <c r="V51" s="10">
        <f t="shared" si="76"/>
        <v>0.21999999999999997</v>
      </c>
      <c r="W51" s="10"/>
      <c r="AB51" s="10">
        <f>AB36/AB34</f>
        <v>0.29438575142430451</v>
      </c>
      <c r="AC51" s="10">
        <f>AC36/AC34</f>
        <v>0.29861230636833042</v>
      </c>
      <c r="AD51" s="10">
        <f>AD36/AD34</f>
        <v>0.31165766035156661</v>
      </c>
      <c r="AE51" s="10">
        <f>AE36/AE34</f>
        <v>0.34959746279580378</v>
      </c>
      <c r="AF51" s="10">
        <f>AF36/AF34</f>
        <v>0.29073018918697557</v>
      </c>
      <c r="AG51" s="10">
        <f>AG36/AG34</f>
        <v>0.27857772198954772</v>
      </c>
      <c r="AH51" s="10">
        <f>AH36/AH34</f>
        <v>0.29519022579647386</v>
      </c>
      <c r="AI51" s="10">
        <f>AI36/AI34</f>
        <v>0.24745569570513562</v>
      </c>
      <c r="AJ51" s="10">
        <f>AJ36/AJ34</f>
        <v>0.22423345034688144</v>
      </c>
      <c r="AK51" s="10">
        <f>AK36/AK34</f>
        <v>0.23144023756495913</v>
      </c>
      <c r="AL51" s="10">
        <f>AL36/AL34</f>
        <v>0.22000000000000008</v>
      </c>
      <c r="AM51" s="10">
        <f>AM36/AM34</f>
        <v>0.23999999999999996</v>
      </c>
      <c r="AN51" s="10">
        <f>AN36/AN34</f>
        <v>0.24999999999999992</v>
      </c>
      <c r="AO51" s="10">
        <f>AO36/AO34</f>
        <v>0.24999999999999992</v>
      </c>
      <c r="AP51" s="10">
        <f>AP36/AP34</f>
        <v>0.26</v>
      </c>
      <c r="AQ51" s="10">
        <f>AQ36/AQ34</f>
        <v>0.26</v>
      </c>
      <c r="AR51" s="10">
        <f>AR36/AR34</f>
        <v>0.26999999999999996</v>
      </c>
      <c r="AS51" s="10">
        <f>AS36/AS34</f>
        <v>0.26999999999999996</v>
      </c>
      <c r="AT51" s="10">
        <f>AT36/AT34</f>
        <v>0.28000000000000008</v>
      </c>
    </row>
    <row r="52" spans="2:46" x14ac:dyDescent="0.15">
      <c r="B52" t="s">
        <v>100</v>
      </c>
      <c r="G52" s="10">
        <f>G41/G34</f>
        <v>-0.10852105778648387</v>
      </c>
      <c r="H52" s="10">
        <f>H41/H34</f>
        <v>-0.10987261146496809</v>
      </c>
      <c r="I52" s="10">
        <f>I41/I34</f>
        <v>-9.3361202348959921E-2</v>
      </c>
      <c r="J52" s="10">
        <f>J41/J34</f>
        <v>1.003722727486918E-2</v>
      </c>
      <c r="K52" s="10">
        <f>K41/K34</f>
        <v>-5.0830200501253031E-2</v>
      </c>
      <c r="L52" s="10">
        <f>L41/L34</f>
        <v>-4.9433834713537163E-2</v>
      </c>
      <c r="M52" s="10">
        <f>M41/M34</f>
        <v>-7.9978405059385971E-2</v>
      </c>
      <c r="N52" s="10">
        <f>N41/N34</f>
        <v>-7.169794578286523E-2</v>
      </c>
      <c r="O52" s="10">
        <f>O41/O34</f>
        <v>-0.11201392919326754</v>
      </c>
      <c r="P52" s="10">
        <f>P41/P34</f>
        <v>-9.4630281690140802E-2</v>
      </c>
      <c r="Q52" s="10">
        <f>Q41/Q34</f>
        <v>-7.8051247471341734E-2</v>
      </c>
      <c r="R52" s="10">
        <f>R41/R34</f>
        <v>2.336028751123094E-2</v>
      </c>
      <c r="S52" s="10">
        <f t="shared" ref="S52:V52" si="77">S41/S34</f>
        <v>-6.6685753993457289E-2</v>
      </c>
      <c r="T52" s="10">
        <f t="shared" si="77"/>
        <v>-0.11541048245131318</v>
      </c>
      <c r="U52" s="10">
        <f t="shared" si="77"/>
        <v>-0.10172008136833273</v>
      </c>
      <c r="V52" s="10">
        <f t="shared" si="77"/>
        <v>1.9045806039760908E-2</v>
      </c>
      <c r="W52" s="10"/>
      <c r="AB52" s="10">
        <f>AB39/AB34</f>
        <v>8.5037889263786748E-2</v>
      </c>
      <c r="AC52" s="10">
        <f>AC39/AC34</f>
        <v>8.3358433734939716E-2</v>
      </c>
      <c r="AD52" s="10">
        <f>AD39/AD34</f>
        <v>8.6439266109912566E-2</v>
      </c>
      <c r="AE52" s="10">
        <f>AE39/AE34</f>
        <v>8.7907619744653095E-2</v>
      </c>
      <c r="AF52" s="10">
        <f>AF39/AF34</f>
        <v>6.7309379789636123E-2</v>
      </c>
      <c r="AG52" s="10">
        <f>AG39/AG34</f>
        <v>3.7886377077474498E-2</v>
      </c>
      <c r="AH52" s="10">
        <f>AH39/AH34</f>
        <v>-2.1651716671822188E-3</v>
      </c>
      <c r="AI52" s="10">
        <f>AI39/AI34</f>
        <v>-5.0041258988565561E-2</v>
      </c>
      <c r="AJ52" s="10">
        <f>AJ39/AJ34</f>
        <v>-6.0192656429367587E-2</v>
      </c>
      <c r="AK52" s="10">
        <f>AK39/AK34</f>
        <v>-5.2220422487683063E-2</v>
      </c>
      <c r="AL52" s="10">
        <f>AL39/AL34</f>
        <v>-5.4627058716869514E-2</v>
      </c>
      <c r="AM52" s="10">
        <f>AM39/AM34</f>
        <v>-3.7373329304038333E-2</v>
      </c>
      <c r="AN52" s="10">
        <f>AN39/AN34</f>
        <v>-3.0147062597078778E-2</v>
      </c>
      <c r="AO52" s="10">
        <f>AO39/AO34</f>
        <v>-3.2948533223049574E-2</v>
      </c>
      <c r="AP52" s="10">
        <f>AP39/AP34</f>
        <v>-2.5778018555279978E-2</v>
      </c>
      <c r="AQ52" s="10">
        <f>AQ39/AQ34</f>
        <v>-2.8635798740832791E-2</v>
      </c>
      <c r="AR52" s="10">
        <f>AR39/AR34</f>
        <v>-2.1522156728241155E-2</v>
      </c>
      <c r="AS52" s="10">
        <f>AS39/AS34</f>
        <v>-2.443737829552358E-2</v>
      </c>
      <c r="AT52" s="10">
        <f>AT39/AT34</f>
        <v>-1.738175207847872E-2</v>
      </c>
    </row>
    <row r="53" spans="2:46" x14ac:dyDescent="0.15">
      <c r="B53" t="s">
        <v>99</v>
      </c>
      <c r="G53" s="10">
        <f t="shared" ref="G53:N53" si="78">G42/G41</f>
        <v>-0.45487364620938614</v>
      </c>
      <c r="H53" s="10">
        <f t="shared" si="78"/>
        <v>-0.17294685990338171</v>
      </c>
      <c r="I53" s="10">
        <f t="shared" si="78"/>
        <v>0.57462686567164167</v>
      </c>
      <c r="J53" s="10">
        <f t="shared" si="78"/>
        <v>-3.2723004694835858</v>
      </c>
      <c r="K53" s="10">
        <f t="shared" si="78"/>
        <v>-2.003081664098617E-2</v>
      </c>
      <c r="L53" s="10">
        <f t="shared" si="78"/>
        <v>-5.2991452991453095E-2</v>
      </c>
      <c r="M53" s="10">
        <f t="shared" si="78"/>
        <v>-1.6393442622950841E-2</v>
      </c>
      <c r="N53" s="10">
        <f t="shared" si="78"/>
        <v>0.12500000000000006</v>
      </c>
      <c r="O53" s="10">
        <f>O42/O41</f>
        <v>-2.2668393782383424E-2</v>
      </c>
      <c r="P53" s="10">
        <f t="shared" ref="P53:R53" si="79">P42/P41</f>
        <v>-1.1162790697674422E-2</v>
      </c>
      <c r="Q53" s="10">
        <f t="shared" si="79"/>
        <v>-2.2678185745140429E-2</v>
      </c>
      <c r="R53" s="10">
        <f t="shared" si="79"/>
        <v>8.0769230769230663E-2</v>
      </c>
      <c r="S53" s="10">
        <f t="shared" ref="S53:V53" si="80">S42/S41</f>
        <v>-6.681741814523845E-2</v>
      </c>
      <c r="T53" s="10">
        <f t="shared" si="80"/>
        <v>-4.4355957879489531E-2</v>
      </c>
      <c r="U53" s="10">
        <f t="shared" si="80"/>
        <v>-4.8221104180242252E-2</v>
      </c>
      <c r="V53" s="10">
        <f t="shared" si="80"/>
        <v>0.13726257307709941</v>
      </c>
      <c r="W53" s="10"/>
      <c r="AB53" s="10">
        <f t="shared" ref="AB53" si="81">AB42/AB41</f>
        <v>0.28089005235602083</v>
      </c>
      <c r="AC53" s="10">
        <f t="shared" ref="AC53" si="82">AC42/AC41</f>
        <v>0.2813439665315729</v>
      </c>
      <c r="AD53" s="10">
        <f t="shared" ref="AD53:AJ53" si="83">AD42/AD41</f>
        <v>0.28280773143438481</v>
      </c>
      <c r="AE53" s="10">
        <f t="shared" si="83"/>
        <v>0.21529060679266754</v>
      </c>
      <c r="AF53" s="10">
        <f t="shared" si="83"/>
        <v>0.29519230769230836</v>
      </c>
      <c r="AG53" s="10">
        <f t="shared" si="83"/>
        <v>0.15867579908675838</v>
      </c>
      <c r="AH53" s="10">
        <f t="shared" si="83"/>
        <v>-0.9126213592232959</v>
      </c>
      <c r="AI53" s="10">
        <f t="shared" si="83"/>
        <v>0.19281729428172875</v>
      </c>
      <c r="AJ53" s="10">
        <f t="shared" si="83"/>
        <v>3.6274762027270417E-2</v>
      </c>
      <c r="AK53" s="10">
        <f>AK42/AK41</f>
        <v>-3.6666666666666667E-2</v>
      </c>
      <c r="AL53" s="10">
        <f t="shared" ref="AL53:AT53" si="84">AL42/AL41</f>
        <v>-7.8487477214887524E-2</v>
      </c>
      <c r="AM53" s="10">
        <f t="shared" si="84"/>
        <v>0</v>
      </c>
      <c r="AN53" s="10">
        <f t="shared" si="84"/>
        <v>0</v>
      </c>
      <c r="AO53" s="10">
        <f t="shared" si="84"/>
        <v>0.15</v>
      </c>
      <c r="AP53" s="10">
        <f t="shared" si="84"/>
        <v>0.15</v>
      </c>
      <c r="AQ53" s="10">
        <f t="shared" si="84"/>
        <v>0.15</v>
      </c>
      <c r="AR53" s="10">
        <f t="shared" si="84"/>
        <v>0.15</v>
      </c>
      <c r="AS53" s="10">
        <f t="shared" si="84"/>
        <v>0.15</v>
      </c>
      <c r="AT53" s="10">
        <f t="shared" si="84"/>
        <v>0.15</v>
      </c>
    </row>
    <row r="55" spans="2:46" x14ac:dyDescent="0.15">
      <c r="B55" s="2" t="s">
        <v>3</v>
      </c>
      <c r="K55" s="7">
        <f>694.7+57.4+18.7</f>
        <v>770.80000000000007</v>
      </c>
      <c r="L55" s="7">
        <f>1720.4+36.7+18.5</f>
        <v>1775.6000000000001</v>
      </c>
      <c r="M55" s="7">
        <f>1413+39.5+15.6</f>
        <v>1468.1</v>
      </c>
      <c r="N55" s="7">
        <f>1271.4+33.1+15.4</f>
        <v>1319.9</v>
      </c>
      <c r="O55" s="7">
        <f>1035+33.3+15.3</f>
        <v>1083.5999999999999</v>
      </c>
      <c r="P55" s="7">
        <f>O55+P43</f>
        <v>974.9</v>
      </c>
      <c r="Q55" s="7">
        <v>803.8</v>
      </c>
      <c r="R55" s="7">
        <f>Q55+R43</f>
        <v>851.6</v>
      </c>
      <c r="S55" s="7">
        <f>R55+S43</f>
        <v>755.80305533269734</v>
      </c>
      <c r="T55" s="7">
        <f t="shared" ref="S55:V55" si="85">S55+T43</f>
        <v>614.5337412012932</v>
      </c>
      <c r="U55" s="7">
        <f t="shared" si="85"/>
        <v>484.10689320600414</v>
      </c>
      <c r="V55" s="7">
        <f t="shared" si="85"/>
        <v>521.8187358845604</v>
      </c>
      <c r="W55" s="7"/>
      <c r="AI55" s="7">
        <f>N55</f>
        <v>1319.9</v>
      </c>
      <c r="AJ55" s="7">
        <f>R55</f>
        <v>851.6</v>
      </c>
      <c r="AK55" s="7">
        <f t="shared" ref="AK55:AT55" si="86">AJ55+AK43</f>
        <v>540.6</v>
      </c>
      <c r="AL55" s="7">
        <f t="shared" si="86"/>
        <v>210.81873588456131</v>
      </c>
      <c r="AM55" s="7">
        <f t="shared" si="86"/>
        <v>-10.586112132227413</v>
      </c>
      <c r="AN55" s="7">
        <f t="shared" si="86"/>
        <v>-192.79438784410911</v>
      </c>
      <c r="AO55" s="7">
        <f t="shared" si="86"/>
        <v>-365.14446953445031</v>
      </c>
      <c r="AP55" s="7">
        <f t="shared" si="86"/>
        <v>-503.62962055354308</v>
      </c>
      <c r="AQ55" s="7">
        <f t="shared" si="86"/>
        <v>-659.13347347172783</v>
      </c>
      <c r="AR55" s="7">
        <f t="shared" si="86"/>
        <v>-780.77784699000199</v>
      </c>
      <c r="AS55" s="7">
        <f t="shared" si="86"/>
        <v>-919.4493847219228</v>
      </c>
      <c r="AT55" s="7">
        <f t="shared" si="86"/>
        <v>-1024.2729967831551</v>
      </c>
    </row>
    <row r="56" spans="2:46" x14ac:dyDescent="0.15">
      <c r="B56" s="2" t="s">
        <v>51</v>
      </c>
      <c r="K56" s="7">
        <v>102.1</v>
      </c>
      <c r="L56" s="7">
        <v>68.5</v>
      </c>
      <c r="M56" s="7">
        <v>83.4</v>
      </c>
      <c r="N56" s="7">
        <v>141.1</v>
      </c>
      <c r="O56" s="7">
        <v>103.4</v>
      </c>
    </row>
    <row r="57" spans="2:46" x14ac:dyDescent="0.15">
      <c r="B57" s="2" t="s">
        <v>54</v>
      </c>
      <c r="K57" s="7">
        <v>570.9</v>
      </c>
      <c r="L57" s="7">
        <v>596.4</v>
      </c>
      <c r="M57" s="7">
        <v>1140.9000000000001</v>
      </c>
      <c r="N57" s="7">
        <v>915</v>
      </c>
      <c r="O57" s="7">
        <v>917.6</v>
      </c>
      <c r="T57" s="4">
        <f>R45*22.58</f>
        <v>6868.8359999999993</v>
      </c>
    </row>
    <row r="58" spans="2:46" x14ac:dyDescent="0.15">
      <c r="B58" s="2" t="s">
        <v>55</v>
      </c>
      <c r="K58" s="7">
        <v>232.1</v>
      </c>
      <c r="L58" s="7">
        <v>235</v>
      </c>
      <c r="M58" s="7">
        <v>236.3</v>
      </c>
      <c r="N58" s="7">
        <v>238.2</v>
      </c>
      <c r="O58" s="7">
        <v>240.3</v>
      </c>
      <c r="T58" s="4">
        <f>R43*4</f>
        <v>191.20000000000027</v>
      </c>
    </row>
    <row r="59" spans="2:46" x14ac:dyDescent="0.15">
      <c r="B59" s="2" t="s">
        <v>56</v>
      </c>
      <c r="K59" s="7">
        <v>192.6</v>
      </c>
      <c r="L59" s="7">
        <v>186.6</v>
      </c>
      <c r="M59" s="7">
        <v>179.6</v>
      </c>
      <c r="N59" s="7">
        <v>163.6</v>
      </c>
      <c r="O59" s="7">
        <v>157.4</v>
      </c>
      <c r="T59" s="4">
        <f>T57/T58</f>
        <v>35.924874476987391</v>
      </c>
    </row>
    <row r="60" spans="2:46" x14ac:dyDescent="0.15">
      <c r="B60" s="2" t="s">
        <v>57</v>
      </c>
      <c r="K60" s="7">
        <v>654.20000000000005</v>
      </c>
      <c r="L60" s="7">
        <v>645.20000000000005</v>
      </c>
      <c r="M60" s="7">
        <f>615.8</f>
        <v>615.79999999999995</v>
      </c>
      <c r="N60" s="7">
        <v>586.6</v>
      </c>
      <c r="O60" s="7">
        <v>568.70000000000005</v>
      </c>
    </row>
    <row r="61" spans="2:46" x14ac:dyDescent="0.15">
      <c r="B61" s="2" t="s">
        <v>58</v>
      </c>
      <c r="K61" s="7">
        <v>0</v>
      </c>
      <c r="L61" s="7">
        <v>0</v>
      </c>
      <c r="M61" s="7">
        <v>0</v>
      </c>
      <c r="N61" s="7">
        <v>16.3</v>
      </c>
      <c r="O61" s="7">
        <v>16.7</v>
      </c>
    </row>
    <row r="62" spans="2:46" x14ac:dyDescent="0.15">
      <c r="B62" t="s">
        <v>52</v>
      </c>
      <c r="K62" s="7">
        <v>40</v>
      </c>
      <c r="L62" s="7">
        <v>38.5</v>
      </c>
      <c r="M62" s="7">
        <v>37.9</v>
      </c>
      <c r="N62" s="7">
        <v>118.6</v>
      </c>
      <c r="O62" s="7">
        <v>37.799999999999997</v>
      </c>
    </row>
    <row r="63" spans="2:46" x14ac:dyDescent="0.15">
      <c r="B63" t="s">
        <v>53</v>
      </c>
      <c r="K63" s="7">
        <f>SUM(K55:K62)</f>
        <v>2562.6999999999998</v>
      </c>
      <c r="L63" s="7">
        <f t="shared" ref="L63" si="87">SUM(L55:L62)</f>
        <v>3545.8</v>
      </c>
      <c r="M63" s="7">
        <f t="shared" ref="M63" si="88">SUM(M55:M62)</f>
        <v>3762.0000000000005</v>
      </c>
      <c r="N63" s="7">
        <f t="shared" ref="N63" si="89">SUM(N55:N62)</f>
        <v>3499.2999999999997</v>
      </c>
      <c r="O63" s="7">
        <f>SUM(O55:O62)</f>
        <v>3125.5</v>
      </c>
    </row>
    <row r="64" spans="2:46" x14ac:dyDescent="0.15">
      <c r="K64" s="7"/>
    </row>
    <row r="65" spans="2:50" x14ac:dyDescent="0.15">
      <c r="B65" t="s">
        <v>59</v>
      </c>
      <c r="K65" s="7">
        <v>388.6</v>
      </c>
      <c r="L65" s="7">
        <v>409.7</v>
      </c>
      <c r="M65" s="7">
        <v>711.5</v>
      </c>
      <c r="N65" s="7">
        <v>471</v>
      </c>
      <c r="O65" s="7">
        <v>386.8</v>
      </c>
    </row>
    <row r="66" spans="2:50" x14ac:dyDescent="0.15">
      <c r="B66" t="s">
        <v>60</v>
      </c>
      <c r="K66" s="7">
        <v>561.79999999999995</v>
      </c>
      <c r="L66" s="7">
        <v>563.1</v>
      </c>
      <c r="M66" s="7">
        <v>608.5</v>
      </c>
      <c r="N66" s="7">
        <v>668.9</v>
      </c>
      <c r="O66" s="7">
        <v>533.29999999999995</v>
      </c>
    </row>
    <row r="67" spans="2:50" x14ac:dyDescent="0.15">
      <c r="B67" t="s">
        <v>57</v>
      </c>
      <c r="K67" s="7">
        <f>219.4+445</f>
        <v>664.4</v>
      </c>
      <c r="L67" s="7">
        <f>432+221.5</f>
        <v>653.5</v>
      </c>
      <c r="M67" s="7">
        <v>211.9</v>
      </c>
      <c r="N67" s="7">
        <f>210.7+393.7</f>
        <v>604.4</v>
      </c>
      <c r="O67" s="7">
        <f>200.3+374.5</f>
        <v>574.79999999999995</v>
      </c>
    </row>
    <row r="68" spans="2:50" x14ac:dyDescent="0.15">
      <c r="B68" t="s">
        <v>4</v>
      </c>
      <c r="K68" s="7">
        <f>48.1</f>
        <v>48.1</v>
      </c>
      <c r="L68" s="7">
        <v>47.5</v>
      </c>
      <c r="M68" s="7">
        <f>1.4+44.8</f>
        <v>46.199999999999996</v>
      </c>
      <c r="N68" s="7">
        <v>44.6</v>
      </c>
      <c r="O68" s="7">
        <f>6.5+35.7</f>
        <v>42.2</v>
      </c>
    </row>
    <row r="69" spans="2:50" x14ac:dyDescent="0.15">
      <c r="B69" t="s">
        <v>61</v>
      </c>
      <c r="K69" s="7">
        <v>20.3</v>
      </c>
      <c r="L69" s="7">
        <v>20</v>
      </c>
      <c r="M69" s="7">
        <f>19.3+409.7</f>
        <v>429</v>
      </c>
      <c r="N69" s="7">
        <v>107.9</v>
      </c>
      <c r="O69" s="7">
        <v>137.69999999999999</v>
      </c>
    </row>
    <row r="70" spans="2:50" x14ac:dyDescent="0.15">
      <c r="B70" t="s">
        <v>62</v>
      </c>
      <c r="K70" s="7">
        <v>879.5</v>
      </c>
      <c r="L70" s="7">
        <v>1852</v>
      </c>
      <c r="M70" s="7">
        <v>1754.9</v>
      </c>
      <c r="N70" s="7">
        <v>1602.5</v>
      </c>
      <c r="O70" s="7">
        <v>1450.7</v>
      </c>
    </row>
    <row r="71" spans="2:50" x14ac:dyDescent="0.15">
      <c r="B71" t="s">
        <v>63</v>
      </c>
      <c r="K71" s="7">
        <f>SUM(K65:K70)</f>
        <v>2562.6999999999998</v>
      </c>
      <c r="L71" s="7">
        <f>SUM(L65:L70)</f>
        <v>3545.8</v>
      </c>
      <c r="M71" s="7">
        <f>SUM(M65:M70)</f>
        <v>3762</v>
      </c>
      <c r="N71" s="7">
        <f t="shared" ref="N71" si="90">SUM(N65:N70)</f>
        <v>3499.3</v>
      </c>
      <c r="O71" s="7">
        <f>SUM(O65:O70)</f>
        <v>3125.5</v>
      </c>
    </row>
    <row r="72" spans="2:50" x14ac:dyDescent="0.15">
      <c r="K72" s="7"/>
      <c r="N72" s="7"/>
      <c r="O72" s="7"/>
    </row>
    <row r="73" spans="2:50" x14ac:dyDescent="0.15">
      <c r="K73" s="7"/>
      <c r="N73" s="7"/>
      <c r="O73" s="7"/>
    </row>
    <row r="74" spans="2:50" s="2" customFormat="1" x14ac:dyDescent="0.15">
      <c r="B74" s="2" t="s">
        <v>34</v>
      </c>
      <c r="C74" s="7"/>
      <c r="D74" s="7"/>
      <c r="E74" s="7"/>
      <c r="F74" s="7"/>
      <c r="G74" s="7"/>
      <c r="H74" s="7"/>
      <c r="I74" s="7"/>
      <c r="J74" s="7"/>
      <c r="K74" s="7">
        <f t="shared" ref="K74:M74" si="91">K43</f>
        <v>-66.199999999999875</v>
      </c>
      <c r="L74" s="7">
        <f t="shared" si="91"/>
        <v>-61.599999999999888</v>
      </c>
      <c r="M74" s="7">
        <f t="shared" si="91"/>
        <v>-105.39999999999986</v>
      </c>
      <c r="N74" s="7">
        <f>N43</f>
        <v>-141.39999999999995</v>
      </c>
      <c r="O74" s="7">
        <f>O43</f>
        <v>-157.89999999999998</v>
      </c>
      <c r="P74" s="7"/>
      <c r="Q74" s="7"/>
      <c r="R74" s="7"/>
      <c r="S74" s="7"/>
      <c r="T74" s="7"/>
      <c r="U74" s="7"/>
      <c r="V74" s="7"/>
      <c r="W74" s="7"/>
      <c r="AB74" s="7"/>
      <c r="AC74" s="7"/>
      <c r="AD74" s="7"/>
      <c r="AE74" s="7"/>
      <c r="AF74" s="7">
        <f>AF43</f>
        <v>366.49999999999886</v>
      </c>
      <c r="AG74" s="7">
        <f t="shared" ref="AG74:AT74" si="92">AG43</f>
        <v>221.0999999999994</v>
      </c>
      <c r="AH74" s="7">
        <f t="shared" si="92"/>
        <v>-78.800000000000239</v>
      </c>
      <c r="AI74" s="7">
        <f t="shared" si="92"/>
        <v>-231.50000000000097</v>
      </c>
      <c r="AJ74" s="7">
        <f t="shared" si="92"/>
        <v>-374.59999999999968</v>
      </c>
      <c r="AK74" s="7">
        <f t="shared" si="92"/>
        <v>-311</v>
      </c>
      <c r="AL74" s="7">
        <f t="shared" si="92"/>
        <v>-329.78126411543872</v>
      </c>
      <c r="AM74" s="7">
        <f t="shared" si="92"/>
        <v>-221.40484801678872</v>
      </c>
      <c r="AN74" s="7">
        <f t="shared" si="92"/>
        <v>-182.2082757118817</v>
      </c>
      <c r="AO74" s="7">
        <f t="shared" si="92"/>
        <v>-172.35008169034123</v>
      </c>
      <c r="AP74" s="7">
        <f t="shared" si="92"/>
        <v>-138.48515101909277</v>
      </c>
      <c r="AQ74" s="7">
        <f t="shared" si="92"/>
        <v>-155.50385291818478</v>
      </c>
      <c r="AR74" s="7">
        <f t="shared" si="92"/>
        <v>-121.64437351827418</v>
      </c>
      <c r="AS74" s="7">
        <f t="shared" si="92"/>
        <v>-138.67153773192078</v>
      </c>
      <c r="AT74" s="7">
        <f t="shared" si="92"/>
        <v>-104.82361206123224</v>
      </c>
    </row>
    <row r="75" spans="2:50" s="2" customFormat="1" x14ac:dyDescent="0.15">
      <c r="B75" s="2" t="s">
        <v>35</v>
      </c>
      <c r="C75" s="7"/>
      <c r="D75" s="7"/>
      <c r="E75" s="7"/>
      <c r="F75" s="7"/>
      <c r="G75" s="7"/>
      <c r="H75" s="7"/>
      <c r="I75" s="7"/>
      <c r="J75" s="7"/>
      <c r="K75" s="7">
        <v>-66.8</v>
      </c>
      <c r="L75" s="7">
        <f>-128.4-K75</f>
        <v>-61.600000000000009</v>
      </c>
      <c r="M75" s="7">
        <f>-233.8-L75-K75</f>
        <v>-105.39999999999999</v>
      </c>
      <c r="N75" s="7">
        <f>-383.3-M75-L75-K75</f>
        <v>-149.5</v>
      </c>
      <c r="O75" s="7">
        <v>-157.9</v>
      </c>
      <c r="P75" s="7"/>
      <c r="Q75" s="7"/>
      <c r="R75" s="7"/>
      <c r="S75" s="7"/>
      <c r="T75" s="7"/>
      <c r="U75" s="7"/>
      <c r="V75" s="7"/>
      <c r="W75" s="7"/>
      <c r="AB75" s="7"/>
      <c r="AC75" s="7"/>
      <c r="AD75" s="7"/>
      <c r="AE75" s="7"/>
      <c r="AF75" s="2">
        <v>34.700000000000003</v>
      </c>
      <c r="AG75" s="2">
        <v>-673</v>
      </c>
      <c r="AH75" s="2">
        <v>-470.9</v>
      </c>
      <c r="AI75" s="7">
        <v>-215.3</v>
      </c>
      <c r="AJ75" s="7">
        <v>-381.3</v>
      </c>
      <c r="AK75" s="7"/>
    </row>
    <row r="76" spans="2:50" s="2" customFormat="1" x14ac:dyDescent="0.15">
      <c r="B76" s="2" t="s">
        <v>36</v>
      </c>
      <c r="C76" s="7"/>
      <c r="D76" s="7"/>
      <c r="E76" s="7"/>
      <c r="F76" s="7"/>
      <c r="G76" s="7"/>
      <c r="H76" s="7"/>
      <c r="I76" s="7"/>
      <c r="J76" s="7"/>
      <c r="K76" s="7">
        <v>18.7</v>
      </c>
      <c r="L76" s="7">
        <f>36.3-K76</f>
        <v>17.599999999999998</v>
      </c>
      <c r="M76" s="7">
        <f>53.2-L76-K76</f>
        <v>16.900000000000009</v>
      </c>
      <c r="N76" s="7">
        <f>77.2-M76-L76-K76</f>
        <v>24.000000000000004</v>
      </c>
      <c r="O76" s="7">
        <v>17.100000000000001</v>
      </c>
      <c r="P76" s="7"/>
      <c r="Q76" s="7"/>
      <c r="R76" s="7"/>
      <c r="S76" s="7"/>
      <c r="T76" s="7"/>
      <c r="U76" s="7"/>
      <c r="V76" s="7"/>
      <c r="W76" s="7"/>
      <c r="AB76" s="7"/>
      <c r="AC76" s="7"/>
      <c r="AD76" s="7"/>
      <c r="AE76" s="7"/>
      <c r="AF76" s="2">
        <v>151.9</v>
      </c>
      <c r="AG76" s="2">
        <v>126.9</v>
      </c>
      <c r="AH76" s="2">
        <v>96.2</v>
      </c>
      <c r="AI76" s="7">
        <v>80.7</v>
      </c>
      <c r="AJ76" s="7">
        <v>77.2</v>
      </c>
      <c r="AK76" s="7"/>
      <c r="AW76" s="11" t="s">
        <v>95</v>
      </c>
      <c r="AX76" s="16">
        <v>0.1</v>
      </c>
    </row>
    <row r="77" spans="2:50" s="2" customFormat="1" x14ac:dyDescent="0.15">
      <c r="B77" s="2" t="s">
        <v>84</v>
      </c>
      <c r="C77" s="7"/>
      <c r="D77" s="7"/>
      <c r="E77" s="7"/>
      <c r="F77" s="7"/>
      <c r="G77" s="7"/>
      <c r="H77" s="7"/>
      <c r="I77" s="7"/>
      <c r="J77" s="7"/>
      <c r="K77" s="7">
        <v>18.2</v>
      </c>
      <c r="L77" s="7">
        <f>18.2-K77</f>
        <v>0</v>
      </c>
      <c r="M77" s="7">
        <f>18.2-L77-K77</f>
        <v>0</v>
      </c>
      <c r="N77" s="7">
        <f>18.2-M77-L77-K77</f>
        <v>0</v>
      </c>
      <c r="O77" s="7"/>
      <c r="P77" s="7"/>
      <c r="Q77" s="7"/>
      <c r="R77" s="7"/>
      <c r="S77" s="7"/>
      <c r="T77" s="7"/>
      <c r="U77" s="7"/>
      <c r="V77" s="7"/>
      <c r="W77" s="7"/>
      <c r="AB77" s="7"/>
      <c r="AC77" s="7"/>
      <c r="AD77" s="7"/>
      <c r="AE77" s="7"/>
      <c r="AF77" s="2">
        <v>0</v>
      </c>
      <c r="AG77" s="2">
        <v>0</v>
      </c>
      <c r="AH77" s="2">
        <v>0</v>
      </c>
      <c r="AI77" s="7">
        <v>0</v>
      </c>
      <c r="AJ77" s="7">
        <v>18.2</v>
      </c>
      <c r="AK77" s="7"/>
      <c r="AW77" t="s">
        <v>96</v>
      </c>
      <c r="AX77" s="17">
        <v>0</v>
      </c>
    </row>
    <row r="78" spans="2:50" s="2" customFormat="1" x14ac:dyDescent="0.15">
      <c r="B78" s="2" t="s">
        <v>85</v>
      </c>
      <c r="C78" s="7"/>
      <c r="D78" s="7"/>
      <c r="E78" s="7"/>
      <c r="F78" s="7"/>
      <c r="G78" s="7"/>
      <c r="H78" s="7"/>
      <c r="I78" s="7"/>
      <c r="J78" s="7"/>
      <c r="K78" s="7">
        <v>0.6</v>
      </c>
      <c r="L78" s="7">
        <f>0.6-K78</f>
        <v>0</v>
      </c>
      <c r="M78" s="7">
        <f>0.6-L78-K78</f>
        <v>0</v>
      </c>
      <c r="N78" s="7">
        <f>6.7-M78-L78-K78</f>
        <v>6.1000000000000005</v>
      </c>
      <c r="O78" s="7"/>
      <c r="P78" s="7"/>
      <c r="Q78" s="7"/>
      <c r="R78" s="7"/>
      <c r="S78" s="7"/>
      <c r="T78" s="7"/>
      <c r="U78" s="7"/>
      <c r="V78" s="7"/>
      <c r="W78" s="7"/>
      <c r="AB78" s="7"/>
      <c r="AC78" s="7"/>
      <c r="AD78" s="7"/>
      <c r="AE78" s="7"/>
      <c r="AF78" s="2">
        <v>0</v>
      </c>
      <c r="AG78" s="2">
        <v>0</v>
      </c>
      <c r="AH78" s="2">
        <v>0</v>
      </c>
      <c r="AI78" s="7">
        <v>0</v>
      </c>
      <c r="AJ78" s="7">
        <v>6.7</v>
      </c>
      <c r="AK78" s="7"/>
      <c r="AW78" s="2" t="s">
        <v>101</v>
      </c>
      <c r="AX78" s="17">
        <v>0.02</v>
      </c>
    </row>
    <row r="79" spans="2:50" s="2" customFormat="1" x14ac:dyDescent="0.15">
      <c r="B79" s="2" t="s">
        <v>81</v>
      </c>
      <c r="C79" s="7"/>
      <c r="D79" s="7"/>
      <c r="E79" s="7"/>
      <c r="F79" s="7"/>
      <c r="G79" s="7"/>
      <c r="H79" s="7"/>
      <c r="I79" s="7"/>
      <c r="J79" s="7"/>
      <c r="K79" s="7">
        <v>0</v>
      </c>
      <c r="L79" s="7">
        <v>0</v>
      </c>
      <c r="M79" s="7">
        <v>0</v>
      </c>
      <c r="N79" s="7">
        <v>0</v>
      </c>
      <c r="O79" s="7"/>
      <c r="P79" s="7"/>
      <c r="Q79" s="7"/>
      <c r="R79" s="7"/>
      <c r="S79" s="7"/>
      <c r="T79" s="7"/>
      <c r="U79" s="7"/>
      <c r="V79" s="7"/>
      <c r="W79" s="7"/>
      <c r="AB79" s="7"/>
      <c r="AC79" s="7"/>
      <c r="AD79" s="7"/>
      <c r="AE79" s="7"/>
      <c r="AF79" s="2">
        <v>59.1</v>
      </c>
      <c r="AG79" s="2">
        <v>57.3</v>
      </c>
      <c r="AH79" s="2">
        <v>0</v>
      </c>
      <c r="AI79" s="7">
        <v>0</v>
      </c>
      <c r="AJ79" s="7">
        <v>0</v>
      </c>
      <c r="AK79" s="7"/>
      <c r="AW79" t="s">
        <v>97</v>
      </c>
      <c r="AX79" s="2">
        <f>NPV(AX76,AK43:CF43)+Main!M5-Main!M6</f>
        <v>-618.96244886807267</v>
      </c>
    </row>
    <row r="80" spans="2:50" s="2" customFormat="1" x14ac:dyDescent="0.15">
      <c r="B80" s="2" t="s">
        <v>82</v>
      </c>
      <c r="C80" s="7"/>
      <c r="D80" s="7"/>
      <c r="E80" s="7"/>
      <c r="F80" s="7"/>
      <c r="G80" s="7"/>
      <c r="H80" s="7"/>
      <c r="I80" s="7"/>
      <c r="J80" s="7"/>
      <c r="K80" s="7">
        <v>0</v>
      </c>
      <c r="L80" s="7">
        <v>0</v>
      </c>
      <c r="M80" s="7">
        <v>0</v>
      </c>
      <c r="N80" s="7">
        <v>0</v>
      </c>
      <c r="O80" s="7"/>
      <c r="P80" s="7"/>
      <c r="Q80" s="7"/>
      <c r="R80" s="7"/>
      <c r="S80" s="7"/>
      <c r="T80" s="7"/>
      <c r="U80" s="7"/>
      <c r="V80" s="7"/>
      <c r="W80" s="7"/>
      <c r="AB80" s="7"/>
      <c r="AC80" s="7"/>
      <c r="AD80" s="7"/>
      <c r="AE80" s="7"/>
      <c r="AF80" s="2">
        <v>395.1</v>
      </c>
      <c r="AG80" s="2">
        <v>1015.9</v>
      </c>
      <c r="AH80" s="2">
        <v>385.6</v>
      </c>
      <c r="AI80" s="7">
        <v>15.5</v>
      </c>
      <c r="AJ80" s="7">
        <v>0</v>
      </c>
      <c r="AK80" s="7"/>
      <c r="AW80" s="8" t="s">
        <v>0</v>
      </c>
      <c r="AX80" s="18">
        <f>AX79/Main!M3</f>
        <v>-8.1304387609604056</v>
      </c>
    </row>
    <row r="81" spans="2:50" s="2" customFormat="1" x14ac:dyDescent="0.15">
      <c r="B81" s="2" t="s">
        <v>37</v>
      </c>
      <c r="C81" s="7"/>
      <c r="D81" s="7"/>
      <c r="E81" s="7"/>
      <c r="F81" s="7"/>
      <c r="G81" s="7"/>
      <c r="H81" s="7"/>
      <c r="I81" s="7"/>
      <c r="J81" s="7"/>
      <c r="K81" s="7">
        <v>5.7</v>
      </c>
      <c r="L81" s="7">
        <f>14.5-K81</f>
        <v>8.8000000000000007</v>
      </c>
      <c r="M81" s="7">
        <f>20.7-L81-K81</f>
        <v>6.1999999999999984</v>
      </c>
      <c r="N81" s="7">
        <f>30.5-M81-L81-K81</f>
        <v>9.8000000000000007</v>
      </c>
      <c r="O81" s="7">
        <v>11.1</v>
      </c>
      <c r="P81" s="7"/>
      <c r="Q81" s="7"/>
      <c r="R81" s="7"/>
      <c r="S81" s="7"/>
      <c r="T81" s="7"/>
      <c r="U81" s="7"/>
      <c r="V81" s="7"/>
      <c r="W81" s="7"/>
      <c r="AB81" s="7"/>
      <c r="AC81" s="7"/>
      <c r="AD81" s="7"/>
      <c r="AE81" s="7"/>
      <c r="AF81" s="2">
        <v>25.6</v>
      </c>
      <c r="AG81" s="2">
        <v>10.7</v>
      </c>
      <c r="AH81" s="2">
        <v>8.9</v>
      </c>
      <c r="AI81" s="7">
        <v>7.9</v>
      </c>
      <c r="AJ81" s="7">
        <v>30.5</v>
      </c>
      <c r="AK81" s="7"/>
      <c r="AW81" s="2" t="s">
        <v>98</v>
      </c>
      <c r="AX81" s="17">
        <f>AX80/Main!M2-1</f>
        <v>-1.0632718969724546</v>
      </c>
    </row>
    <row r="82" spans="2:50" s="2" customFormat="1" x14ac:dyDescent="0.15">
      <c r="B82" s="2" t="s">
        <v>58</v>
      </c>
      <c r="C82" s="7"/>
      <c r="D82" s="7"/>
      <c r="E82" s="7"/>
      <c r="F82" s="7"/>
      <c r="G82" s="7"/>
      <c r="H82" s="7"/>
      <c r="I82" s="7"/>
      <c r="J82" s="7"/>
      <c r="K82" s="7">
        <v>0</v>
      </c>
      <c r="L82" s="7">
        <v>0</v>
      </c>
      <c r="M82" s="7">
        <v>0</v>
      </c>
      <c r="N82" s="7">
        <f>-16.3-M82-L82-K82</f>
        <v>-16.3</v>
      </c>
      <c r="O82" s="7"/>
      <c r="P82" s="7"/>
      <c r="Q82" s="7"/>
      <c r="R82" s="7"/>
      <c r="S82" s="7"/>
      <c r="T82" s="7"/>
      <c r="U82" s="7"/>
      <c r="V82" s="7"/>
      <c r="W82" s="7"/>
      <c r="AB82" s="7"/>
      <c r="AC82" s="7"/>
      <c r="AD82" s="7"/>
      <c r="AE82" s="7"/>
      <c r="AF82" s="2">
        <v>-107.9</v>
      </c>
      <c r="AG82" s="2">
        <v>-4.0999999999999996</v>
      </c>
      <c r="AH82" s="2">
        <v>61.4</v>
      </c>
      <c r="AI82" s="7">
        <v>80.3</v>
      </c>
      <c r="AJ82" s="7">
        <v>-16.3</v>
      </c>
      <c r="AK82" s="7"/>
    </row>
    <row r="83" spans="2:50" s="2" customFormat="1" x14ac:dyDescent="0.15">
      <c r="B83" s="2" t="s">
        <v>38</v>
      </c>
      <c r="C83" s="7"/>
      <c r="D83" s="7"/>
      <c r="E83" s="7"/>
      <c r="F83" s="7"/>
      <c r="G83" s="7"/>
      <c r="H83" s="7"/>
      <c r="I83" s="7"/>
      <c r="J83" s="7"/>
      <c r="K83" s="7">
        <v>0.4</v>
      </c>
      <c r="L83" s="7">
        <f>0.5-K83</f>
        <v>9.9999999999999978E-2</v>
      </c>
      <c r="M83" s="7">
        <v>0</v>
      </c>
      <c r="N83" s="7">
        <f>5.4-M83-L83-K83</f>
        <v>4.9000000000000004</v>
      </c>
      <c r="O83" s="7">
        <v>-6.9</v>
      </c>
      <c r="P83" s="7"/>
      <c r="Q83" s="7"/>
      <c r="R83" s="7"/>
      <c r="S83" s="7"/>
      <c r="T83" s="7"/>
      <c r="U83" s="7"/>
      <c r="V83" s="7"/>
      <c r="W83" s="7"/>
      <c r="AB83" s="7"/>
      <c r="AC83" s="7"/>
      <c r="AD83" s="7"/>
      <c r="AE83" s="7"/>
      <c r="AF83" s="2">
        <v>-6.4</v>
      </c>
      <c r="AG83" s="2">
        <v>-100.8</v>
      </c>
      <c r="AH83" s="2">
        <v>1.9</v>
      </c>
      <c r="AI83" s="7">
        <v>-27.3</v>
      </c>
      <c r="AJ83" s="7">
        <v>0</v>
      </c>
      <c r="AK83" s="7"/>
    </row>
    <row r="84" spans="2:50" s="2" customFormat="1" x14ac:dyDescent="0.15">
      <c r="B84" s="2" t="s">
        <v>39</v>
      </c>
      <c r="C84" s="7"/>
      <c r="D84" s="7"/>
      <c r="E84" s="7"/>
      <c r="F84" s="7"/>
      <c r="G84" s="7"/>
      <c r="H84" s="7"/>
      <c r="I84" s="7"/>
      <c r="J84" s="7"/>
      <c r="K84" s="7">
        <v>0</v>
      </c>
      <c r="L84" s="7">
        <v>0</v>
      </c>
      <c r="M84" s="7">
        <v>0</v>
      </c>
      <c r="N84" s="7">
        <v>0</v>
      </c>
      <c r="O84" s="7">
        <v>33.700000000000003</v>
      </c>
      <c r="P84" s="7"/>
      <c r="Q84" s="7"/>
      <c r="R84" s="7"/>
      <c r="S84" s="7"/>
      <c r="T84" s="7"/>
      <c r="U84" s="7"/>
      <c r="V84" s="7"/>
      <c r="W84" s="7"/>
      <c r="AB84" s="7"/>
      <c r="AC84" s="7"/>
      <c r="AD84" s="7"/>
      <c r="AE84" s="7"/>
      <c r="AF84" s="2">
        <v>0</v>
      </c>
      <c r="AG84" s="2">
        <v>0</v>
      </c>
      <c r="AH84" s="2">
        <v>0</v>
      </c>
      <c r="AI84" s="7">
        <v>0</v>
      </c>
      <c r="AJ84" s="7">
        <v>0</v>
      </c>
      <c r="AK84" s="7"/>
    </row>
    <row r="85" spans="2:50" s="2" customFormat="1" x14ac:dyDescent="0.15">
      <c r="B85" s="2" t="s">
        <v>40</v>
      </c>
      <c r="C85" s="7"/>
      <c r="D85" s="7"/>
      <c r="E85" s="7"/>
      <c r="F85" s="7"/>
      <c r="G85" s="7"/>
      <c r="H85" s="7"/>
      <c r="I85" s="7"/>
      <c r="J85" s="7"/>
      <c r="K85" s="7">
        <v>0</v>
      </c>
      <c r="L85" s="7">
        <v>0</v>
      </c>
      <c r="M85" s="7">
        <f>1.9-L85-K85</f>
        <v>1.9</v>
      </c>
      <c r="N85" s="7">
        <v>0</v>
      </c>
      <c r="O85" s="7">
        <v>0.4</v>
      </c>
      <c r="P85" s="7"/>
      <c r="Q85" s="7"/>
      <c r="R85" s="7"/>
      <c r="S85" s="7"/>
      <c r="T85" s="7"/>
      <c r="U85" s="7"/>
      <c r="V85" s="7"/>
      <c r="W85" s="7"/>
      <c r="AB85" s="7"/>
      <c r="AC85" s="7"/>
      <c r="AD85" s="7"/>
      <c r="AE85" s="7"/>
      <c r="AF85" s="2">
        <v>8.5</v>
      </c>
      <c r="AG85" s="2">
        <v>2</v>
      </c>
      <c r="AH85" s="2">
        <v>9.1</v>
      </c>
      <c r="AI85" s="7">
        <v>0</v>
      </c>
      <c r="AJ85" s="7">
        <v>5.4</v>
      </c>
      <c r="AK85" s="7"/>
    </row>
    <row r="86" spans="2:50" s="2" customFormat="1" x14ac:dyDescent="0.15">
      <c r="B86" s="2" t="s">
        <v>41</v>
      </c>
      <c r="C86" s="7"/>
      <c r="D86" s="7"/>
      <c r="E86" s="7"/>
      <c r="F86" s="7"/>
      <c r="G86" s="7"/>
      <c r="H86" s="7"/>
      <c r="I86" s="7"/>
      <c r="J86" s="7"/>
      <c r="K86" s="7">
        <v>-0.5</v>
      </c>
      <c r="L86" s="7">
        <f>-0.6-K86</f>
        <v>-9.9999999999999978E-2</v>
      </c>
      <c r="M86" s="7">
        <f>-1.4-L86-K86</f>
        <v>-0.79999999999999982</v>
      </c>
      <c r="N86" s="7">
        <f>-3.5-M86-L86-K86</f>
        <v>-2.1</v>
      </c>
      <c r="O86" s="7">
        <v>-4.8</v>
      </c>
      <c r="P86" s="7"/>
      <c r="Q86" s="7"/>
      <c r="R86" s="7"/>
      <c r="S86" s="7"/>
      <c r="T86" s="7"/>
      <c r="U86" s="7"/>
      <c r="V86" s="7"/>
      <c r="W86" s="7"/>
      <c r="AB86" s="7"/>
      <c r="AC86" s="7"/>
      <c r="AD86" s="7"/>
      <c r="AE86" s="7"/>
      <c r="AF86" s="2">
        <v>-34.200000000000003</v>
      </c>
      <c r="AG86" s="2">
        <v>-36.200000000000003</v>
      </c>
      <c r="AH86" s="2">
        <v>4.0999999999999996</v>
      </c>
      <c r="AI86" s="7">
        <v>0.9</v>
      </c>
      <c r="AJ86" s="7">
        <v>-3.5</v>
      </c>
      <c r="AK86" s="7"/>
    </row>
    <row r="87" spans="2:50" s="2" customFormat="1" x14ac:dyDescent="0.15">
      <c r="B87" s="2" t="s">
        <v>42</v>
      </c>
      <c r="C87" s="7"/>
      <c r="D87" s="7"/>
      <c r="E87" s="7"/>
      <c r="F87" s="7"/>
      <c r="G87" s="7"/>
      <c r="H87" s="7"/>
      <c r="I87" s="7"/>
      <c r="J87" s="7"/>
      <c r="K87" s="7">
        <f>3.1+32.4-2.9-1.2-11.4-15-0.1</f>
        <v>4.9000000000000004</v>
      </c>
      <c r="L87" s="7">
        <f>36.2+1.2-4-13.8+25.2-16.1-0.1-K87</f>
        <v>23.700000000000003</v>
      </c>
      <c r="M87" s="7">
        <f>21-545.2-5.1-12.9+376.9-18.1-L87-K87</f>
        <v>-212.00000000000009</v>
      </c>
      <c r="N87" s="7">
        <f>-38.4-329.6-6.5-21.7+224.4-0.9+1.5-M87-L87-K87</f>
        <v>12.200000000000093</v>
      </c>
      <c r="O87" s="7">
        <f>36.3-9.9-30.3+3.5-179.8-16.4</f>
        <v>-196.60000000000002</v>
      </c>
      <c r="P87" s="7"/>
      <c r="Q87" s="7"/>
      <c r="R87" s="7"/>
      <c r="S87" s="7"/>
      <c r="T87" s="7"/>
      <c r="U87" s="7"/>
      <c r="V87" s="7"/>
      <c r="W87" s="7"/>
      <c r="AB87" s="7"/>
      <c r="AC87" s="7"/>
      <c r="AD87" s="7"/>
      <c r="AE87" s="7"/>
      <c r="AF87" s="2">
        <f>35.7-256.3-1.2-24.7+169.8-14.8</f>
        <v>-91.499999999999986</v>
      </c>
      <c r="AG87" s="2">
        <f>-34.4-44.7+2.2-18.7+17.1+4.9</f>
        <v>-73.599999999999994</v>
      </c>
      <c r="AH87" s="2">
        <f>-10.9+361.1+3.6-75.9-792.8+4.1</f>
        <v>-510.79999999999984</v>
      </c>
      <c r="AI87" s="7">
        <f>39.8+282.4+8.4-87-78.6+19-3</f>
        <v>180.99999999999997</v>
      </c>
      <c r="AJ87" s="7">
        <f>-38.4-329.6-6.5-21.7+224.4-0.9+1.5</f>
        <v>-171.2</v>
      </c>
      <c r="AK87" s="7"/>
    </row>
    <row r="88" spans="2:50" s="2" customFormat="1" x14ac:dyDescent="0.15">
      <c r="B88" s="2" t="s">
        <v>43</v>
      </c>
      <c r="C88" s="7"/>
      <c r="D88" s="7"/>
      <c r="E88" s="7"/>
      <c r="F88" s="7"/>
      <c r="G88" s="7"/>
      <c r="H88" s="7"/>
      <c r="I88" s="7"/>
      <c r="J88" s="7"/>
      <c r="K88" s="7">
        <f>SUM(K75:K87)</f>
        <v>-18.799999999999997</v>
      </c>
      <c r="L88" s="7">
        <f>SUM(L75:L87)</f>
        <v>-11.500000000000014</v>
      </c>
      <c r="M88" s="7">
        <f t="shared" ref="M88:N88" si="93">SUM(M75:M87)</f>
        <v>-293.20000000000005</v>
      </c>
      <c r="N88" s="7">
        <f t="shared" si="93"/>
        <v>-110.89999999999991</v>
      </c>
      <c r="O88" s="7">
        <f>SUM(O75:O87)</f>
        <v>-303.90000000000003</v>
      </c>
      <c r="P88" s="7"/>
      <c r="Q88" s="7"/>
      <c r="R88" s="7"/>
      <c r="S88" s="7"/>
      <c r="T88" s="7"/>
      <c r="U88" s="7"/>
      <c r="V88" s="7"/>
      <c r="W88" s="7"/>
      <c r="AB88" s="7"/>
      <c r="AC88" s="7"/>
      <c r="AD88" s="7"/>
      <c r="AE88" s="7"/>
      <c r="AF88" s="19">
        <f>SUM(AF75:AF87)</f>
        <v>434.90000000000009</v>
      </c>
      <c r="AG88" s="19">
        <f>SUM(AG75:AG87)</f>
        <v>325.09999999999991</v>
      </c>
      <c r="AH88" s="19">
        <f t="shared" ref="AH88:AK88" si="94">SUM(AH75:AH87)</f>
        <v>-414.49999999999983</v>
      </c>
      <c r="AI88" s="19">
        <f t="shared" si="94"/>
        <v>123.69999999999996</v>
      </c>
      <c r="AJ88" s="19">
        <f t="shared" si="94"/>
        <v>-434.30000000000007</v>
      </c>
      <c r="AK88" s="19">
        <f t="shared" si="94"/>
        <v>0</v>
      </c>
      <c r="AL88" s="19">
        <f t="shared" ref="AL88" si="95">SUM(AL75:AL87)</f>
        <v>0</v>
      </c>
      <c r="AM88" s="19">
        <f t="shared" ref="AM88" si="96">SUM(AM75:AM87)</f>
        <v>0</v>
      </c>
      <c r="AN88" s="19">
        <f t="shared" ref="AN88" si="97">SUM(AN75:AN87)</f>
        <v>0</v>
      </c>
      <c r="AO88" s="19">
        <f t="shared" ref="AO88" si="98">SUM(AO75:AO87)</f>
        <v>0</v>
      </c>
      <c r="AP88" s="19">
        <f t="shared" ref="AP88" si="99">SUM(AP75:AP87)</f>
        <v>0</v>
      </c>
      <c r="AQ88" s="19">
        <f t="shared" ref="AQ88" si="100">SUM(AQ75:AQ87)</f>
        <v>0</v>
      </c>
      <c r="AR88" s="19">
        <f t="shared" ref="AR88" si="101">SUM(AR75:AR87)</f>
        <v>0</v>
      </c>
      <c r="AS88" s="19">
        <f t="shared" ref="AS88" si="102">SUM(AS75:AS87)</f>
        <v>0</v>
      </c>
      <c r="AT88" s="19">
        <f t="shared" ref="AT88" si="103">SUM(AT75:AT87)</f>
        <v>0</v>
      </c>
    </row>
    <row r="89" spans="2:50" s="2" customFormat="1" x14ac:dyDescent="0.1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AB89" s="7"/>
      <c r="AC89" s="7"/>
      <c r="AD89" s="7"/>
      <c r="AE89" s="7"/>
      <c r="AI89" s="7"/>
      <c r="AJ89" s="7"/>
      <c r="AK89" s="7"/>
    </row>
    <row r="90" spans="2:50" s="2" customFormat="1" x14ac:dyDescent="0.15">
      <c r="B90" s="2" t="s">
        <v>44</v>
      </c>
      <c r="C90" s="7"/>
      <c r="D90" s="7"/>
      <c r="E90" s="7"/>
      <c r="F90" s="7"/>
      <c r="G90" s="7"/>
      <c r="H90" s="7"/>
      <c r="I90" s="7"/>
      <c r="J90" s="7"/>
      <c r="K90" s="7">
        <v>-14.7</v>
      </c>
      <c r="L90" s="7">
        <f>-28.2-K90</f>
        <v>-13.5</v>
      </c>
      <c r="M90" s="7">
        <f>-40.7-L90-K90</f>
        <v>-12.500000000000004</v>
      </c>
      <c r="N90" s="7">
        <f>-62-M90-L90-K90</f>
        <v>-21.3</v>
      </c>
      <c r="O90" s="7">
        <v>76.900000000000006</v>
      </c>
      <c r="P90" s="7"/>
      <c r="Q90" s="7"/>
      <c r="R90" s="7"/>
      <c r="S90" s="7"/>
      <c r="T90" s="7"/>
      <c r="U90" s="7"/>
      <c r="V90" s="7"/>
      <c r="W90" s="7"/>
      <c r="AB90" s="7"/>
      <c r="AC90" s="7"/>
      <c r="AD90" s="7"/>
      <c r="AE90" s="7"/>
      <c r="AF90" s="14">
        <v>113.4</v>
      </c>
      <c r="AG90" s="14">
        <v>93.7</v>
      </c>
      <c r="AH90" s="14">
        <v>78.5</v>
      </c>
      <c r="AI90" s="15">
        <v>60</v>
      </c>
      <c r="AJ90" s="15">
        <v>62</v>
      </c>
      <c r="AK90" s="15"/>
    </row>
    <row r="91" spans="2:50" s="2" customFormat="1" x14ac:dyDescent="0.15">
      <c r="B91" s="2" t="s">
        <v>45</v>
      </c>
      <c r="C91" s="7"/>
      <c r="D91" s="7"/>
      <c r="E91" s="7"/>
      <c r="F91" s="7"/>
      <c r="G91" s="7"/>
      <c r="H91" s="7"/>
      <c r="I91" s="7"/>
      <c r="J91" s="7"/>
      <c r="K91" s="7">
        <v>0</v>
      </c>
      <c r="L91" s="7">
        <v>0</v>
      </c>
      <c r="M91" s="7">
        <v>0</v>
      </c>
      <c r="N91" s="7">
        <v>0</v>
      </c>
      <c r="O91" s="7">
        <v>-10.8</v>
      </c>
      <c r="P91" s="7"/>
      <c r="Q91" s="7"/>
      <c r="R91" s="7"/>
      <c r="S91" s="7"/>
      <c r="T91" s="7"/>
      <c r="U91" s="7"/>
      <c r="V91" s="7"/>
      <c r="W91" s="7"/>
      <c r="AB91" s="7"/>
      <c r="AC91" s="7"/>
      <c r="AD91" s="7"/>
      <c r="AE91" s="7"/>
      <c r="AI91" s="7"/>
      <c r="AJ91" s="7"/>
      <c r="AK91" s="7"/>
    </row>
    <row r="92" spans="2:50" s="2" customFormat="1" x14ac:dyDescent="0.15">
      <c r="B92" s="2" t="s">
        <v>41</v>
      </c>
      <c r="C92" s="7"/>
      <c r="D92" s="7"/>
      <c r="E92" s="7"/>
      <c r="F92" s="7"/>
      <c r="G92" s="7"/>
      <c r="H92" s="7"/>
      <c r="I92" s="7"/>
      <c r="J92" s="7"/>
      <c r="K92" s="7">
        <v>0</v>
      </c>
      <c r="L92" s="7">
        <f>-0.1-K92</f>
        <v>-0.1</v>
      </c>
      <c r="M92" s="7">
        <f>-0.4-L92-K92</f>
        <v>-0.30000000000000004</v>
      </c>
      <c r="N92" s="7">
        <f>-2.8-M92-L92-K92</f>
        <v>-2.4</v>
      </c>
      <c r="O92" s="7"/>
      <c r="P92" s="7"/>
      <c r="Q92" s="7"/>
      <c r="R92" s="7"/>
      <c r="S92" s="7"/>
      <c r="T92" s="7"/>
      <c r="U92" s="7"/>
      <c r="V92" s="7"/>
      <c r="W92" s="7"/>
      <c r="AB92" s="7"/>
      <c r="AC92" s="7"/>
      <c r="AD92" s="7"/>
      <c r="AE92" s="7"/>
      <c r="AI92" s="7"/>
      <c r="AJ92" s="7"/>
      <c r="AK92" s="7"/>
    </row>
    <row r="93" spans="2:50" s="2" customFormat="1" x14ac:dyDescent="0.15">
      <c r="B93" s="2" t="s">
        <v>46</v>
      </c>
      <c r="C93" s="7"/>
      <c r="D93" s="7"/>
      <c r="E93" s="7"/>
      <c r="F93" s="7"/>
      <c r="G93" s="7"/>
      <c r="H93" s="7"/>
      <c r="I93" s="7"/>
      <c r="J93" s="7"/>
      <c r="K93" s="7">
        <f>K90+K91+K92</f>
        <v>-14.7</v>
      </c>
      <c r="L93" s="7">
        <f>L90+L91+L92</f>
        <v>-13.6</v>
      </c>
      <c r="M93" s="7">
        <f t="shared" ref="M93:O93" si="104">M90+M91+M92</f>
        <v>-12.800000000000004</v>
      </c>
      <c r="N93" s="7">
        <f t="shared" si="104"/>
        <v>-23.7</v>
      </c>
      <c r="O93" s="7">
        <f t="shared" si="104"/>
        <v>66.100000000000009</v>
      </c>
      <c r="P93" s="7"/>
      <c r="Q93" s="7"/>
      <c r="R93" s="7"/>
      <c r="S93" s="7"/>
      <c r="T93" s="7"/>
      <c r="U93" s="7"/>
      <c r="V93" s="7"/>
      <c r="W93" s="7"/>
      <c r="AB93" s="7"/>
      <c r="AC93" s="7"/>
      <c r="AD93" s="7"/>
      <c r="AE93" s="7"/>
      <c r="AI93" s="7"/>
      <c r="AJ93" s="7"/>
      <c r="AK93" s="7"/>
    </row>
    <row r="94" spans="2:50" s="2" customFormat="1" x14ac:dyDescent="0.1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AB94" s="7"/>
      <c r="AC94" s="7"/>
      <c r="AD94" s="7"/>
      <c r="AE94" s="7"/>
      <c r="AI94" s="7"/>
      <c r="AJ94" s="7"/>
      <c r="AK94" s="7"/>
    </row>
    <row r="95" spans="2:50" s="2" customFormat="1" x14ac:dyDescent="0.15">
      <c r="B95" s="2" t="s">
        <v>118</v>
      </c>
      <c r="C95" s="7"/>
      <c r="D95" s="7"/>
      <c r="E95" s="7"/>
      <c r="F95" s="7"/>
      <c r="G95" s="7"/>
      <c r="H95" s="7"/>
      <c r="I95" s="7"/>
      <c r="J95" s="7"/>
      <c r="K95" s="7">
        <v>551.70000000000005</v>
      </c>
      <c r="L95" s="7">
        <f>1672.8-K95</f>
        <v>1121.0999999999999</v>
      </c>
      <c r="M95" s="7">
        <f>1672.8-L95-K95</f>
        <v>0</v>
      </c>
      <c r="N95" s="7">
        <f>1672.8-M95-L95-K95</f>
        <v>0</v>
      </c>
      <c r="O95" s="7"/>
      <c r="P95" s="7"/>
      <c r="Q95" s="7"/>
      <c r="R95" s="7"/>
      <c r="S95" s="7"/>
      <c r="T95" s="7"/>
      <c r="U95" s="7"/>
      <c r="V95" s="7"/>
      <c r="W95" s="7"/>
      <c r="AB95" s="7"/>
      <c r="AC95" s="7"/>
      <c r="AD95" s="7"/>
      <c r="AE95" s="7"/>
      <c r="AI95" s="7"/>
      <c r="AJ95" s="7"/>
      <c r="AK95" s="7"/>
    </row>
    <row r="96" spans="2:50" s="2" customFormat="1" x14ac:dyDescent="0.15">
      <c r="B96" s="2" t="s">
        <v>4</v>
      </c>
      <c r="C96" s="7"/>
      <c r="D96" s="7"/>
      <c r="E96" s="7"/>
      <c r="F96" s="7"/>
      <c r="G96" s="7"/>
      <c r="H96" s="7"/>
      <c r="I96" s="7"/>
      <c r="J96" s="7"/>
      <c r="K96" s="7">
        <f>-25-307.4-0.1</f>
        <v>-332.5</v>
      </c>
      <c r="L96" s="7">
        <v>0</v>
      </c>
      <c r="M96" s="7">
        <f>-25-307.4-0.1-L96-K96</f>
        <v>0</v>
      </c>
      <c r="N96" s="7">
        <f>-307.4-25-M96-L96-K96-3</f>
        <v>-2.8999999999999773</v>
      </c>
      <c r="O96" s="7"/>
      <c r="P96" s="7"/>
      <c r="Q96" s="7"/>
      <c r="R96" s="7"/>
      <c r="S96" s="7"/>
      <c r="T96" s="7"/>
      <c r="U96" s="7"/>
      <c r="V96" s="7"/>
      <c r="W96" s="7"/>
      <c r="AB96" s="7"/>
      <c r="AC96" s="7"/>
      <c r="AD96" s="7"/>
      <c r="AE96" s="7"/>
      <c r="AI96" s="7"/>
      <c r="AJ96" s="7"/>
      <c r="AK96" s="7"/>
    </row>
    <row r="97" spans="2:37" s="2" customFormat="1" x14ac:dyDescent="0.15">
      <c r="B97" s="2" t="s">
        <v>47</v>
      </c>
      <c r="C97" s="7"/>
      <c r="D97" s="7"/>
      <c r="E97" s="7"/>
      <c r="F97" s="7"/>
      <c r="G97" s="7"/>
      <c r="H97" s="7"/>
      <c r="I97" s="7"/>
      <c r="J97" s="7"/>
      <c r="K97" s="7">
        <v>-49.9</v>
      </c>
      <c r="L97" s="7">
        <f>-136.6-K97</f>
        <v>-86.699999999999989</v>
      </c>
      <c r="M97" s="7">
        <f>-136.6-L97-K97</f>
        <v>0</v>
      </c>
      <c r="N97" s="7">
        <f>-136.8-M97-L97-K97</f>
        <v>-0.20000000000002416</v>
      </c>
      <c r="O97" s="7">
        <v>-1.1000000000000001</v>
      </c>
      <c r="P97" s="7"/>
      <c r="Q97" s="7"/>
      <c r="R97" s="7"/>
      <c r="S97" s="7"/>
      <c r="T97" s="7"/>
      <c r="U97" s="7"/>
      <c r="V97" s="7"/>
      <c r="W97" s="7"/>
      <c r="AB97" s="7"/>
      <c r="AC97" s="7"/>
      <c r="AD97" s="7"/>
      <c r="AE97" s="7"/>
      <c r="AI97" s="7"/>
      <c r="AJ97" s="7"/>
      <c r="AK97" s="7"/>
    </row>
    <row r="98" spans="2:37" s="2" customFormat="1" x14ac:dyDescent="0.15">
      <c r="B98" s="2" t="s">
        <v>48</v>
      </c>
      <c r="C98" s="7"/>
      <c r="D98" s="7"/>
      <c r="E98" s="7"/>
      <c r="F98" s="7"/>
      <c r="G98" s="7"/>
      <c r="H98" s="7"/>
      <c r="I98" s="7"/>
      <c r="J98" s="7"/>
      <c r="K98" s="7">
        <f>SUM(K95:K97)</f>
        <v>169.30000000000004</v>
      </c>
      <c r="L98" s="7">
        <f>SUM(L95:L97)</f>
        <v>1034.3999999999999</v>
      </c>
      <c r="M98" s="7">
        <f>SUM(M95:M97)</f>
        <v>0</v>
      </c>
      <c r="N98" s="7">
        <f>SUM(N95:N97)</f>
        <v>-3.1000000000000014</v>
      </c>
      <c r="O98" s="7">
        <f>O97</f>
        <v>-1.1000000000000001</v>
      </c>
      <c r="P98" s="7"/>
      <c r="Q98" s="7"/>
      <c r="R98" s="7"/>
      <c r="S98" s="7"/>
      <c r="T98" s="7"/>
      <c r="U98" s="7"/>
      <c r="V98" s="7"/>
      <c r="W98" s="7"/>
      <c r="AB98" s="7"/>
      <c r="AC98" s="7"/>
      <c r="AD98" s="7"/>
      <c r="AE98" s="7"/>
      <c r="AI98" s="7"/>
      <c r="AJ98" s="7"/>
      <c r="AK98" s="7"/>
    </row>
    <row r="99" spans="2:37" s="2" customFormat="1" x14ac:dyDescent="0.15">
      <c r="B99" s="2" t="s">
        <v>49</v>
      </c>
      <c r="C99" s="7"/>
      <c r="D99" s="7"/>
      <c r="E99" s="7"/>
      <c r="F99" s="7"/>
      <c r="G99" s="7"/>
      <c r="H99" s="7"/>
      <c r="I99" s="7"/>
      <c r="J99" s="7"/>
      <c r="K99" s="7">
        <v>0</v>
      </c>
      <c r="L99" s="7">
        <f>-4.5-K99</f>
        <v>-4.5</v>
      </c>
      <c r="M99" s="7">
        <f>-5.5-L99-K99</f>
        <v>-1</v>
      </c>
      <c r="N99" s="7">
        <f>-16.6-M99-L99-K99</f>
        <v>-11.100000000000001</v>
      </c>
      <c r="O99" s="7">
        <v>2.6</v>
      </c>
      <c r="P99" s="7"/>
      <c r="Q99" s="7"/>
      <c r="R99" s="7"/>
      <c r="S99" s="7"/>
      <c r="T99" s="7"/>
      <c r="U99" s="7"/>
      <c r="V99" s="7"/>
      <c r="W99" s="7"/>
      <c r="AB99" s="7"/>
      <c r="AC99" s="7"/>
      <c r="AD99" s="7"/>
      <c r="AE99" s="7"/>
      <c r="AI99" s="7"/>
      <c r="AJ99" s="7"/>
      <c r="AK99" s="7"/>
    </row>
    <row r="100" spans="2:37" s="2" customFormat="1" x14ac:dyDescent="0.15">
      <c r="B100" s="2" t="s">
        <v>50</v>
      </c>
      <c r="C100" s="7"/>
      <c r="D100" s="7"/>
      <c r="E100" s="7"/>
      <c r="F100" s="7"/>
      <c r="G100" s="7"/>
      <c r="H100" s="7"/>
      <c r="I100" s="7"/>
      <c r="J100" s="7"/>
      <c r="K100" s="7">
        <f>K98+K93+K88+K99</f>
        <v>135.80000000000007</v>
      </c>
      <c r="L100" s="7">
        <f>L98+L93+L88+L99</f>
        <v>1004.7999999999998</v>
      </c>
      <c r="M100" s="7">
        <f>M98+M93+M88+M99</f>
        <v>-307.00000000000006</v>
      </c>
      <c r="N100" s="7">
        <f>N98+N93+N88+N99</f>
        <v>-148.7999999999999</v>
      </c>
      <c r="O100" s="7">
        <f>O98+O93+O88+O99</f>
        <v>-236.30000000000004</v>
      </c>
      <c r="P100" s="7"/>
      <c r="Q100" s="7"/>
      <c r="R100" s="7"/>
      <c r="S100" s="7"/>
      <c r="T100" s="7"/>
      <c r="U100" s="7"/>
      <c r="V100" s="7"/>
      <c r="W100" s="7"/>
      <c r="AB100" s="7"/>
      <c r="AC100" s="7"/>
      <c r="AD100" s="7"/>
      <c r="AE100" s="7"/>
      <c r="AI100" s="7"/>
      <c r="AJ100" s="7"/>
      <c r="AK100" s="7"/>
    </row>
    <row r="101" spans="2:37" s="2" customFormat="1" x14ac:dyDescent="0.1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AB101" s="7"/>
      <c r="AC101" s="7"/>
      <c r="AD101" s="7"/>
      <c r="AE101" s="7"/>
      <c r="AI101" s="7"/>
      <c r="AJ101" s="7"/>
      <c r="AK101" s="7"/>
    </row>
    <row r="102" spans="2:37" s="2" customFormat="1" x14ac:dyDescent="0.15">
      <c r="B102" s="2" t="s">
        <v>83</v>
      </c>
      <c r="C102" s="7"/>
      <c r="D102" s="7"/>
      <c r="E102" s="7"/>
      <c r="F102" s="7"/>
      <c r="G102" s="7"/>
      <c r="H102" s="7"/>
      <c r="I102" s="7"/>
      <c r="J102" s="7"/>
      <c r="K102" s="7">
        <f>K88+K90</f>
        <v>-33.5</v>
      </c>
      <c r="L102" s="7">
        <f>L88+L90</f>
        <v>-25.000000000000014</v>
      </c>
      <c r="M102" s="7">
        <f t="shared" ref="M102:O102" si="105">M88+M90</f>
        <v>-305.70000000000005</v>
      </c>
      <c r="N102" s="7">
        <f t="shared" si="105"/>
        <v>-132.1999999999999</v>
      </c>
      <c r="O102" s="7">
        <f t="shared" si="105"/>
        <v>-227.00000000000003</v>
      </c>
      <c r="P102" s="7"/>
      <c r="Q102" s="7"/>
      <c r="R102" s="7"/>
      <c r="S102" s="7"/>
      <c r="T102" s="7"/>
      <c r="U102" s="7"/>
      <c r="V102" s="7"/>
      <c r="W102" s="7"/>
      <c r="AB102" s="7"/>
      <c r="AC102" s="7"/>
      <c r="AD102" s="7"/>
      <c r="AE102" s="7"/>
      <c r="AF102" s="14">
        <f>AF88-AF90</f>
        <v>321.50000000000011</v>
      </c>
      <c r="AG102" s="14">
        <f>AG88-AG90</f>
        <v>231.39999999999992</v>
      </c>
      <c r="AH102" s="14">
        <f t="shared" ref="AH102:AJ102" si="106">AH88-AH90</f>
        <v>-492.99999999999983</v>
      </c>
      <c r="AI102" s="14">
        <f t="shared" si="106"/>
        <v>63.69999999999996</v>
      </c>
      <c r="AJ102" s="14">
        <f t="shared" si="106"/>
        <v>-496.30000000000007</v>
      </c>
      <c r="AK102" s="7"/>
    </row>
    <row r="103" spans="2:37" s="2" customFormat="1" x14ac:dyDescent="0.1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P103" s="7"/>
      <c r="Q103" s="7"/>
      <c r="R103" s="7"/>
      <c r="S103" s="7"/>
      <c r="T103" s="7"/>
      <c r="U103" s="7"/>
      <c r="V103" s="7"/>
      <c r="W103" s="7"/>
      <c r="AB103" s="7"/>
      <c r="AC103" s="7"/>
      <c r="AD103" s="7"/>
      <c r="AE103" s="7"/>
      <c r="AI103" s="7"/>
      <c r="AJ103" s="7"/>
      <c r="AK103" s="7"/>
    </row>
    <row r="104" spans="2:37" s="2" customFormat="1" x14ac:dyDescent="0.15">
      <c r="B104" s="2" t="s">
        <v>79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>
        <v>163.1</v>
      </c>
      <c r="O104" s="7">
        <v>150</v>
      </c>
      <c r="P104" s="7"/>
      <c r="Q104" s="7"/>
      <c r="R104" s="7"/>
      <c r="S104" s="7"/>
      <c r="T104" s="7"/>
      <c r="U104" s="7"/>
      <c r="V104" s="7"/>
      <c r="W104" s="7"/>
      <c r="AB104" s="7"/>
      <c r="AC104" s="7"/>
      <c r="AD104" s="7"/>
      <c r="AE104" s="7"/>
      <c r="AI104" s="7"/>
      <c r="AJ104" s="7"/>
      <c r="AK104" s="7"/>
    </row>
    <row r="105" spans="2:37" s="2" customFormat="1" x14ac:dyDescent="0.15">
      <c r="B105" s="2" t="s">
        <v>66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>
        <v>590.29999999999995</v>
      </c>
      <c r="O105" s="7">
        <v>525.6</v>
      </c>
      <c r="P105" s="7"/>
      <c r="Q105" s="7"/>
      <c r="R105" s="7"/>
      <c r="S105" s="7"/>
      <c r="T105" s="7"/>
      <c r="U105" s="7"/>
      <c r="V105" s="7"/>
      <c r="W105" s="7"/>
      <c r="AB105" s="7"/>
      <c r="AC105" s="7"/>
      <c r="AD105" s="7"/>
      <c r="AE105" s="7"/>
      <c r="AI105" s="7"/>
      <c r="AJ105" s="7"/>
      <c r="AK105" s="7"/>
    </row>
    <row r="106" spans="2:37" s="2" customFormat="1" x14ac:dyDescent="0.15">
      <c r="B106" s="2" t="s">
        <v>76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>
        <v>977.1</v>
      </c>
      <c r="O106" s="7">
        <v>810.4</v>
      </c>
      <c r="P106" s="7"/>
      <c r="Q106" s="7"/>
      <c r="R106" s="7"/>
      <c r="S106" s="7"/>
      <c r="T106" s="7"/>
      <c r="U106" s="7"/>
      <c r="V106" s="7"/>
      <c r="W106" s="7"/>
      <c r="AB106" s="7"/>
      <c r="AC106" s="7"/>
      <c r="AD106" s="7"/>
      <c r="AE106" s="7"/>
      <c r="AI106" s="7"/>
      <c r="AJ106" s="7"/>
      <c r="AK106" s="7"/>
    </row>
    <row r="107" spans="2:37" s="2" customFormat="1" x14ac:dyDescent="0.15">
      <c r="B107" s="2" t="s">
        <v>77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>
        <v>255</v>
      </c>
      <c r="O107" s="7">
        <v>312.5</v>
      </c>
      <c r="P107" s="7"/>
      <c r="Q107" s="7"/>
      <c r="R107" s="7"/>
      <c r="S107" s="7"/>
      <c r="T107" s="7"/>
      <c r="U107" s="7"/>
      <c r="V107" s="7"/>
      <c r="W107" s="7"/>
      <c r="AB107" s="7"/>
      <c r="AC107" s="7"/>
      <c r="AD107" s="7"/>
      <c r="AE107" s="7"/>
      <c r="AI107" s="7"/>
      <c r="AJ107" s="7"/>
      <c r="AK107" s="7"/>
    </row>
    <row r="108" spans="2:37" x14ac:dyDescent="0.15">
      <c r="B108" s="2" t="s">
        <v>78</v>
      </c>
      <c r="N108" s="7">
        <v>162.4</v>
      </c>
      <c r="O108" s="7">
        <v>171.6</v>
      </c>
    </row>
    <row r="109" spans="2:37" x14ac:dyDescent="0.15">
      <c r="B109" s="2" t="s">
        <v>67</v>
      </c>
      <c r="N109" s="7">
        <v>208.2</v>
      </c>
      <c r="O109" s="7">
        <v>233.3</v>
      </c>
    </row>
    <row r="110" spans="2:37" x14ac:dyDescent="0.15">
      <c r="B110" s="2" t="s">
        <v>41</v>
      </c>
      <c r="N110" s="7">
        <v>128.80000000000001</v>
      </c>
      <c r="O110" s="7">
        <v>104.7</v>
      </c>
    </row>
    <row r="111" spans="2:37" x14ac:dyDescent="0.15">
      <c r="B111" s="2" t="s">
        <v>80</v>
      </c>
      <c r="N111" s="7">
        <f>SUM(N104:N110)</f>
        <v>2484.9</v>
      </c>
      <c r="O111" s="7">
        <f>SUM(O104:O110)</f>
        <v>2308.1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evan domingos - 2023</cp:lastModifiedBy>
  <dcterms:created xsi:type="dcterms:W3CDTF">2022-07-01T22:49:53Z</dcterms:created>
  <dcterms:modified xsi:type="dcterms:W3CDTF">2023-03-24T14:32:44Z</dcterms:modified>
</cp:coreProperties>
</file>