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wnloads/"/>
    </mc:Choice>
  </mc:AlternateContent>
  <xr:revisionPtr revIDLastSave="0" documentId="8_{9F301CF9-81D9-F54C-9B22-E5915841684E}" xr6:coauthVersionLast="47" xr6:coauthVersionMax="47" xr10:uidLastSave="{00000000-0000-0000-0000-000000000000}"/>
  <bookViews>
    <workbookView xWindow="-29720" yWindow="1240" windowWidth="25680" windowHeight="17220" activeTab="1" xr2:uid="{CD182038-7304-4EC0-81DB-78F78E8AB6D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" i="2" l="1"/>
  <c r="U2" i="2"/>
  <c r="T2" i="2"/>
  <c r="S2" i="2"/>
  <c r="N70" i="2"/>
  <c r="M73" i="2"/>
  <c r="M57" i="2"/>
  <c r="M56" i="2"/>
  <c r="M43" i="2"/>
  <c r="M48" i="2"/>
  <c r="L87" i="2"/>
  <c r="M87" i="2" s="1"/>
  <c r="N87" i="2" s="1"/>
  <c r="L85" i="2"/>
  <c r="M85" i="2" s="1"/>
  <c r="N85" i="2" s="1"/>
  <c r="L83" i="2"/>
  <c r="M83" i="2" s="1"/>
  <c r="N83" i="2" s="1"/>
  <c r="O81" i="2"/>
  <c r="K81" i="2"/>
  <c r="L80" i="2"/>
  <c r="M80" i="2" s="1"/>
  <c r="N80" i="2" s="1"/>
  <c r="L78" i="2"/>
  <c r="M78" i="2" s="1"/>
  <c r="L74" i="2"/>
  <c r="M74" i="2" s="1"/>
  <c r="N74" i="2" s="1"/>
  <c r="L71" i="2"/>
  <c r="N71" i="2" s="1"/>
  <c r="L69" i="2"/>
  <c r="M69" i="2" s="1"/>
  <c r="N69" i="2" s="1"/>
  <c r="L66" i="2"/>
  <c r="M66" i="2" s="1"/>
  <c r="N66" i="2" s="1"/>
  <c r="L65" i="2"/>
  <c r="M65" i="2" s="1"/>
  <c r="N65" i="2" s="1"/>
  <c r="L64" i="2"/>
  <c r="M64" i="2" s="1"/>
  <c r="N64" i="2" s="1"/>
  <c r="L63" i="2"/>
  <c r="M63" i="2" s="1"/>
  <c r="N63" i="2" s="1"/>
  <c r="L55" i="2"/>
  <c r="L59" i="2" s="1"/>
  <c r="L43" i="2"/>
  <c r="L51" i="2" s="1"/>
  <c r="K84" i="2"/>
  <c r="K86" i="2" s="1"/>
  <c r="K75" i="2"/>
  <c r="K76" i="2" s="1"/>
  <c r="K90" i="2" s="1"/>
  <c r="K55" i="2"/>
  <c r="K56" i="2"/>
  <c r="K43" i="2"/>
  <c r="K51" i="2" s="1"/>
  <c r="AC35" i="2"/>
  <c r="AB25" i="2"/>
  <c r="AB27" i="2" s="1"/>
  <c r="AB29" i="2" s="1"/>
  <c r="AB31" i="2" s="1"/>
  <c r="AB32" i="2" s="1"/>
  <c r="AD35" i="2"/>
  <c r="AC25" i="2"/>
  <c r="AC27" i="2" s="1"/>
  <c r="AC29" i="2" s="1"/>
  <c r="AC31" i="2" s="1"/>
  <c r="AC32" i="2" s="1"/>
  <c r="AE35" i="2"/>
  <c r="AD25" i="2"/>
  <c r="AD27" i="2" s="1"/>
  <c r="AD29" i="2" s="1"/>
  <c r="AD31" i="2" s="1"/>
  <c r="AD32" i="2" s="1"/>
  <c r="AD2" i="2"/>
  <c r="AC2" i="2" s="1"/>
  <c r="AB2" i="2" s="1"/>
  <c r="AA2" i="2" s="1"/>
  <c r="AE25" i="2"/>
  <c r="AE27" i="2" s="1"/>
  <c r="AE29" i="2" s="1"/>
  <c r="AE31" i="2" s="1"/>
  <c r="AE32" i="2" s="1"/>
  <c r="AE5" i="2"/>
  <c r="AK21" i="2"/>
  <c r="AK20" i="2"/>
  <c r="AK22" i="2"/>
  <c r="AL22" i="2" s="1"/>
  <c r="AJ38" i="2"/>
  <c r="AI38" i="2"/>
  <c r="AG22" i="2"/>
  <c r="AH38" i="2" s="1"/>
  <c r="AF22" i="2"/>
  <c r="R37" i="2"/>
  <c r="Q37" i="2"/>
  <c r="P37" i="2"/>
  <c r="O37" i="2"/>
  <c r="N37" i="2"/>
  <c r="M37" i="2"/>
  <c r="L37" i="2"/>
  <c r="K37" i="2"/>
  <c r="R36" i="2"/>
  <c r="Q36" i="2"/>
  <c r="P36" i="2"/>
  <c r="O36" i="2"/>
  <c r="N36" i="2"/>
  <c r="M36" i="2"/>
  <c r="L36" i="2"/>
  <c r="K36" i="2"/>
  <c r="R22" i="2"/>
  <c r="R38" i="2" s="1"/>
  <c r="Q22" i="2"/>
  <c r="Q38" i="2" s="1"/>
  <c r="P22" i="2"/>
  <c r="P38" i="2" s="1"/>
  <c r="N38" i="2"/>
  <c r="M38" i="2"/>
  <c r="L38" i="2"/>
  <c r="K38" i="2"/>
  <c r="O38" i="2"/>
  <c r="AT76" i="2"/>
  <c r="AS76" i="2"/>
  <c r="AR76" i="2"/>
  <c r="AQ76" i="2"/>
  <c r="AP76" i="2"/>
  <c r="AO76" i="2"/>
  <c r="AN76" i="2"/>
  <c r="AM76" i="2"/>
  <c r="AL76" i="2"/>
  <c r="P28" i="2"/>
  <c r="Q28" i="2" s="1"/>
  <c r="R28" i="2" s="1"/>
  <c r="R26" i="2"/>
  <c r="Q26" i="2"/>
  <c r="P26" i="2"/>
  <c r="P33" i="2"/>
  <c r="Q33" i="2" s="1"/>
  <c r="R33" i="2" s="1"/>
  <c r="AK33" i="2"/>
  <c r="AL33" i="2" s="1"/>
  <c r="AM33" i="2" s="1"/>
  <c r="AN33" i="2" s="1"/>
  <c r="AO33" i="2" s="1"/>
  <c r="AP33" i="2" s="1"/>
  <c r="AQ33" i="2" s="1"/>
  <c r="AR33" i="2" s="1"/>
  <c r="AS33" i="2" s="1"/>
  <c r="AT33" i="2" s="1"/>
  <c r="AK26" i="2"/>
  <c r="AL26" i="2" s="1"/>
  <c r="AM26" i="2" s="1"/>
  <c r="AN26" i="2" s="1"/>
  <c r="AO26" i="2" s="1"/>
  <c r="AP26" i="2" s="1"/>
  <c r="AQ26" i="2" s="1"/>
  <c r="AR26" i="2" s="1"/>
  <c r="AS26" i="2" s="1"/>
  <c r="AT26" i="2" s="1"/>
  <c r="AL2" i="2"/>
  <c r="AM2" i="2" s="1"/>
  <c r="AN2" i="2" s="1"/>
  <c r="AO2" i="2" s="1"/>
  <c r="AP2" i="2" s="1"/>
  <c r="AJ75" i="2"/>
  <c r="AJ76" i="2" s="1"/>
  <c r="AJ90" i="2" s="1"/>
  <c r="AF75" i="2"/>
  <c r="AF76" i="2" s="1"/>
  <c r="AF90" i="2" s="1"/>
  <c r="AI75" i="2"/>
  <c r="AI76" i="2" s="1"/>
  <c r="AI90" i="2" s="1"/>
  <c r="AH75" i="2"/>
  <c r="AH76" i="2" s="1"/>
  <c r="AH90" i="2" s="1"/>
  <c r="AK76" i="2"/>
  <c r="AG75" i="2"/>
  <c r="AG76" i="2" s="1"/>
  <c r="AG90" i="2" s="1"/>
  <c r="O99" i="2"/>
  <c r="N99" i="2"/>
  <c r="AF23" i="2"/>
  <c r="AF25" i="2" s="1"/>
  <c r="AF27" i="2" s="1"/>
  <c r="AF29" i="2" s="1"/>
  <c r="AF31" i="2" s="1"/>
  <c r="AF32" i="2" s="1"/>
  <c r="AG23" i="2"/>
  <c r="AG25" i="2" s="1"/>
  <c r="AG27" i="2" s="1"/>
  <c r="AH25" i="2"/>
  <c r="G23" i="2"/>
  <c r="G25" i="2" s="1"/>
  <c r="O23" i="2"/>
  <c r="O25" i="2" s="1"/>
  <c r="O27" i="2" s="1"/>
  <c r="O29" i="2" s="1"/>
  <c r="O31" i="2" s="1"/>
  <c r="N23" i="2"/>
  <c r="R23" i="2" s="1"/>
  <c r="R24" i="2" s="1"/>
  <c r="R25" i="2" s="1"/>
  <c r="M23" i="2"/>
  <c r="M25" i="2" s="1"/>
  <c r="L23" i="2"/>
  <c r="P23" i="2" s="1"/>
  <c r="P24" i="2" s="1"/>
  <c r="P25" i="2" s="1"/>
  <c r="K23" i="2"/>
  <c r="K25" i="2" s="1"/>
  <c r="K27" i="2" s="1"/>
  <c r="K29" i="2" s="1"/>
  <c r="K31" i="2" s="1"/>
  <c r="K32" i="2" s="1"/>
  <c r="J23" i="2"/>
  <c r="J25" i="2" s="1"/>
  <c r="J39" i="2" s="1"/>
  <c r="I23" i="2"/>
  <c r="I25" i="2" s="1"/>
  <c r="H23" i="2"/>
  <c r="AJ23" i="2"/>
  <c r="AI23" i="2"/>
  <c r="AI25" i="2" s="1"/>
  <c r="N55" i="2"/>
  <c r="N59" i="2" s="1"/>
  <c r="N43" i="2"/>
  <c r="N51" i="2" s="1"/>
  <c r="O55" i="2"/>
  <c r="O56" i="2"/>
  <c r="O43" i="2"/>
  <c r="O51" i="2" s="1"/>
  <c r="O86" i="2"/>
  <c r="O75" i="2"/>
  <c r="O76" i="2" s="1"/>
  <c r="O90" i="2" s="1"/>
  <c r="M6" i="1"/>
  <c r="M5" i="1"/>
  <c r="M4" i="1"/>
  <c r="M7" i="1" s="1"/>
  <c r="M84" i="2" l="1"/>
  <c r="N84" i="2" s="1"/>
  <c r="N86" i="2" s="1"/>
  <c r="L81" i="2"/>
  <c r="L86" i="2"/>
  <c r="M81" i="2"/>
  <c r="N78" i="2"/>
  <c r="M86" i="2"/>
  <c r="M59" i="2"/>
  <c r="N81" i="2"/>
  <c r="M51" i="2"/>
  <c r="L75" i="2"/>
  <c r="K88" i="2"/>
  <c r="K62" i="2"/>
  <c r="K59" i="2"/>
  <c r="AE41" i="2"/>
  <c r="AF41" i="2"/>
  <c r="AB41" i="2"/>
  <c r="AE40" i="2"/>
  <c r="AB39" i="2"/>
  <c r="AB40" i="2"/>
  <c r="AF35" i="2"/>
  <c r="AC39" i="2"/>
  <c r="AC40" i="2"/>
  <c r="AE39" i="2"/>
  <c r="AC41" i="2"/>
  <c r="AD39" i="2"/>
  <c r="AD41" i="2"/>
  <c r="AD40" i="2"/>
  <c r="AK38" i="2"/>
  <c r="AM22" i="2"/>
  <c r="AN22" i="2" s="1"/>
  <c r="AO22" i="2" s="1"/>
  <c r="AP22" i="2" s="1"/>
  <c r="AQ22" i="2" s="1"/>
  <c r="AR22" i="2" s="1"/>
  <c r="AS22" i="2" s="1"/>
  <c r="AT22" i="2" s="1"/>
  <c r="AL38" i="2"/>
  <c r="K40" i="2"/>
  <c r="K41" i="2"/>
  <c r="O41" i="2"/>
  <c r="O40" i="2"/>
  <c r="AG38" i="2"/>
  <c r="AI43" i="2"/>
  <c r="AF40" i="2"/>
  <c r="P27" i="2"/>
  <c r="P29" i="2" s="1"/>
  <c r="R27" i="2"/>
  <c r="R29" i="2" s="1"/>
  <c r="P39" i="2"/>
  <c r="R39" i="2"/>
  <c r="AQ2" i="2"/>
  <c r="AR2" i="2" s="1"/>
  <c r="AS2" i="2" s="1"/>
  <c r="AT2" i="2" s="1"/>
  <c r="AF62" i="2"/>
  <c r="R35" i="2"/>
  <c r="P35" i="2"/>
  <c r="AG35" i="2"/>
  <c r="AG39" i="2"/>
  <c r="AH35" i="2"/>
  <c r="Q23" i="2"/>
  <c r="AI35" i="2"/>
  <c r="N35" i="2"/>
  <c r="AF39" i="2"/>
  <c r="AH27" i="2"/>
  <c r="AH39" i="2"/>
  <c r="AJ35" i="2"/>
  <c r="K35" i="2"/>
  <c r="G39" i="2"/>
  <c r="G27" i="2"/>
  <c r="G29" i="2" s="1"/>
  <c r="L35" i="2"/>
  <c r="L25" i="2"/>
  <c r="L27" i="2" s="1"/>
  <c r="L29" i="2" s="1"/>
  <c r="H25" i="2"/>
  <c r="I39" i="2"/>
  <c r="I27" i="2"/>
  <c r="I29" i="2" s="1"/>
  <c r="M35" i="2"/>
  <c r="M27" i="2"/>
  <c r="M29" i="2" s="1"/>
  <c r="M39" i="2"/>
  <c r="AI27" i="2"/>
  <c r="AI39" i="2"/>
  <c r="AJ25" i="2"/>
  <c r="O35" i="2"/>
  <c r="J27" i="2"/>
  <c r="J29" i="2" s="1"/>
  <c r="N25" i="2"/>
  <c r="O88" i="2"/>
  <c r="O59" i="2"/>
  <c r="O39" i="2"/>
  <c r="K39" i="2"/>
  <c r="O32" i="2"/>
  <c r="O62" i="2"/>
  <c r="L76" i="2" l="1"/>
  <c r="M75" i="2"/>
  <c r="AN38" i="2"/>
  <c r="AM38" i="2"/>
  <c r="P31" i="2"/>
  <c r="P41" i="2"/>
  <c r="P40" i="2"/>
  <c r="L31" i="2"/>
  <c r="L41" i="2"/>
  <c r="L40" i="2"/>
  <c r="G31" i="2"/>
  <c r="G32" i="2" s="1"/>
  <c r="G40" i="2"/>
  <c r="G41" i="2"/>
  <c r="M31" i="2"/>
  <c r="M41" i="2"/>
  <c r="M40" i="2"/>
  <c r="J31" i="2"/>
  <c r="J32" i="2" s="1"/>
  <c r="J41" i="2"/>
  <c r="J40" i="2"/>
  <c r="I31" i="2"/>
  <c r="I32" i="2" s="1"/>
  <c r="I40" i="2"/>
  <c r="I41" i="2"/>
  <c r="R31" i="2"/>
  <c r="R32" i="2" s="1"/>
  <c r="R41" i="2"/>
  <c r="R40" i="2"/>
  <c r="AO38" i="2"/>
  <c r="AI29" i="2"/>
  <c r="AI40" i="2"/>
  <c r="AH29" i="2"/>
  <c r="AH40" i="2"/>
  <c r="Q24" i="2"/>
  <c r="Q25" i="2" s="1"/>
  <c r="Q27" i="2" s="1"/>
  <c r="Q29" i="2" s="1"/>
  <c r="AK23" i="2"/>
  <c r="Q35" i="2"/>
  <c r="L39" i="2"/>
  <c r="H27" i="2"/>
  <c r="H29" i="2" s="1"/>
  <c r="H39" i="2"/>
  <c r="AJ39" i="2"/>
  <c r="AJ27" i="2"/>
  <c r="N39" i="2"/>
  <c r="N27" i="2"/>
  <c r="N29" i="2" s="1"/>
  <c r="N75" i="2" l="1"/>
  <c r="N76" i="2" s="1"/>
  <c r="M76" i="2"/>
  <c r="L90" i="2"/>
  <c r="L88" i="2"/>
  <c r="M32" i="2"/>
  <c r="M62" i="2"/>
  <c r="L32" i="2"/>
  <c r="L62" i="2"/>
  <c r="AH31" i="2"/>
  <c r="AH32" i="2" s="1"/>
  <c r="AH41" i="2"/>
  <c r="AI31" i="2"/>
  <c r="AI32" i="2" s="1"/>
  <c r="AI41" i="2"/>
  <c r="H31" i="2"/>
  <c r="H32" i="2" s="1"/>
  <c r="H40" i="2"/>
  <c r="H41" i="2"/>
  <c r="Q31" i="2"/>
  <c r="Q32" i="2" s="1"/>
  <c r="Q41" i="2"/>
  <c r="Q40" i="2"/>
  <c r="AL23" i="2"/>
  <c r="AK35" i="2"/>
  <c r="N31" i="2"/>
  <c r="N62" i="2" s="1"/>
  <c r="N40" i="2"/>
  <c r="N41" i="2"/>
  <c r="P32" i="2"/>
  <c r="P43" i="2"/>
  <c r="AP38" i="2"/>
  <c r="AJ29" i="2"/>
  <c r="AJ40" i="2"/>
  <c r="AG29" i="2"/>
  <c r="AG40" i="2"/>
  <c r="Q39" i="2"/>
  <c r="AK24" i="2"/>
  <c r="AK25" i="2" s="1"/>
  <c r="AK27" i="2" s="1"/>
  <c r="M90" i="2" l="1"/>
  <c r="M88" i="2"/>
  <c r="AH62" i="2"/>
  <c r="AI62" i="2"/>
  <c r="N90" i="2"/>
  <c r="N88" i="2"/>
  <c r="N32" i="2"/>
  <c r="AG31" i="2"/>
  <c r="AG62" i="2" s="1"/>
  <c r="AG41" i="2"/>
  <c r="AJ31" i="2"/>
  <c r="AJ62" i="2" s="1"/>
  <c r="AJ41" i="2"/>
  <c r="Q43" i="2"/>
  <c r="R43" i="2" s="1"/>
  <c r="AJ43" i="2" s="1"/>
  <c r="AK28" i="2" s="1"/>
  <c r="AK29" i="2" s="1"/>
  <c r="AK31" i="2" s="1"/>
  <c r="AM23" i="2"/>
  <c r="AL35" i="2"/>
  <c r="AQ38" i="2"/>
  <c r="AK40" i="2"/>
  <c r="AL24" i="2"/>
  <c r="AL25" i="2" s="1"/>
  <c r="AK39" i="2"/>
  <c r="AJ32" i="2" l="1"/>
  <c r="AG32" i="2"/>
  <c r="AN23" i="2"/>
  <c r="AN24" i="2" s="1"/>
  <c r="AM24" i="2"/>
  <c r="AR38" i="2"/>
  <c r="AK62" i="2"/>
  <c r="AK43" i="2"/>
  <c r="AK41" i="2"/>
  <c r="AK32" i="2"/>
  <c r="AM35" i="2"/>
  <c r="AM25" i="2"/>
  <c r="AL39" i="2"/>
  <c r="AL27" i="2"/>
  <c r="AT38" i="2" l="1"/>
  <c r="AS38" i="2"/>
  <c r="AL28" i="2"/>
  <c r="AL29" i="2" s="1"/>
  <c r="AL31" i="2" s="1"/>
  <c r="AL43" i="2" s="1"/>
  <c r="AL40" i="2"/>
  <c r="AM27" i="2"/>
  <c r="AM39" i="2"/>
  <c r="AO23" i="2"/>
  <c r="AN25" i="2"/>
  <c r="AN35" i="2"/>
  <c r="AO35" i="2" l="1"/>
  <c r="AO24" i="2"/>
  <c r="AM28" i="2"/>
  <c r="AM29" i="2" s="1"/>
  <c r="AM41" i="2" s="1"/>
  <c r="AL32" i="2"/>
  <c r="AL62" i="2"/>
  <c r="AM40" i="2"/>
  <c r="AL41" i="2"/>
  <c r="AN27" i="2"/>
  <c r="AN39" i="2"/>
  <c r="AP23" i="2"/>
  <c r="AP24" i="2" s="1"/>
  <c r="AO25" i="2"/>
  <c r="AM31" i="2" l="1"/>
  <c r="AN40" i="2"/>
  <c r="AO39" i="2"/>
  <c r="AO27" i="2"/>
  <c r="AQ23" i="2"/>
  <c r="AQ24" i="2" s="1"/>
  <c r="AP35" i="2"/>
  <c r="AP25" i="2"/>
  <c r="AM32" i="2" l="1"/>
  <c r="AM43" i="2"/>
  <c r="AM62" i="2"/>
  <c r="AO40" i="2"/>
  <c r="AP27" i="2"/>
  <c r="AP39" i="2"/>
  <c r="AR23" i="2"/>
  <c r="AR24" i="2" s="1"/>
  <c r="AQ35" i="2"/>
  <c r="AQ25" i="2"/>
  <c r="AN28" i="2" l="1"/>
  <c r="AN29" i="2" s="1"/>
  <c r="AP40" i="2"/>
  <c r="AS23" i="2"/>
  <c r="AS24" i="2" s="1"/>
  <c r="AR25" i="2"/>
  <c r="AR35" i="2"/>
  <c r="AQ39" i="2"/>
  <c r="AQ27" i="2"/>
  <c r="AN31" i="2" l="1"/>
  <c r="AN41" i="2"/>
  <c r="AQ40" i="2"/>
  <c r="AR27" i="2"/>
  <c r="AR39" i="2"/>
  <c r="AT23" i="2"/>
  <c r="AT24" i="2" s="1"/>
  <c r="AS35" i="2"/>
  <c r="AS25" i="2"/>
  <c r="AN32" i="2" l="1"/>
  <c r="AN62" i="2"/>
  <c r="AN43" i="2"/>
  <c r="AR40" i="2"/>
  <c r="AS27" i="2"/>
  <c r="AS39" i="2"/>
  <c r="AT25" i="2"/>
  <c r="AT35" i="2"/>
  <c r="AO28" i="2" l="1"/>
  <c r="AO29" i="2" s="1"/>
  <c r="AS40" i="2"/>
  <c r="AT27" i="2"/>
  <c r="AT39" i="2"/>
  <c r="AO30" i="2" l="1"/>
  <c r="AO41" i="2" s="1"/>
  <c r="AT40" i="2"/>
  <c r="AO31" i="2" l="1"/>
  <c r="AO62" i="2" s="1"/>
  <c r="AO43" i="2" l="1"/>
  <c r="AP28" i="2" s="1"/>
  <c r="AP29" i="2" s="1"/>
  <c r="AO32" i="2"/>
  <c r="AP30" i="2" l="1"/>
  <c r="AP41" i="2" s="1"/>
  <c r="AP31" i="2" l="1"/>
  <c r="AP32" i="2" s="1"/>
  <c r="AP43" i="2" l="1"/>
  <c r="AQ28" i="2" s="1"/>
  <c r="AQ29" i="2" s="1"/>
  <c r="AP62" i="2"/>
  <c r="AQ30" i="2" l="1"/>
  <c r="AQ41" i="2" s="1"/>
  <c r="AQ31" i="2" l="1"/>
  <c r="AQ32" i="2" s="1"/>
  <c r="AQ43" i="2" l="1"/>
  <c r="AR28" i="2" s="1"/>
  <c r="AR29" i="2" s="1"/>
  <c r="AQ62" i="2"/>
  <c r="AR30" i="2" l="1"/>
  <c r="AR41" i="2" s="1"/>
  <c r="AR31" i="2" l="1"/>
  <c r="AR32" i="2" l="1"/>
  <c r="AR62" i="2"/>
  <c r="AR43" i="2"/>
  <c r="AS28" i="2" l="1"/>
  <c r="AS29" i="2" s="1"/>
  <c r="AS30" i="2" l="1"/>
  <c r="AS41" i="2" s="1"/>
  <c r="AS31" i="2" l="1"/>
  <c r="AS32" i="2" l="1"/>
  <c r="AS62" i="2"/>
  <c r="AS43" i="2"/>
  <c r="AT28" i="2" l="1"/>
  <c r="AT29" i="2" s="1"/>
  <c r="AT30" i="2" l="1"/>
  <c r="AT41" i="2" s="1"/>
  <c r="AT31" i="2" l="1"/>
  <c r="AT62" i="2" l="1"/>
  <c r="AT32" i="2"/>
  <c r="AU31" i="2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AX67" i="2" s="1"/>
  <c r="AX68" i="2" s="1"/>
  <c r="AX69" i="2" s="1"/>
  <c r="AT4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tc={F23DBBCD-FC90-41B4-912A-05593D9AD727}</author>
  </authors>
  <commentList>
    <comment ref="O33" authorId="0" shapeId="0" xr:uid="{F23DBBCD-FC90-41B4-912A-05593D9AD727}">
      <text>
        <t>[Threaded comment]
Your version of Excel allows you to read this threaded comment; however, any edits to it will get removed if the file is opened in a newer version of Excel. Learn more: https://go.microsoft.com/fwlink/?linkid=870924
Comment:
    12.7m</t>
      </text>
    </comment>
  </commentList>
</comments>
</file>

<file path=xl/sharedStrings.xml><?xml version="1.0" encoding="utf-8"?>
<sst xmlns="http://schemas.openxmlformats.org/spreadsheetml/2006/main" count="142" uniqueCount="123">
  <si>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</si>
  <si>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</si>
  <si>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</si>
  <si>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</si>
  <si>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</si>
  <si>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</si>
  <si>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</si>
  <si>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</si>
  <si>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</si>
  <si>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</si>
  <si>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</si>
  <si>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</si>
  <si>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</si>
  <si>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</si>
  <si>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</si>
  <si>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</si>
  <si>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</si>
  <si>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</si>
  <si>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</si>
  <si>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</si>
  <si>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</si>
  <si>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</si>
  <si>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</si>
  <si>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</si>
  <si>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Gross Margin</t>
  </si>
  <si>
    <t>COGS</t>
  </si>
  <si>
    <t>SG&amp;A</t>
  </si>
  <si>
    <t>Operating Income</t>
  </si>
  <si>
    <t>Interest Expense</t>
  </si>
  <si>
    <t>Pretax Income</t>
  </si>
  <si>
    <t>Net Income</t>
  </si>
  <si>
    <t>Taxes</t>
  </si>
  <si>
    <t>EPS</t>
  </si>
  <si>
    <t>Revenue y/y</t>
  </si>
  <si>
    <t>Model NI</t>
  </si>
  <si>
    <t>Reported NI</t>
  </si>
  <si>
    <t>D&amp;A</t>
  </si>
  <si>
    <t>SBC</t>
  </si>
  <si>
    <t>Gain of sale</t>
  </si>
  <si>
    <t>Digital asset impairments</t>
  </si>
  <si>
    <t>Loss on PP&amp;E</t>
  </si>
  <si>
    <t>Other</t>
  </si>
  <si>
    <t>WC</t>
  </si>
  <si>
    <t>CFFO</t>
  </si>
  <si>
    <t>CapEx</t>
  </si>
  <si>
    <t>Digital Asset Sale</t>
  </si>
  <si>
    <t>CFFI</t>
  </si>
  <si>
    <t>Stock Awards</t>
  </si>
  <si>
    <t>CFFF</t>
  </si>
  <si>
    <t>FX</t>
  </si>
  <si>
    <t>CIC</t>
  </si>
  <si>
    <t>AR</t>
  </si>
  <si>
    <t>ONCA</t>
  </si>
  <si>
    <t>Assets</t>
  </si>
  <si>
    <t>Inventory</t>
  </si>
  <si>
    <t>Prepaids</t>
  </si>
  <si>
    <t>PP&amp;E</t>
  </si>
  <si>
    <t>Lease</t>
  </si>
  <si>
    <t>DT</t>
  </si>
  <si>
    <t>AP</t>
  </si>
  <si>
    <t>AL</t>
  </si>
  <si>
    <t>OLTL</t>
  </si>
  <si>
    <t>SE</t>
  </si>
  <si>
    <t>L+SE</t>
  </si>
  <si>
    <t>6/1/22: FYQ122 results</t>
  </si>
  <si>
    <t>Hardware</t>
  </si>
  <si>
    <t>Software</t>
  </si>
  <si>
    <t>Collectibles</t>
  </si>
  <si>
    <t>FY2021</t>
  </si>
  <si>
    <t>FY2022</t>
  </si>
  <si>
    <t>FY2023</t>
  </si>
  <si>
    <t>FY2020</t>
  </si>
  <si>
    <t>FY2019</t>
  </si>
  <si>
    <t>FY2018</t>
  </si>
  <si>
    <t>New Hardware</t>
  </si>
  <si>
    <t>New Software</t>
  </si>
  <si>
    <t>Pre-owned</t>
  </si>
  <si>
    <t>Accessories</t>
  </si>
  <si>
    <t>Digital</t>
  </si>
  <si>
    <t xml:space="preserve">Hardware </t>
  </si>
  <si>
    <t>Gross Profit</t>
  </si>
  <si>
    <t>Inventory Reserves</t>
  </si>
  <si>
    <t>Goodwill</t>
  </si>
  <si>
    <t>FCF</t>
  </si>
  <si>
    <t>Retirement of Debt</t>
  </si>
  <si>
    <t>Impairments</t>
  </si>
  <si>
    <t>FY2024</t>
  </si>
  <si>
    <t>FY2025</t>
  </si>
  <si>
    <t>FY2026</t>
  </si>
  <si>
    <t>FY2027</t>
  </si>
  <si>
    <t>FY2028</t>
  </si>
  <si>
    <t>FY2029</t>
  </si>
  <si>
    <t>FY2030</t>
  </si>
  <si>
    <t>FY2031</t>
  </si>
  <si>
    <t>FY2032</t>
  </si>
  <si>
    <t>Discount</t>
  </si>
  <si>
    <t>Maturity</t>
  </si>
  <si>
    <t>NPV</t>
  </si>
  <si>
    <t>Upside</t>
  </si>
  <si>
    <t>Tax Rate</t>
  </si>
  <si>
    <t>Operating Margin</t>
  </si>
  <si>
    <t>ROIC</t>
  </si>
  <si>
    <t>United States</t>
  </si>
  <si>
    <t>Canada</t>
  </si>
  <si>
    <t>Australia</t>
  </si>
  <si>
    <t>Europe</t>
  </si>
  <si>
    <t>Collectibles y/y</t>
  </si>
  <si>
    <t>Software y/y</t>
  </si>
  <si>
    <t>Hardware y/y</t>
  </si>
  <si>
    <t>Grapevine, TX</t>
  </si>
  <si>
    <t>Est. 1996.</t>
  </si>
  <si>
    <t>FY2017</t>
  </si>
  <si>
    <t>Stores</t>
  </si>
  <si>
    <t xml:space="preserve">  US Stores</t>
  </si>
  <si>
    <t>FY2016</t>
  </si>
  <si>
    <t>FY2015</t>
  </si>
  <si>
    <t>FY2014</t>
  </si>
  <si>
    <t>FY2013</t>
  </si>
  <si>
    <t>Issuance of Common</t>
  </si>
  <si>
    <t>Q123</t>
  </si>
  <si>
    <t>Q223</t>
  </si>
  <si>
    <t>Q323</t>
  </si>
  <si>
    <t>Q423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</si>
</sst>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0"/>
      <color theme="1"/>
      <name val="Arial"/>
      <family val="2"/>
    </font>
    <font>
      <sz val="8"/>
      <name val="Arial"/>
      <family val="2"/>
    </font>
    <font>
      <sz val="10"/>
      <color theme="1"/>
      <name val="Helvetica Light"/>
    </font>
    <font>
      <b/>
      <sz val="10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C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14" fontId="2" fillId="2" borderId="0" xfId="0" applyNumberFormat="1" applyFont="1" applyFill="1"/>
    <xf numFmtId="3" fontId="2" fillId="2" borderId="0" xfId="0" applyNumberFormat="1" applyFont="1" applyFill="1"/>
    <xf numFmtId="3" fontId="2" fillId="2" borderId="0" xfId="0" applyNumberFormat="1" applyFont="1" applyFill="1" applyAlignment="1">
      <alignment horizontal="right"/>
    </xf>
    <xf numFmtId="9" fontId="2" fillId="2" borderId="0" xfId="0" applyNumberFormat="1" applyFont="1" applyFill="1"/>
    <xf numFmtId="3" fontId="3" fillId="2" borderId="0" xfId="0" applyNumberFormat="1" applyFont="1" applyFill="1"/>
    <xf numFmtId="3" fontId="3" fillId="2" borderId="0" xfId="0" applyNumberFormat="1" applyFont="1" applyFill="1" applyAlignment="1">
      <alignment horizontal="right"/>
    </xf>
    <xf numFmtId="4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9" fontId="3" fillId="2" borderId="0" xfId="0" applyNumberFormat="1" applyFont="1" applyFill="1" applyAlignment="1">
      <alignment horizontal="right"/>
    </xf>
    <xf numFmtId="0" fontId="3" fillId="2" borderId="0" xfId="0" applyFont="1" applyFill="1"/>
    <xf numFmtId="9" fontId="2" fillId="2" borderId="0" xfId="0" applyNumberFormat="1" applyFont="1" applyFill="1" applyAlignment="1">
      <alignment horizontal="right"/>
    </xf>
    <xf numFmtId="9" fontId="3" fillId="2" borderId="0" xfId="0" applyNumberFormat="1" applyFont="1" applyFill="1"/>
    <xf numFmtId="4" fontId="3" fillId="2" borderId="0" xfId="0" applyNumberFormat="1" applyFont="1" applyFill="1"/>
    <xf numFmtId="1" fontId="2" fillId="2" borderId="0" xfId="0" applyNumberFormat="1" applyFont="1" applyFill="1"/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9" fontId="3" fillId="2" borderId="1" xfId="0" applyNumberFormat="1" applyFont="1" applyFill="1" applyBorder="1" applyAlignment="1">
      <alignment horizontal="right"/>
    </xf>
    <xf numFmtId="9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0</xdr:row>
      <xdr:rowOff>66675</xdr:rowOff>
    </xdr:from>
    <xdr:to>
      <xdr:col>15</xdr:col>
      <xdr:colOff>38100</xdr:colOff>
      <xdr:row>113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E5E6D02-E762-DD46-B587-BD1BD9BA3AD8}"/>
            </a:ext>
          </a:extLst>
        </xdr:cNvPr>
        <xdr:cNvCxnSpPr/>
      </xdr:nvCxnSpPr>
      <xdr:spPr>
        <a:xfrm>
          <a:off x="10267950" y="66675"/>
          <a:ext cx="0" cy="14468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</xdr:colOff>
      <xdr:row>0</xdr:row>
      <xdr:rowOff>0</xdr:rowOff>
    </xdr:from>
    <xdr:to>
      <xdr:col>36</xdr:col>
      <xdr:colOff>38100</xdr:colOff>
      <xdr:row>97</xdr:row>
      <xdr:rowOff>19050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234E424-D78E-4BFF-9515-A459501DE400}"/>
            </a:ext>
          </a:extLst>
        </xdr:cNvPr>
        <xdr:cNvCxnSpPr/>
      </xdr:nvCxnSpPr>
      <xdr:spPr>
        <a:xfrm>
          <a:off x="15887700" y="0"/>
          <a:ext cx="9525" cy="10544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BD969550-EDD6-435F-8506-2F239B21FA30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3" dT="2022-07-02T00:43:35.95" personId="{BD969550-EDD6-435F-8506-2F239B21FA30}" id="{F23DBBCD-FC90-41B4-912A-05593D9AD727}">
    <text>12.7m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A739-C7D1-4EC7-91DB-542DCD5B38AF}">
  <dimension ref="B2:N13"/>
  <sheetViews>
    <sheetView workbookViewId="0">
      <selection activeCell="M1" sqref="M1"/>
    </sheetView>
  </sheetViews>
  <sheetFormatPr baseColWidth="10" defaultColWidth="8.83203125" defaultRowHeight="13"/>
  <cols>
    <col min="14" max="14" width="10.5" customWidth="1"/>
  </cols>
  <sheetData>
    <row r="2" spans="2:14">
      <c r="B2" t="s">
        <v>109</v>
      </c>
      <c r="L2" t="s">
        <v>0</v>
      </c>
      <c r="M2" s="1">
        <v>128.5</v>
      </c>
    </row>
    <row r="3" spans="2:14">
      <c r="B3" t="s">
        <v>110</v>
      </c>
      <c r="L3" t="s">
        <v>1</v>
      </c>
      <c r="M3" s="2">
        <v>76.129034000000004</v>
      </c>
      <c r="N3" s="3">
        <v>44707</v>
      </c>
    </row>
    <row r="4" spans="2:14">
      <c r="L4" t="s">
        <v>2</v>
      </c>
      <c r="M4" s="2">
        <f>M2*M3</f>
        <v>9782.5808690000013</v>
      </c>
    </row>
    <row r="5" spans="2:14">
      <c r="L5" t="s">
        <v>3</v>
      </c>
      <c r="M5" s="2">
        <f>1035+33.3+15.3</f>
        <v>1083.5999999999999</v>
      </c>
      <c r="N5" s="4" t="s">
        <v>6</v>
      </c>
    </row>
    <row r="6" spans="2:14">
      <c r="L6" t="s">
        <v>4</v>
      </c>
      <c r="M6" s="2">
        <f>35.7+6.5</f>
        <v>42.2</v>
      </c>
      <c r="N6" s="4" t="s">
        <v>6</v>
      </c>
    </row>
    <row r="7" spans="2:14">
      <c r="L7" t="s">
        <v>5</v>
      </c>
      <c r="M7" s="2">
        <f>M4-M5+M6</f>
        <v>8741.1808690000016</v>
      </c>
    </row>
    <row r="13" spans="2:14">
      <c r="B13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DC47-869E-4A1F-AC19-77E1C7206D83}">
  <dimension ref="A1:CF99"/>
  <sheetViews>
    <sheetView tabSelected="1"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S14" sqref="S14"/>
    </sheetView>
  </sheetViews>
  <sheetFormatPr baseColWidth="10" defaultColWidth="8.83203125" defaultRowHeight="13"/>
  <cols>
    <col min="1" max="1" width="5" style="5" bestFit="1" customWidth="1"/>
    <col min="2" max="2" width="22.5" style="5" customWidth="1"/>
    <col min="3" max="6" width="9.1640625" style="6"/>
    <col min="7" max="15" width="9.83203125" style="6" customWidth="1"/>
    <col min="16" max="16" width="10.1640625" style="24" customWidth="1"/>
    <col min="17" max="23" width="10.1640625" style="6" customWidth="1"/>
    <col min="24" max="27" width="8.83203125" style="5"/>
    <col min="28" max="31" width="9.1640625" style="6"/>
    <col min="32" max="34" width="8.83203125" style="5"/>
    <col min="35" max="37" width="9.1640625" style="6"/>
    <col min="38" max="49" width="8.83203125" style="5"/>
    <col min="50" max="50" width="8.5" style="5" customWidth="1"/>
    <col min="51" max="16384" width="8.83203125" style="5"/>
  </cols>
  <sheetData>
    <row r="1" spans="1:46">
      <c r="A1" s="5" t="s">
        <v>7</v>
      </c>
    </row>
    <row r="2" spans="1:46">
      <c r="G2" s="7">
        <v>43953</v>
      </c>
      <c r="H2" s="7">
        <v>44044</v>
      </c>
      <c r="I2" s="7">
        <v>44135</v>
      </c>
      <c r="J2" s="7">
        <v>44226</v>
      </c>
      <c r="K2" s="7">
        <v>44317</v>
      </c>
      <c r="L2" s="7">
        <v>44408</v>
      </c>
      <c r="M2" s="7">
        <v>44499</v>
      </c>
      <c r="N2" s="7">
        <v>44590</v>
      </c>
      <c r="O2" s="7">
        <v>44681</v>
      </c>
      <c r="P2" s="25">
        <v>44773</v>
      </c>
      <c r="Q2" s="7">
        <v>44864</v>
      </c>
      <c r="R2" s="7">
        <v>44955</v>
      </c>
      <c r="S2" s="7">
        <f>O2+365</f>
        <v>45046</v>
      </c>
      <c r="T2" s="7">
        <f t="shared" ref="T2:V2" si="0">P2+365</f>
        <v>45138</v>
      </c>
      <c r="U2" s="7">
        <f t="shared" si="0"/>
        <v>45229</v>
      </c>
      <c r="V2" s="7">
        <f t="shared" si="0"/>
        <v>45320</v>
      </c>
      <c r="W2" s="7"/>
      <c r="AA2" s="7">
        <f t="shared" ref="AA2" si="1">AB2-365</f>
        <v>41303</v>
      </c>
      <c r="AB2" s="7">
        <f>AC2-365</f>
        <v>41668</v>
      </c>
      <c r="AC2" s="7">
        <f t="shared" ref="AC2" si="2">AD2-365</f>
        <v>42033</v>
      </c>
      <c r="AD2" s="7">
        <f>AE2-365</f>
        <v>42398</v>
      </c>
      <c r="AE2" s="7">
        <v>42763</v>
      </c>
      <c r="AF2" s="7">
        <v>43134</v>
      </c>
      <c r="AG2" s="7">
        <v>43498</v>
      </c>
      <c r="AH2" s="7">
        <v>43862</v>
      </c>
      <c r="AI2" s="7">
        <v>44226</v>
      </c>
      <c r="AJ2" s="7">
        <v>44590</v>
      </c>
      <c r="AK2" s="7">
        <v>44955</v>
      </c>
      <c r="AL2" s="8">
        <f>AK2+365</f>
        <v>45320</v>
      </c>
      <c r="AM2" s="8">
        <f>AL2+366</f>
        <v>45686</v>
      </c>
      <c r="AN2" s="8">
        <f t="shared" ref="AN2:AT2" si="3">AM2+365</f>
        <v>46051</v>
      </c>
      <c r="AO2" s="8">
        <f t="shared" si="3"/>
        <v>46416</v>
      </c>
      <c r="AP2" s="8">
        <f t="shared" si="3"/>
        <v>46781</v>
      </c>
      <c r="AQ2" s="8">
        <f>AP2+366</f>
        <v>47147</v>
      </c>
      <c r="AR2" s="8">
        <f t="shared" si="3"/>
        <v>47512</v>
      </c>
      <c r="AS2" s="8">
        <f t="shared" si="3"/>
        <v>47877</v>
      </c>
      <c r="AT2" s="8">
        <f t="shared" si="3"/>
        <v>48242</v>
      </c>
    </row>
    <row r="3" spans="1:46"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6</v>
      </c>
      <c r="P3" s="24" t="s">
        <v>21</v>
      </c>
      <c r="Q3" s="6" t="s">
        <v>22</v>
      </c>
      <c r="R3" s="6" t="s">
        <v>23</v>
      </c>
      <c r="S3" s="6" t="s">
        <v>119</v>
      </c>
      <c r="T3" s="6" t="s">
        <v>120</v>
      </c>
      <c r="U3" s="6" t="s">
        <v>121</v>
      </c>
      <c r="V3" s="6" t="s">
        <v>122</v>
      </c>
      <c r="AA3" s="6" t="s">
        <v>117</v>
      </c>
      <c r="AB3" s="6" t="s">
        <v>116</v>
      </c>
      <c r="AC3" s="6" t="s">
        <v>115</v>
      </c>
      <c r="AD3" s="6" t="s">
        <v>114</v>
      </c>
      <c r="AE3" s="6" t="s">
        <v>111</v>
      </c>
      <c r="AF3" s="6" t="s">
        <v>73</v>
      </c>
      <c r="AG3" s="6" t="s">
        <v>72</v>
      </c>
      <c r="AH3" s="6" t="s">
        <v>71</v>
      </c>
      <c r="AI3" s="6" t="s">
        <v>68</v>
      </c>
      <c r="AJ3" s="6" t="s">
        <v>69</v>
      </c>
      <c r="AK3" s="6" t="s">
        <v>70</v>
      </c>
      <c r="AL3" s="6" t="s">
        <v>86</v>
      </c>
      <c r="AM3" s="6" t="s">
        <v>87</v>
      </c>
      <c r="AN3" s="6" t="s">
        <v>88</v>
      </c>
      <c r="AO3" s="6" t="s">
        <v>89</v>
      </c>
      <c r="AP3" s="6" t="s">
        <v>90</v>
      </c>
      <c r="AQ3" s="6" t="s">
        <v>91</v>
      </c>
      <c r="AR3" s="6" t="s">
        <v>92</v>
      </c>
      <c r="AS3" s="6" t="s">
        <v>93</v>
      </c>
      <c r="AT3" s="6" t="s">
        <v>94</v>
      </c>
    </row>
    <row r="4" spans="1:46" s="9" customFormat="1">
      <c r="B4" s="9" t="s">
        <v>112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>
        <v>4573</v>
      </c>
      <c r="P4" s="26"/>
      <c r="Q4" s="10"/>
      <c r="R4" s="10"/>
      <c r="S4" s="10"/>
      <c r="T4" s="10"/>
      <c r="U4" s="10"/>
      <c r="V4" s="10"/>
      <c r="W4" s="10"/>
      <c r="AB4" s="10"/>
      <c r="AC4" s="10"/>
      <c r="AD4" s="10"/>
      <c r="AE4" s="10">
        <v>7535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 s="9" customFormat="1">
      <c r="B5" s="9" t="s">
        <v>113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26"/>
      <c r="Q5" s="10"/>
      <c r="R5" s="10"/>
      <c r="S5" s="10"/>
      <c r="T5" s="10"/>
      <c r="U5" s="10"/>
      <c r="V5" s="10"/>
      <c r="W5" s="10"/>
      <c r="AB5" s="10"/>
      <c r="AC5" s="10"/>
      <c r="AD5" s="10"/>
      <c r="AE5" s="10">
        <f>AE4-2069</f>
        <v>5466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>
      <c r="AF6" s="6"/>
      <c r="AG6" s="6"/>
      <c r="AH6" s="6"/>
      <c r="AL6" s="6"/>
      <c r="AM6" s="6"/>
      <c r="AN6" s="6"/>
      <c r="AO6" s="6"/>
      <c r="AP6" s="6"/>
      <c r="AQ6" s="6"/>
      <c r="AR6" s="6"/>
      <c r="AS6" s="6"/>
      <c r="AT6" s="6"/>
    </row>
    <row r="7" spans="1:46" s="9" customFormat="1">
      <c r="B7" s="9" t="s">
        <v>102</v>
      </c>
      <c r="C7" s="10"/>
      <c r="D7" s="10"/>
      <c r="E7" s="10"/>
      <c r="F7" s="10"/>
      <c r="G7" s="10"/>
      <c r="H7" s="10"/>
      <c r="I7" s="10"/>
      <c r="J7" s="10"/>
      <c r="K7" s="10">
        <v>966.3</v>
      </c>
      <c r="L7" s="10"/>
      <c r="M7" s="10"/>
      <c r="N7" s="10"/>
      <c r="O7" s="10">
        <v>995.3</v>
      </c>
      <c r="P7" s="26"/>
      <c r="Q7" s="10"/>
      <c r="R7" s="10"/>
      <c r="S7" s="10"/>
      <c r="T7" s="10"/>
      <c r="U7" s="10"/>
      <c r="V7" s="10"/>
      <c r="W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s="9" customFormat="1">
      <c r="B8" s="9" t="s">
        <v>103</v>
      </c>
      <c r="C8" s="10"/>
      <c r="D8" s="10"/>
      <c r="E8" s="10"/>
      <c r="F8" s="10"/>
      <c r="G8" s="10"/>
      <c r="H8" s="10"/>
      <c r="I8" s="10"/>
      <c r="J8" s="10"/>
      <c r="K8" s="10">
        <v>61.9</v>
      </c>
      <c r="L8" s="10"/>
      <c r="M8" s="10"/>
      <c r="N8" s="10"/>
      <c r="O8" s="10">
        <v>76.900000000000006</v>
      </c>
      <c r="P8" s="26"/>
      <c r="Q8" s="10"/>
      <c r="R8" s="10"/>
      <c r="S8" s="10"/>
      <c r="T8" s="10"/>
      <c r="U8" s="10"/>
      <c r="V8" s="10"/>
      <c r="W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s="9" customFormat="1">
      <c r="B9" s="9" t="s">
        <v>104</v>
      </c>
      <c r="C9" s="10"/>
      <c r="D9" s="10"/>
      <c r="E9" s="10"/>
      <c r="F9" s="10"/>
      <c r="G9" s="10"/>
      <c r="H9" s="10"/>
      <c r="I9" s="10"/>
      <c r="J9" s="10"/>
      <c r="K9" s="10">
        <v>114.8</v>
      </c>
      <c r="L9" s="10"/>
      <c r="M9" s="10"/>
      <c r="N9" s="10"/>
      <c r="O9" s="10">
        <v>126.7</v>
      </c>
      <c r="P9" s="26"/>
      <c r="Q9" s="10"/>
      <c r="R9" s="10"/>
      <c r="S9" s="10"/>
      <c r="T9" s="10"/>
      <c r="U9" s="10"/>
      <c r="V9" s="10"/>
      <c r="W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 s="9" customFormat="1">
      <c r="B10" s="9" t="s">
        <v>105</v>
      </c>
      <c r="C10" s="10"/>
      <c r="D10" s="10"/>
      <c r="E10" s="10"/>
      <c r="F10" s="10"/>
      <c r="G10" s="10"/>
      <c r="H10" s="10"/>
      <c r="I10" s="10"/>
      <c r="J10" s="10"/>
      <c r="K10" s="10">
        <v>133.80000000000001</v>
      </c>
      <c r="L10" s="10"/>
      <c r="M10" s="10"/>
      <c r="N10" s="10"/>
      <c r="O10" s="10">
        <v>179.5</v>
      </c>
      <c r="P10" s="26"/>
      <c r="Q10" s="10"/>
      <c r="R10" s="10"/>
      <c r="S10" s="10"/>
      <c r="T10" s="10"/>
      <c r="U10" s="10"/>
      <c r="V10" s="10"/>
      <c r="W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>
      <c r="AF11" s="6"/>
      <c r="AG11" s="6"/>
      <c r="AH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46" s="9" customFormat="1">
      <c r="B12" s="9" t="s">
        <v>74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6"/>
      <c r="Q12" s="10"/>
      <c r="R12" s="10"/>
      <c r="S12" s="10"/>
      <c r="T12" s="10"/>
      <c r="U12" s="10"/>
      <c r="V12" s="10"/>
      <c r="W12" s="10"/>
      <c r="AB12" s="10"/>
      <c r="AC12" s="10"/>
      <c r="AD12" s="10"/>
      <c r="AE12" s="10"/>
      <c r="AF12" s="10">
        <v>1791.8</v>
      </c>
      <c r="AG12" s="10">
        <v>1767.8</v>
      </c>
      <c r="AH12" s="10"/>
      <c r="AI12" s="10"/>
      <c r="AJ12" s="10"/>
      <c r="AK12" s="10"/>
    </row>
    <row r="13" spans="1:46" s="9" customFormat="1">
      <c r="B13" s="9" t="s">
        <v>75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26"/>
      <c r="Q13" s="10"/>
      <c r="R13" s="10"/>
      <c r="S13" s="10"/>
      <c r="T13" s="10"/>
      <c r="U13" s="10"/>
      <c r="V13" s="10"/>
      <c r="W13" s="10"/>
      <c r="AB13" s="10"/>
      <c r="AC13" s="10"/>
      <c r="AD13" s="10"/>
      <c r="AE13" s="10"/>
      <c r="AF13" s="10">
        <v>2582</v>
      </c>
      <c r="AG13" s="10">
        <v>2449.6999999999998</v>
      </c>
      <c r="AH13" s="10"/>
      <c r="AI13" s="10"/>
      <c r="AJ13" s="10"/>
      <c r="AK13" s="10"/>
    </row>
    <row r="14" spans="1:46" s="9" customFormat="1">
      <c r="B14" s="9" t="s">
        <v>76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6"/>
      <c r="Q14" s="10"/>
      <c r="R14" s="10"/>
      <c r="S14" s="10"/>
      <c r="T14" s="10"/>
      <c r="U14" s="10"/>
      <c r="V14" s="10"/>
      <c r="W14" s="10"/>
      <c r="AB14" s="10"/>
      <c r="AC14" s="10"/>
      <c r="AD14" s="10"/>
      <c r="AE14" s="10"/>
      <c r="AF14" s="10">
        <v>2149.6</v>
      </c>
      <c r="AG14" s="10">
        <v>1866.3</v>
      </c>
      <c r="AH14" s="10"/>
      <c r="AI14" s="10"/>
      <c r="AJ14" s="10"/>
      <c r="AK14" s="10"/>
    </row>
    <row r="15" spans="1:46" s="9" customFormat="1">
      <c r="B15" s="9" t="s">
        <v>77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26"/>
      <c r="Q15" s="10"/>
      <c r="R15" s="10"/>
      <c r="S15" s="10"/>
      <c r="T15" s="10"/>
      <c r="U15" s="10"/>
      <c r="V15" s="10"/>
      <c r="W15" s="10"/>
      <c r="AB15" s="10"/>
      <c r="AC15" s="10"/>
      <c r="AD15" s="10"/>
      <c r="AE15" s="10"/>
      <c r="AF15" s="10">
        <v>784.3</v>
      </c>
      <c r="AG15" s="10">
        <v>956.5</v>
      </c>
      <c r="AH15" s="10"/>
      <c r="AI15" s="10"/>
      <c r="AJ15" s="10"/>
      <c r="AK15" s="10"/>
    </row>
    <row r="16" spans="1:46" s="9" customFormat="1">
      <c r="B16" s="9" t="s">
        <v>78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26"/>
      <c r="Q16" s="10"/>
      <c r="R16" s="10"/>
      <c r="S16" s="10"/>
      <c r="T16" s="10"/>
      <c r="U16" s="10"/>
      <c r="V16" s="10"/>
      <c r="W16" s="10"/>
      <c r="AB16" s="10"/>
      <c r="AC16" s="10"/>
      <c r="AD16" s="10"/>
      <c r="AE16" s="10"/>
      <c r="AF16" s="10">
        <v>189.2</v>
      </c>
      <c r="AG16" s="10">
        <v>194</v>
      </c>
      <c r="AH16" s="10"/>
      <c r="AI16" s="10"/>
      <c r="AJ16" s="10"/>
      <c r="AK16" s="10"/>
    </row>
    <row r="17" spans="2:84" s="9" customFormat="1">
      <c r="B17" s="9" t="s">
        <v>67</v>
      </c>
      <c r="C17" s="10"/>
      <c r="D17" s="10"/>
      <c r="E17" s="10"/>
      <c r="F17" s="10"/>
      <c r="G17" s="10"/>
      <c r="H17" s="10"/>
      <c r="I17" s="10"/>
      <c r="J17" s="10"/>
      <c r="K17" s="10">
        <v>175.4</v>
      </c>
      <c r="L17" s="10"/>
      <c r="M17" s="10"/>
      <c r="N17" s="10"/>
      <c r="O17" s="10">
        <v>220.9</v>
      </c>
      <c r="P17" s="26"/>
      <c r="Q17" s="10"/>
      <c r="R17" s="10"/>
      <c r="S17" s="10"/>
      <c r="T17" s="10"/>
      <c r="U17" s="10"/>
      <c r="V17" s="10"/>
      <c r="W17" s="10"/>
      <c r="AB17" s="10"/>
      <c r="AC17" s="10"/>
      <c r="AD17" s="10"/>
      <c r="AE17" s="10"/>
      <c r="AF17" s="10">
        <v>636.20000000000005</v>
      </c>
      <c r="AG17" s="10">
        <v>707.5</v>
      </c>
      <c r="AH17" s="10"/>
      <c r="AI17" s="10"/>
      <c r="AJ17" s="10"/>
      <c r="AK17" s="10"/>
    </row>
    <row r="18" spans="2:84" s="9" customFormat="1">
      <c r="B18" s="9" t="s">
        <v>41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26"/>
      <c r="Q18" s="10"/>
      <c r="R18" s="10"/>
      <c r="S18" s="10"/>
      <c r="T18" s="10"/>
      <c r="U18" s="10"/>
      <c r="V18" s="10"/>
      <c r="W18" s="10"/>
      <c r="AB18" s="10"/>
      <c r="AC18" s="10"/>
      <c r="AD18" s="10"/>
      <c r="AE18" s="10"/>
      <c r="AF18" s="10">
        <v>414</v>
      </c>
      <c r="AG18" s="10">
        <v>343.5</v>
      </c>
      <c r="AH18" s="10"/>
      <c r="AI18" s="10"/>
      <c r="AJ18" s="10"/>
      <c r="AK18" s="10"/>
    </row>
    <row r="19" spans="2:84">
      <c r="AF19" s="6"/>
      <c r="AG19" s="6"/>
      <c r="AH19" s="6"/>
    </row>
    <row r="20" spans="2:84" s="9" customFormat="1">
      <c r="B20" s="9" t="s">
        <v>65</v>
      </c>
      <c r="C20" s="10"/>
      <c r="D20" s="10"/>
      <c r="E20" s="10"/>
      <c r="F20" s="10"/>
      <c r="G20" s="10">
        <v>513.1</v>
      </c>
      <c r="H20" s="10">
        <v>441.6</v>
      </c>
      <c r="I20" s="10">
        <v>413.4</v>
      </c>
      <c r="J20" s="10">
        <v>1162.7</v>
      </c>
      <c r="K20" s="10">
        <v>703.5</v>
      </c>
      <c r="L20" s="10">
        <v>609.6</v>
      </c>
      <c r="M20" s="10">
        <v>669.9</v>
      </c>
      <c r="N20" s="10">
        <v>1188.7</v>
      </c>
      <c r="O20" s="10">
        <v>673.8</v>
      </c>
      <c r="P20" s="26"/>
      <c r="Q20" s="10"/>
      <c r="R20" s="10"/>
      <c r="S20" s="10"/>
      <c r="T20" s="10"/>
      <c r="U20" s="10"/>
      <c r="V20" s="10"/>
      <c r="W20" s="10"/>
      <c r="AB20" s="10"/>
      <c r="AC20" s="10"/>
      <c r="AD20" s="10"/>
      <c r="AE20" s="10"/>
      <c r="AH20" s="10"/>
      <c r="AI20" s="10">
        <v>2530.8000000000002</v>
      </c>
      <c r="AJ20" s="10">
        <v>3171.7</v>
      </c>
      <c r="AK20" s="10">
        <f>AJ20*0.9</f>
        <v>2854.5299999999997</v>
      </c>
    </row>
    <row r="21" spans="2:84" s="9" customFormat="1">
      <c r="B21" s="9" t="s">
        <v>66</v>
      </c>
      <c r="C21" s="10"/>
      <c r="D21" s="10"/>
      <c r="E21" s="10"/>
      <c r="F21" s="10"/>
      <c r="G21" s="10">
        <v>417</v>
      </c>
      <c r="H21" s="10">
        <v>386.5</v>
      </c>
      <c r="I21" s="10">
        <v>444.4</v>
      </c>
      <c r="J21" s="10">
        <v>731.2</v>
      </c>
      <c r="K21" s="10">
        <v>397.9</v>
      </c>
      <c r="L21" s="10">
        <v>396.6</v>
      </c>
      <c r="M21" s="10">
        <v>434.5</v>
      </c>
      <c r="N21" s="10">
        <v>785.9</v>
      </c>
      <c r="O21" s="10">
        <v>483.7</v>
      </c>
      <c r="P21" s="26"/>
      <c r="Q21" s="10"/>
      <c r="R21" s="10"/>
      <c r="S21" s="10"/>
      <c r="T21" s="10"/>
      <c r="U21" s="10"/>
      <c r="V21" s="10"/>
      <c r="W21" s="10"/>
      <c r="AB21" s="10"/>
      <c r="AC21" s="10"/>
      <c r="AD21" s="10"/>
      <c r="AE21" s="10"/>
      <c r="AG21" s="11"/>
      <c r="AH21" s="10"/>
      <c r="AI21" s="10">
        <v>1979.1</v>
      </c>
      <c r="AJ21" s="10">
        <v>2014.8</v>
      </c>
      <c r="AK21" s="10">
        <f>AJ21*1.03</f>
        <v>2075.2440000000001</v>
      </c>
      <c r="AL21" s="10"/>
      <c r="AM21" s="10"/>
      <c r="AN21" s="10"/>
      <c r="AO21" s="10"/>
      <c r="AP21" s="10"/>
      <c r="AQ21" s="10"/>
      <c r="AR21" s="10"/>
      <c r="AS21" s="10"/>
      <c r="AT21" s="10"/>
    </row>
    <row r="22" spans="2:84" s="9" customFormat="1">
      <c r="B22" s="9" t="s">
        <v>67</v>
      </c>
      <c r="C22" s="10"/>
      <c r="D22" s="10"/>
      <c r="E22" s="10"/>
      <c r="F22" s="10"/>
      <c r="G22" s="10">
        <v>90.9</v>
      </c>
      <c r="H22" s="10">
        <v>113.9</v>
      </c>
      <c r="I22" s="10">
        <v>146.9</v>
      </c>
      <c r="J22" s="10">
        <v>228.2</v>
      </c>
      <c r="K22" s="10">
        <v>175.4</v>
      </c>
      <c r="L22" s="10">
        <v>177.2</v>
      </c>
      <c r="M22" s="10">
        <v>192.2</v>
      </c>
      <c r="N22" s="10">
        <v>279.3</v>
      </c>
      <c r="O22" s="10">
        <v>220.9</v>
      </c>
      <c r="P22" s="26">
        <f>L22*1.2</f>
        <v>212.64</v>
      </c>
      <c r="Q22" s="10">
        <f t="shared" ref="Q22:R22" si="4">M22*1.2</f>
        <v>230.64</v>
      </c>
      <c r="R22" s="10">
        <f t="shared" si="4"/>
        <v>335.16</v>
      </c>
      <c r="S22" s="10"/>
      <c r="T22" s="10"/>
      <c r="U22" s="10"/>
      <c r="V22" s="10"/>
      <c r="W22" s="10"/>
      <c r="AB22" s="10"/>
      <c r="AC22" s="10"/>
      <c r="AD22" s="10"/>
      <c r="AE22" s="10"/>
      <c r="AF22" s="9">
        <f>AF17</f>
        <v>636.20000000000005</v>
      </c>
      <c r="AG22" s="9">
        <f>AG17</f>
        <v>707.5</v>
      </c>
      <c r="AH22" s="10">
        <v>737.5</v>
      </c>
      <c r="AI22" s="10">
        <v>579.9</v>
      </c>
      <c r="AJ22" s="10">
        <v>824.2</v>
      </c>
      <c r="AK22" s="10">
        <f>AJ22*1.1</f>
        <v>906.62000000000012</v>
      </c>
      <c r="AL22" s="10">
        <f t="shared" ref="AL22:AT22" si="5">AK22*1.1</f>
        <v>997.28200000000027</v>
      </c>
      <c r="AM22" s="10">
        <f t="shared" si="5"/>
        <v>1097.0102000000004</v>
      </c>
      <c r="AN22" s="10">
        <f t="shared" si="5"/>
        <v>1206.7112200000006</v>
      </c>
      <c r="AO22" s="10">
        <f t="shared" si="5"/>
        <v>1327.3823420000008</v>
      </c>
      <c r="AP22" s="10">
        <f t="shared" si="5"/>
        <v>1460.1205762000011</v>
      </c>
      <c r="AQ22" s="10">
        <f t="shared" si="5"/>
        <v>1606.1326338200013</v>
      </c>
      <c r="AR22" s="10">
        <f t="shared" si="5"/>
        <v>1766.7458972020015</v>
      </c>
      <c r="AS22" s="10">
        <f t="shared" si="5"/>
        <v>1943.4204869222019</v>
      </c>
      <c r="AT22" s="10">
        <f t="shared" si="5"/>
        <v>2137.7625356144222</v>
      </c>
    </row>
    <row r="23" spans="2:84" s="12" customFormat="1">
      <c r="B23" s="12" t="s">
        <v>8</v>
      </c>
      <c r="C23" s="13"/>
      <c r="D23" s="13"/>
      <c r="E23" s="13"/>
      <c r="F23" s="13"/>
      <c r="G23" s="13">
        <f>SUM(G20:G22)</f>
        <v>1021</v>
      </c>
      <c r="H23" s="13">
        <f>SUM(H20:H22)</f>
        <v>942</v>
      </c>
      <c r="I23" s="13">
        <f t="shared" ref="I23:O23" si="6">SUM(I20:I22)</f>
        <v>1004.6999999999999</v>
      </c>
      <c r="J23" s="13">
        <f t="shared" si="6"/>
        <v>2122.1</v>
      </c>
      <c r="K23" s="13">
        <f t="shared" si="6"/>
        <v>1276.8000000000002</v>
      </c>
      <c r="L23" s="13">
        <f t="shared" si="6"/>
        <v>1183.4000000000001</v>
      </c>
      <c r="M23" s="13">
        <f t="shared" si="6"/>
        <v>1296.6000000000001</v>
      </c>
      <c r="N23" s="13">
        <f t="shared" si="6"/>
        <v>2253.9</v>
      </c>
      <c r="O23" s="13">
        <f t="shared" si="6"/>
        <v>1378.4</v>
      </c>
      <c r="P23" s="27">
        <f>L23*1.05</f>
        <v>1242.5700000000002</v>
      </c>
      <c r="Q23" s="13">
        <f>M23*1.05</f>
        <v>1361.4300000000003</v>
      </c>
      <c r="R23" s="13">
        <f>N23*1.05</f>
        <v>2366.5950000000003</v>
      </c>
      <c r="S23" s="13"/>
      <c r="T23" s="13"/>
      <c r="U23" s="13"/>
      <c r="V23" s="13"/>
      <c r="W23" s="13"/>
      <c r="AB23" s="13">
        <v>9039.5</v>
      </c>
      <c r="AC23" s="13">
        <v>9296</v>
      </c>
      <c r="AD23" s="13">
        <v>9363.7999999999993</v>
      </c>
      <c r="AE23" s="13">
        <v>8607.9</v>
      </c>
      <c r="AF23" s="13">
        <f>SUM(AF12:AF18)</f>
        <v>8547.0999999999985</v>
      </c>
      <c r="AG23" s="13">
        <f>SUM(AG12:AG18)</f>
        <v>8285.2999999999993</v>
      </c>
      <c r="AH23" s="13">
        <v>6466</v>
      </c>
      <c r="AI23" s="13">
        <f t="shared" ref="AI23:AJ23" si="7">SUM(AI20:AI22)</f>
        <v>5089.7999999999993</v>
      </c>
      <c r="AJ23" s="13">
        <f t="shared" si="7"/>
        <v>6010.7</v>
      </c>
      <c r="AK23" s="13">
        <f>SUM(O23:R23)</f>
        <v>6348.9950000000008</v>
      </c>
      <c r="AL23" s="12">
        <f>AK23*1.1</f>
        <v>6983.8945000000012</v>
      </c>
      <c r="AM23" s="12">
        <f>AL23*1.1</f>
        <v>7682.2839500000018</v>
      </c>
      <c r="AN23" s="12">
        <f>AM23*1.1</f>
        <v>8450.5123450000028</v>
      </c>
      <c r="AO23" s="12">
        <f t="shared" ref="AO23:AT23" si="8">AN23*1.05</f>
        <v>8873.0379622500041</v>
      </c>
      <c r="AP23" s="12">
        <f t="shared" si="8"/>
        <v>9316.689860362505</v>
      </c>
      <c r="AQ23" s="12">
        <f t="shared" si="8"/>
        <v>9782.5243533806315</v>
      </c>
      <c r="AR23" s="12">
        <f t="shared" si="8"/>
        <v>10271.650571049664</v>
      </c>
      <c r="AS23" s="12">
        <f t="shared" si="8"/>
        <v>10785.233099602148</v>
      </c>
      <c r="AT23" s="12">
        <f t="shared" si="8"/>
        <v>11324.494754582256</v>
      </c>
    </row>
    <row r="24" spans="2:84" s="9" customFormat="1">
      <c r="B24" s="9" t="s">
        <v>25</v>
      </c>
      <c r="C24" s="10"/>
      <c r="D24" s="10"/>
      <c r="E24" s="10"/>
      <c r="F24" s="10"/>
      <c r="G24" s="10">
        <v>738.6</v>
      </c>
      <c r="H24" s="10">
        <v>689.8</v>
      </c>
      <c r="I24" s="10">
        <v>728.4</v>
      </c>
      <c r="J24" s="10">
        <v>1673.5</v>
      </c>
      <c r="K24" s="10">
        <v>946.7</v>
      </c>
      <c r="L24" s="10">
        <v>862.5</v>
      </c>
      <c r="M24" s="10">
        <v>978</v>
      </c>
      <c r="N24" s="10">
        <v>1875.7</v>
      </c>
      <c r="O24" s="10">
        <v>1079.9000000000001</v>
      </c>
      <c r="P24" s="26">
        <f>P23*0.78</f>
        <v>969.20460000000014</v>
      </c>
      <c r="Q24" s="10">
        <f>Q23*0.78</f>
        <v>1061.9154000000003</v>
      </c>
      <c r="R24" s="10">
        <f>R23*0.78</f>
        <v>1845.9441000000002</v>
      </c>
      <c r="S24" s="10"/>
      <c r="T24" s="10"/>
      <c r="U24" s="10"/>
      <c r="V24" s="10"/>
      <c r="W24" s="10"/>
      <c r="AB24" s="10">
        <v>6378.4</v>
      </c>
      <c r="AC24" s="10">
        <v>6520.1</v>
      </c>
      <c r="AD24" s="10">
        <v>6445.5</v>
      </c>
      <c r="AE24" s="10">
        <v>5598.6</v>
      </c>
      <c r="AF24" s="10">
        <v>6062.2</v>
      </c>
      <c r="AG24" s="10">
        <v>5977.2</v>
      </c>
      <c r="AH24" s="10">
        <v>4557.3</v>
      </c>
      <c r="AI24" s="10">
        <v>3830.3</v>
      </c>
      <c r="AJ24" s="10">
        <v>4662.8999999999996</v>
      </c>
      <c r="AK24" s="10">
        <f>AK23*0.77</f>
        <v>4888.7261500000004</v>
      </c>
      <c r="AL24" s="10">
        <f>AL23*0.76</f>
        <v>5307.7598200000011</v>
      </c>
      <c r="AM24" s="10">
        <f>AM23*0.76</f>
        <v>5838.5358020000012</v>
      </c>
      <c r="AN24" s="10">
        <f>AN23*0.75</f>
        <v>6337.8842587500021</v>
      </c>
      <c r="AO24" s="10">
        <f>AO23*0.75</f>
        <v>6654.778471687503</v>
      </c>
      <c r="AP24" s="10">
        <f>AP23*0.74</f>
        <v>6894.350496668254</v>
      </c>
      <c r="AQ24" s="10">
        <f>AQ23*0.74</f>
        <v>7239.0680215016673</v>
      </c>
      <c r="AR24" s="10">
        <f>AR23*0.73</f>
        <v>7498.3049168662546</v>
      </c>
      <c r="AS24" s="10">
        <f>AS23*0.73</f>
        <v>7873.2201627095683</v>
      </c>
      <c r="AT24" s="10">
        <f>AT23*0.72</f>
        <v>8153.6362232992242</v>
      </c>
    </row>
    <row r="25" spans="2:84" s="9" customFormat="1">
      <c r="B25" s="9" t="s">
        <v>24</v>
      </c>
      <c r="C25" s="10"/>
      <c r="D25" s="10"/>
      <c r="E25" s="10"/>
      <c r="F25" s="10"/>
      <c r="G25" s="10">
        <f t="shared" ref="G25" si="9">G23-G24</f>
        <v>282.39999999999998</v>
      </c>
      <c r="H25" s="10">
        <f>H23-H24</f>
        <v>252.20000000000005</v>
      </c>
      <c r="I25" s="10">
        <f>I23-I24</f>
        <v>276.29999999999995</v>
      </c>
      <c r="J25" s="10">
        <f>J23-J24</f>
        <v>448.59999999999991</v>
      </c>
      <c r="K25" s="10">
        <f>K23-K24</f>
        <v>330.10000000000014</v>
      </c>
      <c r="L25" s="10">
        <f t="shared" ref="L25" si="10">L23-L24</f>
        <v>320.90000000000009</v>
      </c>
      <c r="M25" s="10">
        <f t="shared" ref="M25" si="11">M23-M24</f>
        <v>318.60000000000014</v>
      </c>
      <c r="N25" s="10">
        <f>N23-N24</f>
        <v>378.20000000000005</v>
      </c>
      <c r="O25" s="10">
        <f>O23-O24</f>
        <v>298.5</v>
      </c>
      <c r="P25" s="26">
        <f t="shared" ref="P25:R25" si="12">P23-P24</f>
        <v>273.36540000000002</v>
      </c>
      <c r="Q25" s="10">
        <f t="shared" si="12"/>
        <v>299.51459999999997</v>
      </c>
      <c r="R25" s="10">
        <f t="shared" si="12"/>
        <v>520.65090000000009</v>
      </c>
      <c r="S25" s="10"/>
      <c r="T25" s="10"/>
      <c r="U25" s="10"/>
      <c r="V25" s="10"/>
      <c r="W25" s="10"/>
      <c r="AB25" s="10">
        <f t="shared" ref="AB25" si="13">AB23-AB24</f>
        <v>2661.1000000000004</v>
      </c>
      <c r="AC25" s="10">
        <f t="shared" ref="AC25" si="14">AC23-AC24</f>
        <v>2775.8999999999996</v>
      </c>
      <c r="AD25" s="10">
        <f t="shared" ref="AD25" si="15">AD23-AD24</f>
        <v>2918.2999999999993</v>
      </c>
      <c r="AE25" s="10">
        <f t="shared" ref="AE25:AF25" si="16">AE23-AE24</f>
        <v>3009.2999999999993</v>
      </c>
      <c r="AF25" s="10">
        <f t="shared" si="16"/>
        <v>2484.8999999999987</v>
      </c>
      <c r="AG25" s="10">
        <f>AG23-AG24</f>
        <v>2308.0999999999995</v>
      </c>
      <c r="AH25" s="10">
        <f t="shared" ref="AH25" si="17">AH23-AH24</f>
        <v>1908.6999999999998</v>
      </c>
      <c r="AI25" s="10">
        <f>AI23-AI24</f>
        <v>1259.4999999999991</v>
      </c>
      <c r="AJ25" s="10">
        <f>AJ23-AJ24</f>
        <v>1347.8000000000002</v>
      </c>
      <c r="AK25" s="10">
        <f t="shared" ref="AK25:AT25" si="18">AK23-AK24</f>
        <v>1460.2688500000004</v>
      </c>
      <c r="AL25" s="10">
        <f t="shared" si="18"/>
        <v>1676.1346800000001</v>
      </c>
      <c r="AM25" s="10">
        <f t="shared" si="18"/>
        <v>1843.7481480000006</v>
      </c>
      <c r="AN25" s="10">
        <f t="shared" si="18"/>
        <v>2112.6280862500007</v>
      </c>
      <c r="AO25" s="10">
        <f t="shared" si="18"/>
        <v>2218.259490562501</v>
      </c>
      <c r="AP25" s="10">
        <f t="shared" si="18"/>
        <v>2422.339363694251</v>
      </c>
      <c r="AQ25" s="10">
        <f t="shared" si="18"/>
        <v>2543.4563318789642</v>
      </c>
      <c r="AR25" s="10">
        <f t="shared" si="18"/>
        <v>2773.3456541834094</v>
      </c>
      <c r="AS25" s="10">
        <f t="shared" si="18"/>
        <v>2912.01293689258</v>
      </c>
      <c r="AT25" s="10">
        <f t="shared" si="18"/>
        <v>3170.8585312830319</v>
      </c>
    </row>
    <row r="26" spans="2:84" s="9" customFormat="1">
      <c r="B26" s="9" t="s">
        <v>26</v>
      </c>
      <c r="C26" s="10"/>
      <c r="D26" s="10"/>
      <c r="E26" s="10"/>
      <c r="F26" s="10"/>
      <c r="G26" s="10">
        <v>386.5</v>
      </c>
      <c r="H26" s="10">
        <v>348.2</v>
      </c>
      <c r="I26" s="10">
        <v>360.4</v>
      </c>
      <c r="J26" s="10">
        <v>419.1</v>
      </c>
      <c r="K26" s="10">
        <v>370.3</v>
      </c>
      <c r="L26" s="10">
        <v>378.9</v>
      </c>
      <c r="M26" s="10">
        <v>421.5</v>
      </c>
      <c r="N26" s="10">
        <v>538.9</v>
      </c>
      <c r="O26" s="10">
        <v>452.2</v>
      </c>
      <c r="P26" s="26">
        <f>L26</f>
        <v>378.9</v>
      </c>
      <c r="Q26" s="10">
        <f t="shared" ref="Q26:R26" si="19">M26</f>
        <v>421.5</v>
      </c>
      <c r="R26" s="10">
        <f t="shared" si="19"/>
        <v>538.9</v>
      </c>
      <c r="S26" s="10"/>
      <c r="T26" s="10"/>
      <c r="U26" s="10"/>
      <c r="V26" s="10"/>
      <c r="W26" s="10"/>
      <c r="AB26" s="10">
        <v>1892.4</v>
      </c>
      <c r="AC26" s="10">
        <v>2001</v>
      </c>
      <c r="AD26" s="10">
        <v>2108.9</v>
      </c>
      <c r="AE26" s="10">
        <v>2252.6</v>
      </c>
      <c r="AF26" s="10">
        <v>1909.6</v>
      </c>
      <c r="AG26" s="10">
        <v>1994.2</v>
      </c>
      <c r="AH26" s="10">
        <v>1922.7</v>
      </c>
      <c r="AI26" s="10">
        <v>1514.2</v>
      </c>
      <c r="AJ26" s="10">
        <v>1709.6</v>
      </c>
      <c r="AK26" s="10">
        <f>AJ26*0.99</f>
        <v>1692.5039999999999</v>
      </c>
      <c r="AL26" s="10">
        <f t="shared" ref="AL26:AO26" si="20">AK26*0.99</f>
        <v>1675.5789599999998</v>
      </c>
      <c r="AM26" s="10">
        <f t="shared" si="20"/>
        <v>1658.8231703999998</v>
      </c>
      <c r="AN26" s="10">
        <f t="shared" si="20"/>
        <v>1642.2349386959997</v>
      </c>
      <c r="AO26" s="10">
        <f t="shared" si="20"/>
        <v>1625.8125893090398</v>
      </c>
      <c r="AP26" s="10">
        <f>AO26*1.03</f>
        <v>1674.5869669883111</v>
      </c>
      <c r="AQ26" s="10">
        <f t="shared" ref="AQ26:AT26" si="21">AP26*1.03</f>
        <v>1724.8245759979604</v>
      </c>
      <c r="AR26" s="10">
        <f t="shared" si="21"/>
        <v>1776.5693132778993</v>
      </c>
      <c r="AS26" s="10">
        <f t="shared" si="21"/>
        <v>1829.8663926762363</v>
      </c>
      <c r="AT26" s="10">
        <f t="shared" si="21"/>
        <v>1884.7623844565235</v>
      </c>
    </row>
    <row r="27" spans="2:84" s="9" customFormat="1">
      <c r="B27" s="9" t="s">
        <v>27</v>
      </c>
      <c r="C27" s="10"/>
      <c r="D27" s="10"/>
      <c r="E27" s="10"/>
      <c r="F27" s="10"/>
      <c r="G27" s="10">
        <f t="shared" ref="G27" si="22">G25-G26</f>
        <v>-104.10000000000002</v>
      </c>
      <c r="H27" s="10">
        <f>H25-H26</f>
        <v>-95.999999999999943</v>
      </c>
      <c r="I27" s="10">
        <f>I25-I26</f>
        <v>-84.100000000000023</v>
      </c>
      <c r="J27" s="10">
        <f>J25-J26</f>
        <v>29.499999999999886</v>
      </c>
      <c r="K27" s="10">
        <f>K25-K26</f>
        <v>-40.199999999999875</v>
      </c>
      <c r="L27" s="10">
        <f t="shared" ref="L27" si="23">L25-L26</f>
        <v>-57.999999999999886</v>
      </c>
      <c r="M27" s="10">
        <f t="shared" ref="M27" si="24">M25-M26</f>
        <v>-102.89999999999986</v>
      </c>
      <c r="N27" s="10">
        <f>N25-N26</f>
        <v>-160.69999999999993</v>
      </c>
      <c r="O27" s="10">
        <f>O25-O26</f>
        <v>-153.69999999999999</v>
      </c>
      <c r="P27" s="26">
        <f t="shared" ref="P27:R27" si="25">P25-P26</f>
        <v>-105.53459999999995</v>
      </c>
      <c r="Q27" s="10">
        <f t="shared" si="25"/>
        <v>-121.98540000000003</v>
      </c>
      <c r="R27" s="10">
        <f t="shared" si="25"/>
        <v>-18.249099999999885</v>
      </c>
      <c r="S27" s="10"/>
      <c r="T27" s="10"/>
      <c r="U27" s="10"/>
      <c r="V27" s="10"/>
      <c r="W27" s="10"/>
      <c r="AB27" s="10">
        <f t="shared" ref="AB27" si="26">AB25-AB26</f>
        <v>768.70000000000027</v>
      </c>
      <c r="AC27" s="10">
        <f t="shared" ref="AC27" si="27">AC25-AC26</f>
        <v>774.89999999999964</v>
      </c>
      <c r="AD27" s="10">
        <f t="shared" ref="AD27" si="28">AD25-AD26</f>
        <v>809.39999999999918</v>
      </c>
      <c r="AE27" s="10">
        <f t="shared" ref="AE27:AF27" si="29">AE25-AE26</f>
        <v>756.69999999999936</v>
      </c>
      <c r="AF27" s="10">
        <f t="shared" si="29"/>
        <v>575.29999999999882</v>
      </c>
      <c r="AG27" s="10">
        <f>AG25-AG26</f>
        <v>313.89999999999941</v>
      </c>
      <c r="AH27" s="10">
        <f t="shared" ref="AH27" si="30">AH25-AH26</f>
        <v>-14.000000000000227</v>
      </c>
      <c r="AI27" s="10">
        <f>AI25-AI26</f>
        <v>-254.70000000000095</v>
      </c>
      <c r="AJ27" s="10">
        <f>AJ25-AJ26</f>
        <v>-361.79999999999973</v>
      </c>
      <c r="AK27" s="10">
        <f t="shared" ref="AK27:AT27" si="31">AK25-AK26</f>
        <v>-232.23514999999952</v>
      </c>
      <c r="AL27" s="10">
        <f t="shared" si="31"/>
        <v>0.5557200000002922</v>
      </c>
      <c r="AM27" s="10">
        <f t="shared" si="31"/>
        <v>184.92497760000083</v>
      </c>
      <c r="AN27" s="10">
        <f t="shared" si="31"/>
        <v>470.39314755400096</v>
      </c>
      <c r="AO27" s="10">
        <f t="shared" si="31"/>
        <v>592.44690125346119</v>
      </c>
      <c r="AP27" s="10">
        <f t="shared" si="31"/>
        <v>747.75239670593987</v>
      </c>
      <c r="AQ27" s="10">
        <f t="shared" si="31"/>
        <v>818.63175588100376</v>
      </c>
      <c r="AR27" s="10">
        <f t="shared" si="31"/>
        <v>996.7763409055101</v>
      </c>
      <c r="AS27" s="10">
        <f t="shared" si="31"/>
        <v>1082.1465442163437</v>
      </c>
      <c r="AT27" s="10">
        <f t="shared" si="31"/>
        <v>1286.0961468265084</v>
      </c>
    </row>
    <row r="28" spans="2:84" s="9" customFormat="1">
      <c r="B28" s="9" t="s">
        <v>28</v>
      </c>
      <c r="C28" s="10"/>
      <c r="D28" s="10"/>
      <c r="E28" s="10"/>
      <c r="F28" s="10"/>
      <c r="G28" s="10">
        <v>-6.7</v>
      </c>
      <c r="H28" s="10">
        <v>-7.5</v>
      </c>
      <c r="I28" s="10">
        <v>-9.6999999999999993</v>
      </c>
      <c r="J28" s="10">
        <v>-8.1999999999999993</v>
      </c>
      <c r="K28" s="10">
        <v>-24.7</v>
      </c>
      <c r="L28" s="10">
        <v>-0.5</v>
      </c>
      <c r="M28" s="10">
        <v>-0.8</v>
      </c>
      <c r="N28" s="10">
        <v>-0.9</v>
      </c>
      <c r="O28" s="10">
        <v>-0.7</v>
      </c>
      <c r="P28" s="26">
        <f>O28</f>
        <v>-0.7</v>
      </c>
      <c r="Q28" s="10">
        <f t="shared" ref="Q28:R28" si="32">P28</f>
        <v>-0.7</v>
      </c>
      <c r="R28" s="10">
        <f t="shared" si="32"/>
        <v>-0.7</v>
      </c>
      <c r="S28" s="10"/>
      <c r="T28" s="10"/>
      <c r="U28" s="10"/>
      <c r="V28" s="10"/>
      <c r="W28" s="10"/>
      <c r="AB28" s="10">
        <v>-4.7</v>
      </c>
      <c r="AC28" s="10">
        <v>-10</v>
      </c>
      <c r="AD28" s="10">
        <v>-23</v>
      </c>
      <c r="AE28" s="10">
        <v>-53</v>
      </c>
      <c r="AF28" s="10">
        <v>-55.3</v>
      </c>
      <c r="AG28" s="10">
        <v>-51.1</v>
      </c>
      <c r="AH28" s="10">
        <v>-27.2</v>
      </c>
      <c r="AI28" s="10">
        <v>-32.1</v>
      </c>
      <c r="AJ28" s="10">
        <v>-26.9</v>
      </c>
      <c r="AK28" s="10">
        <f t="shared" ref="AK28:AT28" si="33">AJ43*$AX$66</f>
        <v>16.714617999999998</v>
      </c>
      <c r="AL28" s="10">
        <f t="shared" si="33"/>
        <v>12.404207360000008</v>
      </c>
      <c r="AM28" s="10">
        <f t="shared" si="33"/>
        <v>12.663405907200014</v>
      </c>
      <c r="AN28" s="10">
        <f t="shared" si="33"/>
        <v>16.615173577344031</v>
      </c>
      <c r="AO28" s="10">
        <f t="shared" si="33"/>
        <v>26.35533999997093</v>
      </c>
      <c r="AP28" s="10">
        <f t="shared" si="33"/>
        <v>37.493780342532709</v>
      </c>
      <c r="AQ28" s="10">
        <f t="shared" si="33"/>
        <v>51.62821152940522</v>
      </c>
      <c r="AR28" s="10">
        <f t="shared" si="33"/>
        <v>65.552371007971757</v>
      </c>
      <c r="AS28" s="10">
        <f t="shared" si="33"/>
        <v>82.549630398587468</v>
      </c>
      <c r="AT28" s="10">
        <f t="shared" si="33"/>
        <v>100.02007301781146</v>
      </c>
    </row>
    <row r="29" spans="2:84" s="9" customFormat="1">
      <c r="B29" s="9" t="s">
        <v>29</v>
      </c>
      <c r="C29" s="10"/>
      <c r="D29" s="10"/>
      <c r="E29" s="10"/>
      <c r="F29" s="10"/>
      <c r="G29" s="10">
        <f t="shared" ref="G29" si="34">G27+G28</f>
        <v>-110.80000000000003</v>
      </c>
      <c r="H29" s="10">
        <f>H27+H28</f>
        <v>-103.49999999999994</v>
      </c>
      <c r="I29" s="10">
        <f>I27+I28</f>
        <v>-93.800000000000026</v>
      </c>
      <c r="J29" s="10">
        <f>J27+J28</f>
        <v>21.299999999999887</v>
      </c>
      <c r="K29" s="10">
        <f>K27+K28</f>
        <v>-64.899999999999878</v>
      </c>
      <c r="L29" s="10">
        <f t="shared" ref="L29" si="35">L27+L28</f>
        <v>-58.499999999999886</v>
      </c>
      <c r="M29" s="10">
        <f t="shared" ref="M29" si="36">M27+M28</f>
        <v>-103.69999999999986</v>
      </c>
      <c r="N29" s="10">
        <f>N27+N28</f>
        <v>-161.59999999999994</v>
      </c>
      <c r="O29" s="10">
        <f>O27+O28</f>
        <v>-154.39999999999998</v>
      </c>
      <c r="P29" s="26">
        <f t="shared" ref="P29:R29" si="37">P27+P28</f>
        <v>-106.23459999999996</v>
      </c>
      <c r="Q29" s="10">
        <f t="shared" si="37"/>
        <v>-122.68540000000003</v>
      </c>
      <c r="R29" s="10">
        <f t="shared" si="37"/>
        <v>-18.949099999999884</v>
      </c>
      <c r="S29" s="10"/>
      <c r="T29" s="10"/>
      <c r="U29" s="10"/>
      <c r="V29" s="10"/>
      <c r="W29" s="10"/>
      <c r="AB29" s="10">
        <f t="shared" ref="AB29" si="38">AB27+AB28</f>
        <v>764.00000000000023</v>
      </c>
      <c r="AC29" s="10">
        <f t="shared" ref="AC29" si="39">AC27+AC28</f>
        <v>764.89999999999964</v>
      </c>
      <c r="AD29" s="10">
        <f t="shared" ref="AD29" si="40">AD27+AD28</f>
        <v>786.39999999999918</v>
      </c>
      <c r="AE29" s="10">
        <f t="shared" ref="AE29:AF29" si="41">AE27+AE28</f>
        <v>703.69999999999936</v>
      </c>
      <c r="AF29" s="10">
        <f t="shared" si="41"/>
        <v>519.99999999999886</v>
      </c>
      <c r="AG29" s="10">
        <f t="shared" ref="AG29:AH29" si="42">AG27+AG28</f>
        <v>262.79999999999939</v>
      </c>
      <c r="AH29" s="10">
        <f t="shared" si="42"/>
        <v>-41.20000000000023</v>
      </c>
      <c r="AI29" s="10">
        <f t="shared" ref="AI29:AJ29" si="43">AI27+AI28</f>
        <v>-286.80000000000098</v>
      </c>
      <c r="AJ29" s="10">
        <f t="shared" si="43"/>
        <v>-388.6999999999997</v>
      </c>
      <c r="AK29" s="10">
        <f t="shared" ref="AK29" si="44">AK27+AK28</f>
        <v>-215.52053199999952</v>
      </c>
      <c r="AL29" s="10">
        <f t="shared" ref="AL29" si="45">AL27+AL28</f>
        <v>12.9599273600003</v>
      </c>
      <c r="AM29" s="10">
        <f t="shared" ref="AM29" si="46">AM27+AM28</f>
        <v>197.58838350720083</v>
      </c>
      <c r="AN29" s="10">
        <f t="shared" ref="AN29" si="47">AN27+AN28</f>
        <v>487.00832113134499</v>
      </c>
      <c r="AO29" s="10">
        <f t="shared" ref="AO29" si="48">AO27+AO28</f>
        <v>618.80224125343216</v>
      </c>
      <c r="AP29" s="10">
        <f t="shared" ref="AP29" si="49">AP27+AP28</f>
        <v>785.24617704847253</v>
      </c>
      <c r="AQ29" s="10">
        <f t="shared" ref="AQ29" si="50">AQ27+AQ28</f>
        <v>870.25996741040899</v>
      </c>
      <c r="AR29" s="10">
        <f t="shared" ref="AR29" si="51">AR27+AR28</f>
        <v>1062.3287119134818</v>
      </c>
      <c r="AS29" s="10">
        <f t="shared" ref="AS29" si="52">AS27+AS28</f>
        <v>1164.6961746149311</v>
      </c>
      <c r="AT29" s="10">
        <f t="shared" ref="AT29" si="53">AT27+AT28</f>
        <v>1386.1162198443199</v>
      </c>
    </row>
    <row r="30" spans="2:84" s="9" customFormat="1">
      <c r="B30" s="9" t="s">
        <v>31</v>
      </c>
      <c r="C30" s="10"/>
      <c r="D30" s="10"/>
      <c r="E30" s="10"/>
      <c r="F30" s="10"/>
      <c r="G30" s="10">
        <v>50.4</v>
      </c>
      <c r="H30" s="10">
        <v>17.899999999999999</v>
      </c>
      <c r="I30" s="10">
        <v>-53.9</v>
      </c>
      <c r="J30" s="10">
        <v>-69.7</v>
      </c>
      <c r="K30" s="10">
        <v>1.3</v>
      </c>
      <c r="L30" s="10">
        <v>3.1</v>
      </c>
      <c r="M30" s="10">
        <v>1.7</v>
      </c>
      <c r="N30" s="10">
        <v>-20.2</v>
      </c>
      <c r="O30" s="10">
        <v>3.5</v>
      </c>
      <c r="P30" s="26">
        <v>0</v>
      </c>
      <c r="Q30" s="10">
        <v>0</v>
      </c>
      <c r="R30" s="10">
        <v>0</v>
      </c>
      <c r="S30" s="10"/>
      <c r="T30" s="10"/>
      <c r="U30" s="10"/>
      <c r="V30" s="10"/>
      <c r="W30" s="10"/>
      <c r="AB30" s="10">
        <v>214.6</v>
      </c>
      <c r="AC30" s="10">
        <v>215.2</v>
      </c>
      <c r="AD30" s="10">
        <v>222.4</v>
      </c>
      <c r="AE30" s="10">
        <v>151.5</v>
      </c>
      <c r="AF30" s="10">
        <v>153.5</v>
      </c>
      <c r="AG30" s="10">
        <v>41.7</v>
      </c>
      <c r="AH30" s="10">
        <v>37.6</v>
      </c>
      <c r="AI30" s="10">
        <v>-55.3</v>
      </c>
      <c r="AJ30" s="10">
        <v>-14.1</v>
      </c>
      <c r="AK30" s="10">
        <v>0</v>
      </c>
      <c r="AL30" s="9">
        <v>0</v>
      </c>
      <c r="AM30" s="9">
        <v>0</v>
      </c>
      <c r="AN30" s="9">
        <v>0</v>
      </c>
      <c r="AO30" s="9">
        <f>AO29*0.1</f>
        <v>61.880224125343219</v>
      </c>
      <c r="AP30" s="9">
        <f t="shared" ref="AP30" si="54">AP29*0.1</f>
        <v>78.524617704847259</v>
      </c>
      <c r="AQ30" s="9">
        <f>AQ29*0.2</f>
        <v>174.0519934820818</v>
      </c>
      <c r="AR30" s="9">
        <f>AR29*0.2</f>
        <v>212.46574238269636</v>
      </c>
      <c r="AS30" s="9">
        <f>AS29*0.25</f>
        <v>291.17404365373278</v>
      </c>
      <c r="AT30" s="9">
        <f>AT29*0.25</f>
        <v>346.52905496107996</v>
      </c>
    </row>
    <row r="31" spans="2:84" s="9" customFormat="1">
      <c r="B31" s="9" t="s">
        <v>30</v>
      </c>
      <c r="C31" s="10"/>
      <c r="D31" s="10"/>
      <c r="E31" s="10"/>
      <c r="F31" s="10"/>
      <c r="G31" s="10">
        <f t="shared" ref="G31" si="55">G29-G30</f>
        <v>-161.20000000000002</v>
      </c>
      <c r="H31" s="10">
        <f>H29-H30</f>
        <v>-121.39999999999995</v>
      </c>
      <c r="I31" s="10">
        <f>I29-I30</f>
        <v>-39.900000000000027</v>
      </c>
      <c r="J31" s="10">
        <f>J29-J30</f>
        <v>90.999999999999886</v>
      </c>
      <c r="K31" s="10">
        <f>K29-K30</f>
        <v>-66.199999999999875</v>
      </c>
      <c r="L31" s="10">
        <f t="shared" ref="L31" si="56">L29-L30</f>
        <v>-61.599999999999888</v>
      </c>
      <c r="M31" s="10">
        <f t="shared" ref="M31" si="57">M29-M30</f>
        <v>-105.39999999999986</v>
      </c>
      <c r="N31" s="10">
        <f>N29-N30</f>
        <v>-141.39999999999995</v>
      </c>
      <c r="O31" s="10">
        <f>O29-O30</f>
        <v>-157.89999999999998</v>
      </c>
      <c r="P31" s="26">
        <f t="shared" ref="P31:R31" si="58">P29-P30</f>
        <v>-106.23459999999996</v>
      </c>
      <c r="Q31" s="10">
        <f t="shared" si="58"/>
        <v>-122.68540000000003</v>
      </c>
      <c r="R31" s="10">
        <f t="shared" si="58"/>
        <v>-18.949099999999884</v>
      </c>
      <c r="S31" s="10"/>
      <c r="T31" s="10"/>
      <c r="U31" s="10"/>
      <c r="V31" s="10"/>
      <c r="W31" s="10"/>
      <c r="AB31" s="10">
        <f t="shared" ref="AB31" si="59">AB29-AB30</f>
        <v>549.4000000000002</v>
      </c>
      <c r="AC31" s="10">
        <f t="shared" ref="AC31" si="60">AC29-AC30</f>
        <v>549.69999999999959</v>
      </c>
      <c r="AD31" s="10">
        <f t="shared" ref="AD31" si="61">AD29-AD30</f>
        <v>563.9999999999992</v>
      </c>
      <c r="AE31" s="10">
        <f t="shared" ref="AE31:AF31" si="62">AE29-AE30</f>
        <v>552.19999999999936</v>
      </c>
      <c r="AF31" s="10">
        <f t="shared" si="62"/>
        <v>366.49999999999886</v>
      </c>
      <c r="AG31" s="10">
        <f t="shared" ref="AG31:AH31" si="63">AG29-AG30</f>
        <v>221.0999999999994</v>
      </c>
      <c r="AH31" s="10">
        <f t="shared" si="63"/>
        <v>-78.800000000000239</v>
      </c>
      <c r="AI31" s="10">
        <f>AI29-AI30</f>
        <v>-231.50000000000097</v>
      </c>
      <c r="AJ31" s="10">
        <f>AJ29-AJ30</f>
        <v>-374.59999999999968</v>
      </c>
      <c r="AK31" s="10">
        <f t="shared" ref="AK31:AT31" si="64">AK29-AK30</f>
        <v>-215.52053199999952</v>
      </c>
      <c r="AL31" s="10">
        <f t="shared" si="64"/>
        <v>12.9599273600003</v>
      </c>
      <c r="AM31" s="10">
        <f t="shared" si="64"/>
        <v>197.58838350720083</v>
      </c>
      <c r="AN31" s="10">
        <f t="shared" si="64"/>
        <v>487.00832113134499</v>
      </c>
      <c r="AO31" s="10">
        <f t="shared" si="64"/>
        <v>556.9220171280889</v>
      </c>
      <c r="AP31" s="10">
        <f t="shared" si="64"/>
        <v>706.72155934362524</v>
      </c>
      <c r="AQ31" s="10">
        <f t="shared" si="64"/>
        <v>696.20797392832719</v>
      </c>
      <c r="AR31" s="10">
        <f t="shared" si="64"/>
        <v>849.86296953078545</v>
      </c>
      <c r="AS31" s="10">
        <f t="shared" si="64"/>
        <v>873.5221309611984</v>
      </c>
      <c r="AT31" s="10">
        <f t="shared" si="64"/>
        <v>1039.5871648832399</v>
      </c>
      <c r="AU31" s="9">
        <f t="shared" ref="AU31:CF31" si="65">AT31*(1+$AX$65)</f>
        <v>1039.5871648832399</v>
      </c>
      <c r="AV31" s="9">
        <f t="shared" si="65"/>
        <v>1039.5871648832399</v>
      </c>
      <c r="AW31" s="9">
        <f t="shared" si="65"/>
        <v>1039.5871648832399</v>
      </c>
      <c r="AX31" s="9">
        <f t="shared" si="65"/>
        <v>1039.5871648832399</v>
      </c>
      <c r="AY31" s="9">
        <f t="shared" si="65"/>
        <v>1039.5871648832399</v>
      </c>
      <c r="AZ31" s="9">
        <f t="shared" si="65"/>
        <v>1039.5871648832399</v>
      </c>
      <c r="BA31" s="9">
        <f t="shared" si="65"/>
        <v>1039.5871648832399</v>
      </c>
      <c r="BB31" s="9">
        <f t="shared" si="65"/>
        <v>1039.5871648832399</v>
      </c>
      <c r="BC31" s="9">
        <f t="shared" si="65"/>
        <v>1039.5871648832399</v>
      </c>
      <c r="BD31" s="9">
        <f t="shared" si="65"/>
        <v>1039.5871648832399</v>
      </c>
      <c r="BE31" s="9">
        <f t="shared" si="65"/>
        <v>1039.5871648832399</v>
      </c>
      <c r="BF31" s="9">
        <f t="shared" si="65"/>
        <v>1039.5871648832399</v>
      </c>
      <c r="BG31" s="9">
        <f t="shared" si="65"/>
        <v>1039.5871648832399</v>
      </c>
      <c r="BH31" s="9">
        <f t="shared" si="65"/>
        <v>1039.5871648832399</v>
      </c>
      <c r="BI31" s="9">
        <f t="shared" si="65"/>
        <v>1039.5871648832399</v>
      </c>
      <c r="BJ31" s="9">
        <f t="shared" si="65"/>
        <v>1039.5871648832399</v>
      </c>
      <c r="BK31" s="9">
        <f t="shared" si="65"/>
        <v>1039.5871648832399</v>
      </c>
      <c r="BL31" s="9">
        <f t="shared" si="65"/>
        <v>1039.5871648832399</v>
      </c>
      <c r="BM31" s="9">
        <f t="shared" si="65"/>
        <v>1039.5871648832399</v>
      </c>
      <c r="BN31" s="9">
        <f t="shared" si="65"/>
        <v>1039.5871648832399</v>
      </c>
      <c r="BO31" s="9">
        <f t="shared" si="65"/>
        <v>1039.5871648832399</v>
      </c>
      <c r="BP31" s="9">
        <f t="shared" si="65"/>
        <v>1039.5871648832399</v>
      </c>
      <c r="BQ31" s="9">
        <f t="shared" si="65"/>
        <v>1039.5871648832399</v>
      </c>
      <c r="BR31" s="9">
        <f t="shared" si="65"/>
        <v>1039.5871648832399</v>
      </c>
      <c r="BS31" s="9">
        <f t="shared" si="65"/>
        <v>1039.5871648832399</v>
      </c>
      <c r="BT31" s="9">
        <f t="shared" si="65"/>
        <v>1039.5871648832399</v>
      </c>
      <c r="BU31" s="9">
        <f t="shared" si="65"/>
        <v>1039.5871648832399</v>
      </c>
      <c r="BV31" s="9">
        <f t="shared" si="65"/>
        <v>1039.5871648832399</v>
      </c>
      <c r="BW31" s="9">
        <f t="shared" si="65"/>
        <v>1039.5871648832399</v>
      </c>
      <c r="BX31" s="9">
        <f t="shared" si="65"/>
        <v>1039.5871648832399</v>
      </c>
      <c r="BY31" s="9">
        <f t="shared" si="65"/>
        <v>1039.5871648832399</v>
      </c>
      <c r="BZ31" s="9">
        <f t="shared" si="65"/>
        <v>1039.5871648832399</v>
      </c>
      <c r="CA31" s="9">
        <f t="shared" si="65"/>
        <v>1039.5871648832399</v>
      </c>
      <c r="CB31" s="9">
        <f t="shared" si="65"/>
        <v>1039.5871648832399</v>
      </c>
      <c r="CC31" s="9">
        <f t="shared" si="65"/>
        <v>1039.5871648832399</v>
      </c>
      <c r="CD31" s="9">
        <f t="shared" si="65"/>
        <v>1039.5871648832399</v>
      </c>
      <c r="CE31" s="9">
        <f t="shared" si="65"/>
        <v>1039.5871648832399</v>
      </c>
      <c r="CF31" s="9">
        <f t="shared" si="65"/>
        <v>1039.5871648832399</v>
      </c>
    </row>
    <row r="32" spans="2:84">
      <c r="B32" s="5" t="s">
        <v>32</v>
      </c>
      <c r="G32" s="14">
        <f t="shared" ref="G32" si="66">G31/G33</f>
        <v>-2.4992248062015507</v>
      </c>
      <c r="H32" s="14">
        <f>H31/H33</f>
        <v>-1.8676923076923069</v>
      </c>
      <c r="I32" s="14">
        <f>I31/I33</f>
        <v>-0.61196319018404943</v>
      </c>
      <c r="J32" s="14">
        <f>J31/J33</f>
        <v>1.3421828908554556</v>
      </c>
      <c r="K32" s="14">
        <f>K31/K33</f>
        <v>-1.0030303030303012</v>
      </c>
      <c r="L32" s="14">
        <f t="shared" ref="L32" si="67">L31/L33</f>
        <v>-0.84848484848484695</v>
      </c>
      <c r="M32" s="14">
        <f t="shared" ref="M32" si="68">M31/M33</f>
        <v>-1.388669301712778</v>
      </c>
      <c r="N32" s="14">
        <f>N31/N33</f>
        <v>-1.862977602108036</v>
      </c>
      <c r="O32" s="14">
        <f>O31/O33</f>
        <v>-2.0803689064558624</v>
      </c>
      <c r="P32" s="28">
        <f t="shared" ref="P32:R32" si="69">P31/P33</f>
        <v>-1.3996653491436093</v>
      </c>
      <c r="Q32" s="14">
        <f t="shared" si="69"/>
        <v>-1.6164084321475629</v>
      </c>
      <c r="R32" s="14">
        <f t="shared" si="69"/>
        <v>-0.2496587615283252</v>
      </c>
      <c r="S32" s="14"/>
      <c r="T32" s="14"/>
      <c r="U32" s="14"/>
      <c r="V32" s="14"/>
      <c r="W32" s="14"/>
      <c r="AB32" s="14">
        <f t="shared" ref="AB32" si="70">AB31/AB33</f>
        <v>4.6402027027027044</v>
      </c>
      <c r="AC32" s="14">
        <f t="shared" ref="AC32" si="71">AC31/AC33</f>
        <v>4.8560070671378055</v>
      </c>
      <c r="AD32" s="14">
        <f t="shared" ref="AD32" si="72">AD31/AD33</f>
        <v>5.2858481724461033</v>
      </c>
      <c r="AE32" s="14">
        <f t="shared" ref="AE32:AF32" si="73">AE31/AE33</f>
        <v>5.3198458574181053</v>
      </c>
      <c r="AF32" s="14">
        <f t="shared" si="73"/>
        <v>3.6108374384236339</v>
      </c>
      <c r="AG32" s="14">
        <f t="shared" ref="AG32:AH32" si="74">AG31/AG33</f>
        <v>2.1655239960822663</v>
      </c>
      <c r="AH32" s="14">
        <f t="shared" si="74"/>
        <v>-0.90057142857143135</v>
      </c>
      <c r="AI32" s="14">
        <f>AI31/AI33</f>
        <v>-3.5615384615384764</v>
      </c>
      <c r="AJ32" s="14">
        <f>AJ31/AJ33</f>
        <v>-5.1597796143250649</v>
      </c>
      <c r="AK32" s="14">
        <f t="shared" ref="AK32:AT32" si="75">AK31/AK33</f>
        <v>-2.9686023691459993</v>
      </c>
      <c r="AL32" s="14">
        <f t="shared" si="75"/>
        <v>0.17851139614325484</v>
      </c>
      <c r="AM32" s="14">
        <f t="shared" si="75"/>
        <v>2.7216030786115821</v>
      </c>
      <c r="AN32" s="14">
        <f t="shared" si="75"/>
        <v>6.7081035968504823</v>
      </c>
      <c r="AO32" s="14">
        <f t="shared" si="75"/>
        <v>7.6711021642987456</v>
      </c>
      <c r="AP32" s="14">
        <f t="shared" si="75"/>
        <v>9.7344567402703213</v>
      </c>
      <c r="AQ32" s="14">
        <f t="shared" si="75"/>
        <v>9.5896415141642866</v>
      </c>
      <c r="AR32" s="14">
        <f t="shared" si="75"/>
        <v>11.706101508688505</v>
      </c>
      <c r="AS32" s="14">
        <f t="shared" si="75"/>
        <v>12.031985274947637</v>
      </c>
      <c r="AT32" s="14">
        <f t="shared" si="75"/>
        <v>14.319382436408263</v>
      </c>
    </row>
    <row r="33" spans="2:46" s="9" customFormat="1">
      <c r="B33" s="9" t="s">
        <v>1</v>
      </c>
      <c r="C33" s="10"/>
      <c r="D33" s="10"/>
      <c r="E33" s="10"/>
      <c r="F33" s="10"/>
      <c r="G33" s="10">
        <v>64.5</v>
      </c>
      <c r="H33" s="10">
        <v>65</v>
      </c>
      <c r="I33" s="10">
        <v>65.2</v>
      </c>
      <c r="J33" s="10">
        <v>67.8</v>
      </c>
      <c r="K33" s="10">
        <v>66</v>
      </c>
      <c r="L33" s="10">
        <v>72.599999999999994</v>
      </c>
      <c r="M33" s="10">
        <v>75.900000000000006</v>
      </c>
      <c r="N33" s="10">
        <v>75.900000000000006</v>
      </c>
      <c r="O33" s="10">
        <v>75.900000000000006</v>
      </c>
      <c r="P33" s="26">
        <f>O33</f>
        <v>75.900000000000006</v>
      </c>
      <c r="Q33" s="10">
        <f>P33</f>
        <v>75.900000000000006</v>
      </c>
      <c r="R33" s="10">
        <f>Q33</f>
        <v>75.900000000000006</v>
      </c>
      <c r="S33" s="10"/>
      <c r="T33" s="10"/>
      <c r="U33" s="10"/>
      <c r="V33" s="10"/>
      <c r="W33" s="10"/>
      <c r="AB33" s="10">
        <v>118.4</v>
      </c>
      <c r="AC33" s="10">
        <v>113.2</v>
      </c>
      <c r="AD33" s="10">
        <v>106.7</v>
      </c>
      <c r="AE33" s="10">
        <v>103.8</v>
      </c>
      <c r="AF33" s="10">
        <v>101.5</v>
      </c>
      <c r="AG33" s="10">
        <v>102.1</v>
      </c>
      <c r="AH33" s="10">
        <v>87.5</v>
      </c>
      <c r="AI33" s="10">
        <v>65</v>
      </c>
      <c r="AJ33" s="10">
        <v>72.599999999999994</v>
      </c>
      <c r="AK33" s="10">
        <f>AJ33</f>
        <v>72.599999999999994</v>
      </c>
      <c r="AL33" s="10">
        <f t="shared" ref="AL33:AT33" si="76">AK33</f>
        <v>72.599999999999994</v>
      </c>
      <c r="AM33" s="10">
        <f t="shared" si="76"/>
        <v>72.599999999999994</v>
      </c>
      <c r="AN33" s="10">
        <f t="shared" si="76"/>
        <v>72.599999999999994</v>
      </c>
      <c r="AO33" s="10">
        <f t="shared" si="76"/>
        <v>72.599999999999994</v>
      </c>
      <c r="AP33" s="10">
        <f t="shared" si="76"/>
        <v>72.599999999999994</v>
      </c>
      <c r="AQ33" s="10">
        <f t="shared" si="76"/>
        <v>72.599999999999994</v>
      </c>
      <c r="AR33" s="10">
        <f t="shared" si="76"/>
        <v>72.599999999999994</v>
      </c>
      <c r="AS33" s="10">
        <f t="shared" si="76"/>
        <v>72.599999999999994</v>
      </c>
      <c r="AT33" s="10">
        <f t="shared" si="76"/>
        <v>72.599999999999994</v>
      </c>
    </row>
    <row r="34" spans="2:46">
      <c r="AF34" s="6"/>
      <c r="AG34" s="6"/>
      <c r="AH34" s="6"/>
    </row>
    <row r="35" spans="2:46" s="17" customFormat="1">
      <c r="B35" s="12" t="s">
        <v>33</v>
      </c>
      <c r="C35" s="15"/>
      <c r="D35" s="15"/>
      <c r="E35" s="15"/>
      <c r="F35" s="15"/>
      <c r="G35" s="15"/>
      <c r="H35" s="15"/>
      <c r="I35" s="15"/>
      <c r="J35" s="15"/>
      <c r="K35" s="16">
        <f>K23/G23-1</f>
        <v>0.25053868756121478</v>
      </c>
      <c r="L35" s="16">
        <f>L23/H23-1</f>
        <v>0.25626326963906587</v>
      </c>
      <c r="M35" s="16">
        <f>M23/I23-1</f>
        <v>0.29053448790683811</v>
      </c>
      <c r="N35" s="16">
        <f>N23/J23-1</f>
        <v>6.2108288959050073E-2</v>
      </c>
      <c r="O35" s="16">
        <f>O23/K23-1</f>
        <v>7.9573934837092741E-2</v>
      </c>
      <c r="P35" s="29">
        <f t="shared" ref="P35:R35" si="77">P23/L23-1</f>
        <v>5.0000000000000044E-2</v>
      </c>
      <c r="Q35" s="16">
        <f t="shared" si="77"/>
        <v>5.0000000000000044E-2</v>
      </c>
      <c r="R35" s="16">
        <f t="shared" si="77"/>
        <v>5.0000000000000044E-2</v>
      </c>
      <c r="S35" s="16"/>
      <c r="T35" s="16"/>
      <c r="U35" s="16"/>
      <c r="V35" s="16"/>
      <c r="W35" s="16"/>
      <c r="AB35" s="15"/>
      <c r="AC35" s="16">
        <f t="shared" ref="AC35:AL35" si="78">AC23/AB23-1</f>
        <v>2.8375463244648458E-2</v>
      </c>
      <c r="AD35" s="16">
        <f t="shared" si="78"/>
        <v>7.293459552495607E-3</v>
      </c>
      <c r="AE35" s="16">
        <f t="shared" si="78"/>
        <v>-8.0725773724342642E-2</v>
      </c>
      <c r="AF35" s="16">
        <f t="shared" si="78"/>
        <v>-7.0632790808444756E-3</v>
      </c>
      <c r="AG35" s="16">
        <f t="shared" si="78"/>
        <v>-3.0630272256086832E-2</v>
      </c>
      <c r="AH35" s="16">
        <f t="shared" si="78"/>
        <v>-0.21958166873860929</v>
      </c>
      <c r="AI35" s="16">
        <f t="shared" si="78"/>
        <v>-0.21283637488400875</v>
      </c>
      <c r="AJ35" s="16">
        <f t="shared" si="78"/>
        <v>0.18093048842783621</v>
      </c>
      <c r="AK35" s="16">
        <f t="shared" si="78"/>
        <v>5.6282130201141367E-2</v>
      </c>
      <c r="AL35" s="16">
        <f t="shared" si="78"/>
        <v>0.10000000000000009</v>
      </c>
      <c r="AM35" s="16">
        <f t="shared" ref="AM35:AT35" si="79">AM23/AL23-1</f>
        <v>0.10000000000000009</v>
      </c>
      <c r="AN35" s="16">
        <f t="shared" si="79"/>
        <v>0.10000000000000009</v>
      </c>
      <c r="AO35" s="16">
        <f>AO23/AN23-1</f>
        <v>5.0000000000000044E-2</v>
      </c>
      <c r="AP35" s="16">
        <f t="shared" si="79"/>
        <v>5.0000000000000044E-2</v>
      </c>
      <c r="AQ35" s="16">
        <f t="shared" si="79"/>
        <v>5.0000000000000044E-2</v>
      </c>
      <c r="AR35" s="16">
        <f t="shared" si="79"/>
        <v>5.0000000000000044E-2</v>
      </c>
      <c r="AS35" s="16">
        <f t="shared" si="79"/>
        <v>5.0000000000000044E-2</v>
      </c>
      <c r="AT35" s="16">
        <f t="shared" si="79"/>
        <v>5.0000000000000044E-2</v>
      </c>
    </row>
    <row r="36" spans="2:46">
      <c r="B36" s="9" t="s">
        <v>108</v>
      </c>
      <c r="K36" s="18">
        <f t="shared" ref="K36:K37" si="80">K20/G20-1</f>
        <v>0.37107776261937242</v>
      </c>
      <c r="L36" s="18">
        <f t="shared" ref="L36:L37" si="81">L20/H20-1</f>
        <v>0.38043478260869557</v>
      </c>
      <c r="M36" s="18">
        <f t="shared" ref="M36:M37" si="82">M20/I20-1</f>
        <v>0.62046444121915822</v>
      </c>
      <c r="N36" s="18">
        <f t="shared" ref="N36:O37" si="83">N20/J20-1</f>
        <v>2.2361744216048862E-2</v>
      </c>
      <c r="O36" s="18">
        <f t="shared" si="83"/>
        <v>-4.2217484008528872E-2</v>
      </c>
      <c r="P36" s="30">
        <f t="shared" ref="P36:P37" si="84">P20/L20-1</f>
        <v>-1</v>
      </c>
      <c r="Q36" s="18">
        <f t="shared" ref="Q36:Q37" si="85">Q20/M20-1</f>
        <v>-1</v>
      </c>
      <c r="R36" s="18">
        <f t="shared" ref="R36:R37" si="86">R20/N20-1</f>
        <v>-1</v>
      </c>
      <c r="S36" s="18"/>
      <c r="T36" s="18"/>
      <c r="U36" s="18"/>
      <c r="V36" s="18"/>
      <c r="W36" s="18"/>
      <c r="AF36" s="6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</row>
    <row r="37" spans="2:46">
      <c r="B37" s="9" t="s">
        <v>107</v>
      </c>
      <c r="K37" s="18">
        <f t="shared" si="80"/>
        <v>-4.5803357314148752E-2</v>
      </c>
      <c r="L37" s="18">
        <f t="shared" si="81"/>
        <v>2.6131953428201848E-2</v>
      </c>
      <c r="M37" s="18">
        <f t="shared" si="82"/>
        <v>-2.2277227722772186E-2</v>
      </c>
      <c r="N37" s="18">
        <f t="shared" si="83"/>
        <v>7.480853391684894E-2</v>
      </c>
      <c r="O37" s="18">
        <f t="shared" ref="O37" si="87">O21/K21-1</f>
        <v>0.21563206835888415</v>
      </c>
      <c r="P37" s="30">
        <f t="shared" si="84"/>
        <v>-1</v>
      </c>
      <c r="Q37" s="18">
        <f t="shared" si="85"/>
        <v>-1</v>
      </c>
      <c r="R37" s="18">
        <f t="shared" si="86"/>
        <v>-1</v>
      </c>
      <c r="S37" s="18"/>
      <c r="T37" s="18"/>
      <c r="U37" s="18"/>
      <c r="V37" s="18"/>
      <c r="W37" s="18"/>
      <c r="AF37" s="6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</row>
    <row r="38" spans="2:46">
      <c r="B38" s="9" t="s">
        <v>106</v>
      </c>
      <c r="K38" s="18">
        <f t="shared" ref="K38:N38" si="88">K22/G22-1</f>
        <v>0.92959295929592956</v>
      </c>
      <c r="L38" s="18">
        <f t="shared" si="88"/>
        <v>0.55575065847234395</v>
      </c>
      <c r="M38" s="18">
        <f t="shared" si="88"/>
        <v>0.30837304288631717</v>
      </c>
      <c r="N38" s="18">
        <f t="shared" si="88"/>
        <v>0.2239263803680982</v>
      </c>
      <c r="O38" s="18">
        <f>O22/K22-1</f>
        <v>0.25940706955530213</v>
      </c>
      <c r="P38" s="30">
        <f t="shared" ref="P38:R38" si="89">P22/L22-1</f>
        <v>0.19999999999999996</v>
      </c>
      <c r="Q38" s="18">
        <f t="shared" si="89"/>
        <v>0.19999999999999996</v>
      </c>
      <c r="R38" s="18">
        <f t="shared" si="89"/>
        <v>0.19999999999999996</v>
      </c>
      <c r="S38" s="18"/>
      <c r="T38" s="18"/>
      <c r="U38" s="18"/>
      <c r="V38" s="18"/>
      <c r="W38" s="18"/>
      <c r="AF38" s="6"/>
      <c r="AG38" s="18">
        <f>AG22/AF22-1</f>
        <v>0.11207167557371878</v>
      </c>
      <c r="AH38" s="18">
        <f t="shared" ref="AH38:AT38" si="90">AH22/AG22-1</f>
        <v>4.2402826855123754E-2</v>
      </c>
      <c r="AI38" s="18">
        <f t="shared" si="90"/>
        <v>-0.21369491525423734</v>
      </c>
      <c r="AJ38" s="18">
        <f t="shared" si="90"/>
        <v>0.42127953095361281</v>
      </c>
      <c r="AK38" s="18">
        <f t="shared" si="90"/>
        <v>0.10000000000000009</v>
      </c>
      <c r="AL38" s="18">
        <f t="shared" si="90"/>
        <v>0.10000000000000009</v>
      </c>
      <c r="AM38" s="18">
        <f t="shared" si="90"/>
        <v>0.10000000000000009</v>
      </c>
      <c r="AN38" s="18">
        <f t="shared" si="90"/>
        <v>0.10000000000000009</v>
      </c>
      <c r="AO38" s="18">
        <f t="shared" si="90"/>
        <v>0.10000000000000009</v>
      </c>
      <c r="AP38" s="18">
        <f t="shared" si="90"/>
        <v>0.10000000000000009</v>
      </c>
      <c r="AQ38" s="18">
        <f t="shared" si="90"/>
        <v>0.10000000000000009</v>
      </c>
      <c r="AR38" s="18">
        <f t="shared" si="90"/>
        <v>0.10000000000000009</v>
      </c>
      <c r="AS38" s="18">
        <f t="shared" si="90"/>
        <v>0.10000000000000009</v>
      </c>
      <c r="AT38" s="18">
        <f t="shared" si="90"/>
        <v>0.10000000000000009</v>
      </c>
    </row>
    <row r="39" spans="2:46">
      <c r="B39" s="5" t="s">
        <v>24</v>
      </c>
      <c r="G39" s="18">
        <f t="shared" ref="G39" si="91">G25/G23</f>
        <v>0.27659157688540642</v>
      </c>
      <c r="H39" s="18">
        <f t="shared" ref="H39:O39" si="92">H25/H23</f>
        <v>0.26772823779193211</v>
      </c>
      <c r="I39" s="18">
        <f t="shared" si="92"/>
        <v>0.27500746491489997</v>
      </c>
      <c r="J39" s="18">
        <f t="shared" si="92"/>
        <v>0.21139437349795012</v>
      </c>
      <c r="K39" s="18">
        <f t="shared" si="92"/>
        <v>0.25853696741854643</v>
      </c>
      <c r="L39" s="18">
        <f t="shared" si="92"/>
        <v>0.27116782153118141</v>
      </c>
      <c r="M39" s="18">
        <f t="shared" si="92"/>
        <v>0.24571957427117083</v>
      </c>
      <c r="N39" s="18">
        <f t="shared" si="92"/>
        <v>0.16779803895470075</v>
      </c>
      <c r="O39" s="18">
        <f t="shared" si="92"/>
        <v>0.21655542658154381</v>
      </c>
      <c r="P39" s="30">
        <f t="shared" ref="P39:R39" si="93">P25/P23</f>
        <v>0.22</v>
      </c>
      <c r="Q39" s="18">
        <f t="shared" si="93"/>
        <v>0.21999999999999995</v>
      </c>
      <c r="R39" s="18">
        <f t="shared" si="93"/>
        <v>0.22000000000000003</v>
      </c>
      <c r="S39" s="18"/>
      <c r="T39" s="18"/>
      <c r="U39" s="18"/>
      <c r="V39" s="18"/>
      <c r="W39" s="18"/>
      <c r="AB39" s="18">
        <f t="shared" ref="AB39" si="94">AB25/AB23</f>
        <v>0.29438575142430451</v>
      </c>
      <c r="AC39" s="18">
        <f t="shared" ref="AC39" si="95">AC25/AC23</f>
        <v>0.29861230636833042</v>
      </c>
      <c r="AD39" s="18">
        <f t="shared" ref="AD39:AG39" si="96">AD25/AD23</f>
        <v>0.31165766035156661</v>
      </c>
      <c r="AE39" s="18">
        <f t="shared" si="96"/>
        <v>0.34959746279580378</v>
      </c>
      <c r="AF39" s="18">
        <f t="shared" si="96"/>
        <v>0.29073018918697557</v>
      </c>
      <c r="AG39" s="18">
        <f t="shared" si="96"/>
        <v>0.27857772198954772</v>
      </c>
      <c r="AH39" s="18">
        <f t="shared" ref="AH39" si="97">AH25/AH23</f>
        <v>0.29519022579647386</v>
      </c>
      <c r="AI39" s="18">
        <f t="shared" ref="AI39:AJ39" si="98">AI25/AI23</f>
        <v>0.24745569570513562</v>
      </c>
      <c r="AJ39" s="18">
        <f t="shared" si="98"/>
        <v>0.22423345034688144</v>
      </c>
      <c r="AK39" s="18">
        <f t="shared" ref="AK39:AT39" si="99">AK25/AK23</f>
        <v>0.23000000000000004</v>
      </c>
      <c r="AL39" s="18">
        <f t="shared" si="99"/>
        <v>0.23999999999999996</v>
      </c>
      <c r="AM39" s="18">
        <f t="shared" si="99"/>
        <v>0.24000000000000002</v>
      </c>
      <c r="AN39" s="18">
        <f t="shared" si="99"/>
        <v>0.25</v>
      </c>
      <c r="AO39" s="18">
        <f t="shared" si="99"/>
        <v>0.25</v>
      </c>
      <c r="AP39" s="18">
        <f t="shared" si="99"/>
        <v>0.25999999999999995</v>
      </c>
      <c r="AQ39" s="18">
        <f t="shared" si="99"/>
        <v>0.26</v>
      </c>
      <c r="AR39" s="18">
        <f t="shared" si="99"/>
        <v>0.27</v>
      </c>
      <c r="AS39" s="18">
        <f t="shared" si="99"/>
        <v>0.27</v>
      </c>
      <c r="AT39" s="18">
        <f t="shared" si="99"/>
        <v>0.28000000000000003</v>
      </c>
    </row>
    <row r="40" spans="2:46">
      <c r="B40" s="5" t="s">
        <v>100</v>
      </c>
      <c r="G40" s="18">
        <f t="shared" ref="G40:N40" si="100">G29/G23</f>
        <v>-0.10852105778648387</v>
      </c>
      <c r="H40" s="18">
        <f t="shared" si="100"/>
        <v>-0.10987261146496809</v>
      </c>
      <c r="I40" s="18">
        <f t="shared" si="100"/>
        <v>-9.3361202348959921E-2</v>
      </c>
      <c r="J40" s="18">
        <f t="shared" si="100"/>
        <v>1.003722727486918E-2</v>
      </c>
      <c r="K40" s="18">
        <f t="shared" si="100"/>
        <v>-5.0830200501253031E-2</v>
      </c>
      <c r="L40" s="18">
        <f t="shared" si="100"/>
        <v>-4.9433834713537163E-2</v>
      </c>
      <c r="M40" s="18">
        <f t="shared" si="100"/>
        <v>-7.9978405059385971E-2</v>
      </c>
      <c r="N40" s="18">
        <f t="shared" si="100"/>
        <v>-7.169794578286523E-2</v>
      </c>
      <c r="O40" s="18">
        <f>O29/O23</f>
        <v>-0.11201392919326754</v>
      </c>
      <c r="P40" s="30">
        <f t="shared" ref="P40:R40" si="101">P29/P23</f>
        <v>-8.5495867436039777E-2</v>
      </c>
      <c r="Q40" s="18">
        <f t="shared" si="101"/>
        <v>-9.0115099564428577E-2</v>
      </c>
      <c r="R40" s="18">
        <f t="shared" si="101"/>
        <v>-8.0069044344300063E-3</v>
      </c>
      <c r="S40" s="18"/>
      <c r="T40" s="18"/>
      <c r="U40" s="18"/>
      <c r="V40" s="18"/>
      <c r="W40" s="18"/>
      <c r="AB40" s="18">
        <f t="shared" ref="AB40" si="102">AB27/AB23</f>
        <v>8.5037889263786748E-2</v>
      </c>
      <c r="AC40" s="18">
        <f t="shared" ref="AC40" si="103">AC27/AC23</f>
        <v>8.3358433734939716E-2</v>
      </c>
      <c r="AD40" s="18">
        <f t="shared" ref="AD40:AJ40" si="104">AD27/AD23</f>
        <v>8.6439266109912566E-2</v>
      </c>
      <c r="AE40" s="18">
        <f t="shared" si="104"/>
        <v>8.7907619744653095E-2</v>
      </c>
      <c r="AF40" s="18">
        <f t="shared" si="104"/>
        <v>6.7309379789636123E-2</v>
      </c>
      <c r="AG40" s="18">
        <f t="shared" si="104"/>
        <v>3.7886377077474498E-2</v>
      </c>
      <c r="AH40" s="18">
        <f t="shared" si="104"/>
        <v>-2.1651716671822188E-3</v>
      </c>
      <c r="AI40" s="18">
        <f t="shared" si="104"/>
        <v>-5.0041258988565561E-2</v>
      </c>
      <c r="AJ40" s="18">
        <f t="shared" si="104"/>
        <v>-6.0192656429367587E-2</v>
      </c>
      <c r="AK40" s="18">
        <f>AK27/AK23</f>
        <v>-3.6578253723620745E-2</v>
      </c>
      <c r="AL40" s="18">
        <f t="shared" ref="AL40:AT40" si="105">AL27/AL23</f>
        <v>7.9571648741299302E-5</v>
      </c>
      <c r="AM40" s="18">
        <f t="shared" si="105"/>
        <v>2.4071614483867233E-2</v>
      </c>
      <c r="AN40" s="18">
        <f t="shared" si="105"/>
        <v>5.5664453035480517E-2</v>
      </c>
      <c r="AO40" s="18">
        <f t="shared" si="105"/>
        <v>6.6769341433453075E-2</v>
      </c>
      <c r="AP40" s="18">
        <f t="shared" si="105"/>
        <v>8.0259449215672976E-2</v>
      </c>
      <c r="AQ40" s="18">
        <f t="shared" si="105"/>
        <v>8.368307875442213E-2</v>
      </c>
      <c r="AR40" s="18">
        <f t="shared" si="105"/>
        <v>9.7041496301956964E-2</v>
      </c>
      <c r="AS40" s="18">
        <f t="shared" si="105"/>
        <v>0.10033594399144349</v>
      </c>
      <c r="AT40" s="18">
        <f t="shared" si="105"/>
        <v>0.1135676402963684</v>
      </c>
    </row>
    <row r="41" spans="2:46">
      <c r="B41" s="5" t="s">
        <v>99</v>
      </c>
      <c r="G41" s="18">
        <f t="shared" ref="G41:N41" si="106">G30/G29</f>
        <v>-0.45487364620938614</v>
      </c>
      <c r="H41" s="18">
        <f t="shared" si="106"/>
        <v>-0.17294685990338171</v>
      </c>
      <c r="I41" s="18">
        <f t="shared" si="106"/>
        <v>0.57462686567164167</v>
      </c>
      <c r="J41" s="18">
        <f t="shared" si="106"/>
        <v>-3.2723004694835858</v>
      </c>
      <c r="K41" s="18">
        <f t="shared" si="106"/>
        <v>-2.003081664098617E-2</v>
      </c>
      <c r="L41" s="18">
        <f t="shared" si="106"/>
        <v>-5.2991452991453095E-2</v>
      </c>
      <c r="M41" s="18">
        <f t="shared" si="106"/>
        <v>-1.6393442622950841E-2</v>
      </c>
      <c r="N41" s="18">
        <f t="shared" si="106"/>
        <v>0.12500000000000006</v>
      </c>
      <c r="O41" s="18">
        <f>O30/O29</f>
        <v>-2.2668393782383424E-2</v>
      </c>
      <c r="P41" s="30">
        <f t="shared" ref="P41:R41" si="107">P30/P29</f>
        <v>0</v>
      </c>
      <c r="Q41" s="18">
        <f t="shared" si="107"/>
        <v>0</v>
      </c>
      <c r="R41" s="18">
        <f t="shared" si="107"/>
        <v>0</v>
      </c>
      <c r="S41" s="18"/>
      <c r="T41" s="18"/>
      <c r="U41" s="18"/>
      <c r="V41" s="18"/>
      <c r="W41" s="18"/>
      <c r="AB41" s="18">
        <f t="shared" ref="AB41" si="108">AB30/AB29</f>
        <v>0.28089005235602083</v>
      </c>
      <c r="AC41" s="18">
        <f t="shared" ref="AC41" si="109">AC30/AC29</f>
        <v>0.2813439665315729</v>
      </c>
      <c r="AD41" s="18">
        <f t="shared" ref="AD41:AJ41" si="110">AD30/AD29</f>
        <v>0.28280773143438481</v>
      </c>
      <c r="AE41" s="18">
        <f t="shared" si="110"/>
        <v>0.21529060679266754</v>
      </c>
      <c r="AF41" s="18">
        <f t="shared" si="110"/>
        <v>0.29519230769230836</v>
      </c>
      <c r="AG41" s="18">
        <f t="shared" si="110"/>
        <v>0.15867579908675838</v>
      </c>
      <c r="AH41" s="18">
        <f t="shared" si="110"/>
        <v>-0.9126213592232959</v>
      </c>
      <c r="AI41" s="18">
        <f t="shared" si="110"/>
        <v>0.19281729428172875</v>
      </c>
      <c r="AJ41" s="18">
        <f t="shared" si="110"/>
        <v>3.6274762027270417E-2</v>
      </c>
      <c r="AK41" s="18">
        <f>AK30/AK29</f>
        <v>0</v>
      </c>
      <c r="AL41" s="18">
        <f t="shared" ref="AL41:AT41" si="111">AL30/AL29</f>
        <v>0</v>
      </c>
      <c r="AM41" s="18">
        <f t="shared" si="111"/>
        <v>0</v>
      </c>
      <c r="AN41" s="18">
        <f t="shared" si="111"/>
        <v>0</v>
      </c>
      <c r="AO41" s="18">
        <f t="shared" si="111"/>
        <v>0.1</v>
      </c>
      <c r="AP41" s="18">
        <f t="shared" si="111"/>
        <v>0.1</v>
      </c>
      <c r="AQ41" s="18">
        <f t="shared" si="111"/>
        <v>0.2</v>
      </c>
      <c r="AR41" s="18">
        <f t="shared" si="111"/>
        <v>0.2</v>
      </c>
      <c r="AS41" s="18">
        <f t="shared" si="111"/>
        <v>0.25</v>
      </c>
      <c r="AT41" s="18">
        <f t="shared" si="111"/>
        <v>0.25</v>
      </c>
    </row>
    <row r="43" spans="2:46">
      <c r="B43" s="9" t="s">
        <v>3</v>
      </c>
      <c r="K43" s="10">
        <f>694.7+57.4+18.7</f>
        <v>770.80000000000007</v>
      </c>
      <c r="L43" s="10">
        <f>1720.4+36.7+18.5</f>
        <v>1775.6000000000001</v>
      </c>
      <c r="M43" s="10">
        <f>1413+39.5+15.6</f>
        <v>1468.1</v>
      </c>
      <c r="N43" s="10">
        <f>1271.4+33.1+15.4</f>
        <v>1319.9</v>
      </c>
      <c r="O43" s="10">
        <f>1035+33.3+15.3</f>
        <v>1083.5999999999999</v>
      </c>
      <c r="P43" s="26">
        <f>O43+P31</f>
        <v>977.36539999999991</v>
      </c>
      <c r="Q43" s="10">
        <f>P43+Q31</f>
        <v>854.67999999999984</v>
      </c>
      <c r="R43" s="10">
        <f>Q43+R31</f>
        <v>835.73089999999991</v>
      </c>
      <c r="S43" s="10"/>
      <c r="T43" s="10"/>
      <c r="U43" s="10"/>
      <c r="V43" s="10"/>
      <c r="W43" s="10"/>
      <c r="AI43" s="10">
        <f>N43</f>
        <v>1319.9</v>
      </c>
      <c r="AJ43" s="10">
        <f>R43</f>
        <v>835.73089999999991</v>
      </c>
      <c r="AK43" s="10">
        <f t="shared" ref="AK43:AT43" si="112">AJ43+AK31</f>
        <v>620.21036800000036</v>
      </c>
      <c r="AL43" s="10">
        <f t="shared" si="112"/>
        <v>633.17029536000064</v>
      </c>
      <c r="AM43" s="10">
        <f t="shared" si="112"/>
        <v>830.75867886720152</v>
      </c>
      <c r="AN43" s="10">
        <f t="shared" si="112"/>
        <v>1317.7669999985465</v>
      </c>
      <c r="AO43" s="10">
        <f t="shared" si="112"/>
        <v>1874.6890171266355</v>
      </c>
      <c r="AP43" s="10">
        <f t="shared" si="112"/>
        <v>2581.4105764702608</v>
      </c>
      <c r="AQ43" s="10">
        <f t="shared" si="112"/>
        <v>3277.618550398588</v>
      </c>
      <c r="AR43" s="10">
        <f t="shared" si="112"/>
        <v>4127.4815199293735</v>
      </c>
      <c r="AS43" s="10">
        <f t="shared" si="112"/>
        <v>5001.0036508905723</v>
      </c>
      <c r="AT43" s="10">
        <f t="shared" si="112"/>
        <v>6040.5908157738122</v>
      </c>
    </row>
    <row r="44" spans="2:46">
      <c r="B44" s="9" t="s">
        <v>51</v>
      </c>
      <c r="K44" s="10">
        <v>102.1</v>
      </c>
      <c r="L44" s="10">
        <v>68.5</v>
      </c>
      <c r="M44" s="10">
        <v>83.4</v>
      </c>
      <c r="N44" s="10">
        <v>141.1</v>
      </c>
      <c r="O44" s="10">
        <v>103.4</v>
      </c>
    </row>
    <row r="45" spans="2:46">
      <c r="B45" s="9" t="s">
        <v>54</v>
      </c>
      <c r="K45" s="10">
        <v>570.9</v>
      </c>
      <c r="L45" s="10">
        <v>596.4</v>
      </c>
      <c r="M45" s="10">
        <v>1140.9000000000001</v>
      </c>
      <c r="N45" s="10">
        <v>915</v>
      </c>
      <c r="O45" s="10">
        <v>917.6</v>
      </c>
    </row>
    <row r="46" spans="2:46">
      <c r="B46" s="9" t="s">
        <v>55</v>
      </c>
      <c r="K46" s="10">
        <v>232.1</v>
      </c>
      <c r="L46" s="10">
        <v>235</v>
      </c>
      <c r="M46" s="10">
        <v>236.3</v>
      </c>
      <c r="N46" s="10">
        <v>238.2</v>
      </c>
      <c r="O46" s="10">
        <v>240.3</v>
      </c>
    </row>
    <row r="47" spans="2:46">
      <c r="B47" s="9" t="s">
        <v>56</v>
      </c>
      <c r="K47" s="10">
        <v>192.6</v>
      </c>
      <c r="L47" s="10">
        <v>186.6</v>
      </c>
      <c r="M47" s="10">
        <v>179.6</v>
      </c>
      <c r="N47" s="10">
        <v>163.6</v>
      </c>
      <c r="O47" s="10">
        <v>157.4</v>
      </c>
    </row>
    <row r="48" spans="2:46">
      <c r="B48" s="9" t="s">
        <v>57</v>
      </c>
      <c r="K48" s="10">
        <v>654.20000000000005</v>
      </c>
      <c r="L48" s="10">
        <v>645.20000000000005</v>
      </c>
      <c r="M48" s="10">
        <f>615.8</f>
        <v>615.79999999999995</v>
      </c>
      <c r="N48" s="10">
        <v>586.6</v>
      </c>
      <c r="O48" s="10">
        <v>568.70000000000005</v>
      </c>
    </row>
    <row r="49" spans="2:50">
      <c r="B49" s="9" t="s">
        <v>58</v>
      </c>
      <c r="K49" s="10">
        <v>0</v>
      </c>
      <c r="L49" s="10">
        <v>0</v>
      </c>
      <c r="M49" s="10">
        <v>0</v>
      </c>
      <c r="N49" s="10">
        <v>16.3</v>
      </c>
      <c r="O49" s="10">
        <v>16.7</v>
      </c>
    </row>
    <row r="50" spans="2:50">
      <c r="B50" s="5" t="s">
        <v>52</v>
      </c>
      <c r="K50" s="10">
        <v>40</v>
      </c>
      <c r="L50" s="10">
        <v>38.5</v>
      </c>
      <c r="M50" s="10">
        <v>37.9</v>
      </c>
      <c r="N50" s="10">
        <v>118.6</v>
      </c>
      <c r="O50" s="10">
        <v>37.799999999999997</v>
      </c>
    </row>
    <row r="51" spans="2:50">
      <c r="B51" s="5" t="s">
        <v>53</v>
      </c>
      <c r="K51" s="10">
        <f>SUM(K43:K50)</f>
        <v>2562.6999999999998</v>
      </c>
      <c r="L51" s="10">
        <f t="shared" ref="L51" si="113">SUM(L43:L50)</f>
        <v>3545.8</v>
      </c>
      <c r="M51" s="10">
        <f t="shared" ref="M51" si="114">SUM(M43:M50)</f>
        <v>3762.0000000000005</v>
      </c>
      <c r="N51" s="10">
        <f t="shared" ref="N51" si="115">SUM(N43:N50)</f>
        <v>3499.2999999999997</v>
      </c>
      <c r="O51" s="10">
        <f>SUM(O43:O50)</f>
        <v>3125.5</v>
      </c>
    </row>
    <row r="52" spans="2:50">
      <c r="K52" s="10"/>
    </row>
    <row r="53" spans="2:50">
      <c r="B53" s="5" t="s">
        <v>59</v>
      </c>
      <c r="K53" s="10">
        <v>388.6</v>
      </c>
      <c r="L53" s="10">
        <v>409.7</v>
      </c>
      <c r="M53" s="10">
        <v>711.5</v>
      </c>
      <c r="N53" s="10">
        <v>471</v>
      </c>
      <c r="O53" s="10">
        <v>386.8</v>
      </c>
    </row>
    <row r="54" spans="2:50">
      <c r="B54" s="5" t="s">
        <v>60</v>
      </c>
      <c r="K54" s="10">
        <v>561.79999999999995</v>
      </c>
      <c r="L54" s="10">
        <v>563.1</v>
      </c>
      <c r="M54" s="10">
        <v>608.5</v>
      </c>
      <c r="N54" s="10">
        <v>668.9</v>
      </c>
      <c r="O54" s="10">
        <v>533.29999999999995</v>
      </c>
    </row>
    <row r="55" spans="2:50">
      <c r="B55" s="5" t="s">
        <v>57</v>
      </c>
      <c r="K55" s="10">
        <f>219.4+445</f>
        <v>664.4</v>
      </c>
      <c r="L55" s="10">
        <f>432+221.5</f>
        <v>653.5</v>
      </c>
      <c r="M55" s="10">
        <v>211.9</v>
      </c>
      <c r="N55" s="10">
        <f>210.7+393.7</f>
        <v>604.4</v>
      </c>
      <c r="O55" s="10">
        <f>200.3+374.5</f>
        <v>574.79999999999995</v>
      </c>
    </row>
    <row r="56" spans="2:50">
      <c r="B56" s="5" t="s">
        <v>4</v>
      </c>
      <c r="K56" s="10">
        <f>48.1</f>
        <v>48.1</v>
      </c>
      <c r="L56" s="10">
        <v>47.5</v>
      </c>
      <c r="M56" s="10">
        <f>1.4+44.8</f>
        <v>46.199999999999996</v>
      </c>
      <c r="N56" s="10">
        <v>44.6</v>
      </c>
      <c r="O56" s="10">
        <f>6.5+35.7</f>
        <v>42.2</v>
      </c>
    </row>
    <row r="57" spans="2:50">
      <c r="B57" s="5" t="s">
        <v>61</v>
      </c>
      <c r="K57" s="10">
        <v>20.3</v>
      </c>
      <c r="L57" s="10">
        <v>20</v>
      </c>
      <c r="M57" s="10">
        <f>19.3+409.7</f>
        <v>429</v>
      </c>
      <c r="N57" s="10">
        <v>107.9</v>
      </c>
      <c r="O57" s="10">
        <v>137.69999999999999</v>
      </c>
    </row>
    <row r="58" spans="2:50">
      <c r="B58" s="5" t="s">
        <v>62</v>
      </c>
      <c r="K58" s="10">
        <v>879.5</v>
      </c>
      <c r="L58" s="10">
        <v>1852</v>
      </c>
      <c r="M58" s="10">
        <v>1754.9</v>
      </c>
      <c r="N58" s="10">
        <v>1602.5</v>
      </c>
      <c r="O58" s="10">
        <v>1450.7</v>
      </c>
    </row>
    <row r="59" spans="2:50">
      <c r="B59" s="5" t="s">
        <v>63</v>
      </c>
      <c r="K59" s="10">
        <f>SUM(K53:K58)</f>
        <v>2562.6999999999998</v>
      </c>
      <c r="L59" s="10">
        <f>SUM(L53:L58)</f>
        <v>3545.8</v>
      </c>
      <c r="M59" s="10">
        <f>SUM(M53:M58)</f>
        <v>3762</v>
      </c>
      <c r="N59" s="10">
        <f t="shared" ref="N59" si="116">SUM(N53:N58)</f>
        <v>3499.3</v>
      </c>
      <c r="O59" s="10">
        <f>SUM(O53:O58)</f>
        <v>3125.5</v>
      </c>
    </row>
    <row r="60" spans="2:50">
      <c r="K60" s="10"/>
      <c r="N60" s="10"/>
      <c r="O60" s="10"/>
    </row>
    <row r="61" spans="2:50">
      <c r="K61" s="10"/>
      <c r="N61" s="10"/>
      <c r="O61" s="10"/>
    </row>
    <row r="62" spans="2:50" s="9" customFormat="1">
      <c r="B62" s="9" t="s">
        <v>34</v>
      </c>
      <c r="C62" s="10"/>
      <c r="D62" s="10"/>
      <c r="E62" s="10"/>
      <c r="F62" s="10"/>
      <c r="G62" s="10"/>
      <c r="H62" s="10"/>
      <c r="I62" s="10"/>
      <c r="J62" s="10"/>
      <c r="K62" s="10">
        <f t="shared" ref="K62:M62" si="117">K31</f>
        <v>-66.199999999999875</v>
      </c>
      <c r="L62" s="10">
        <f t="shared" si="117"/>
        <v>-61.599999999999888</v>
      </c>
      <c r="M62" s="10">
        <f t="shared" si="117"/>
        <v>-105.39999999999986</v>
      </c>
      <c r="N62" s="10">
        <f>N31</f>
        <v>-141.39999999999995</v>
      </c>
      <c r="O62" s="10">
        <f>O31</f>
        <v>-157.89999999999998</v>
      </c>
      <c r="P62" s="26"/>
      <c r="Q62" s="10"/>
      <c r="R62" s="10"/>
      <c r="S62" s="10"/>
      <c r="T62" s="10"/>
      <c r="U62" s="10"/>
      <c r="V62" s="10"/>
      <c r="W62" s="10"/>
      <c r="AB62" s="10"/>
      <c r="AC62" s="10"/>
      <c r="AD62" s="10"/>
      <c r="AE62" s="10"/>
      <c r="AF62" s="10">
        <f>AF31</f>
        <v>366.49999999999886</v>
      </c>
      <c r="AG62" s="10">
        <f t="shared" ref="AG62:AT62" si="118">AG31</f>
        <v>221.0999999999994</v>
      </c>
      <c r="AH62" s="10">
        <f t="shared" si="118"/>
        <v>-78.800000000000239</v>
      </c>
      <c r="AI62" s="10">
        <f t="shared" si="118"/>
        <v>-231.50000000000097</v>
      </c>
      <c r="AJ62" s="10">
        <f t="shared" si="118"/>
        <v>-374.59999999999968</v>
      </c>
      <c r="AK62" s="10">
        <f t="shared" si="118"/>
        <v>-215.52053199999952</v>
      </c>
      <c r="AL62" s="10">
        <f t="shared" si="118"/>
        <v>12.9599273600003</v>
      </c>
      <c r="AM62" s="10">
        <f t="shared" si="118"/>
        <v>197.58838350720083</v>
      </c>
      <c r="AN62" s="10">
        <f t="shared" si="118"/>
        <v>487.00832113134499</v>
      </c>
      <c r="AO62" s="10">
        <f t="shared" si="118"/>
        <v>556.9220171280889</v>
      </c>
      <c r="AP62" s="10">
        <f t="shared" si="118"/>
        <v>706.72155934362524</v>
      </c>
      <c r="AQ62" s="10">
        <f t="shared" si="118"/>
        <v>696.20797392832719</v>
      </c>
      <c r="AR62" s="10">
        <f t="shared" si="118"/>
        <v>849.86296953078545</v>
      </c>
      <c r="AS62" s="10">
        <f t="shared" si="118"/>
        <v>873.5221309611984</v>
      </c>
      <c r="AT62" s="10">
        <f t="shared" si="118"/>
        <v>1039.5871648832399</v>
      </c>
    </row>
    <row r="63" spans="2:50" s="9" customFormat="1">
      <c r="B63" s="9" t="s">
        <v>35</v>
      </c>
      <c r="C63" s="10"/>
      <c r="D63" s="10"/>
      <c r="E63" s="10"/>
      <c r="F63" s="10"/>
      <c r="G63" s="10"/>
      <c r="H63" s="10"/>
      <c r="I63" s="10"/>
      <c r="J63" s="10"/>
      <c r="K63" s="10">
        <v>-66.8</v>
      </c>
      <c r="L63" s="10">
        <f>-128.4-K63</f>
        <v>-61.600000000000009</v>
      </c>
      <c r="M63" s="10">
        <f>-233.8-L63-K63</f>
        <v>-105.39999999999999</v>
      </c>
      <c r="N63" s="10">
        <f>-383.3-M63-L63-K63</f>
        <v>-149.5</v>
      </c>
      <c r="O63" s="10">
        <v>-157.9</v>
      </c>
      <c r="P63" s="26"/>
      <c r="Q63" s="10"/>
      <c r="R63" s="10"/>
      <c r="S63" s="10"/>
      <c r="T63" s="10"/>
      <c r="U63" s="10"/>
      <c r="V63" s="10"/>
      <c r="W63" s="10"/>
      <c r="AB63" s="10"/>
      <c r="AC63" s="10"/>
      <c r="AD63" s="10"/>
      <c r="AE63" s="10"/>
      <c r="AF63" s="9">
        <v>34.700000000000003</v>
      </c>
      <c r="AG63" s="9">
        <v>-673</v>
      </c>
      <c r="AH63" s="9">
        <v>-470.9</v>
      </c>
      <c r="AI63" s="10">
        <v>-215.3</v>
      </c>
      <c r="AJ63" s="10">
        <v>-381.3</v>
      </c>
      <c r="AK63" s="10"/>
    </row>
    <row r="64" spans="2:50" s="9" customFormat="1">
      <c r="B64" s="9" t="s">
        <v>36</v>
      </c>
      <c r="C64" s="10"/>
      <c r="D64" s="10"/>
      <c r="E64" s="10"/>
      <c r="F64" s="10"/>
      <c r="G64" s="10"/>
      <c r="H64" s="10"/>
      <c r="I64" s="10"/>
      <c r="J64" s="10"/>
      <c r="K64" s="10">
        <v>18.7</v>
      </c>
      <c r="L64" s="10">
        <f>36.3-K64</f>
        <v>17.599999999999998</v>
      </c>
      <c r="M64" s="10">
        <f>53.2-L64-K64</f>
        <v>16.900000000000009</v>
      </c>
      <c r="N64" s="10">
        <f>77.2-M64-L64-K64</f>
        <v>24.000000000000004</v>
      </c>
      <c r="O64" s="10">
        <v>17.100000000000001</v>
      </c>
      <c r="P64" s="26"/>
      <c r="Q64" s="10"/>
      <c r="R64" s="10"/>
      <c r="S64" s="10"/>
      <c r="T64" s="10"/>
      <c r="U64" s="10"/>
      <c r="V64" s="10"/>
      <c r="W64" s="10"/>
      <c r="AB64" s="10"/>
      <c r="AC64" s="10"/>
      <c r="AD64" s="10"/>
      <c r="AE64" s="10"/>
      <c r="AF64" s="9">
        <v>151.9</v>
      </c>
      <c r="AG64" s="9">
        <v>126.9</v>
      </c>
      <c r="AH64" s="9">
        <v>96.2</v>
      </c>
      <c r="AI64" s="10">
        <v>80.7</v>
      </c>
      <c r="AJ64" s="10">
        <v>77.2</v>
      </c>
      <c r="AK64" s="10"/>
      <c r="AW64" s="17" t="s">
        <v>95</v>
      </c>
      <c r="AX64" s="19">
        <v>0.06</v>
      </c>
    </row>
    <row r="65" spans="2:50" s="9" customFormat="1">
      <c r="B65" s="9" t="s">
        <v>84</v>
      </c>
      <c r="C65" s="10"/>
      <c r="D65" s="10"/>
      <c r="E65" s="10"/>
      <c r="F65" s="10"/>
      <c r="G65" s="10"/>
      <c r="H65" s="10"/>
      <c r="I65" s="10"/>
      <c r="J65" s="10"/>
      <c r="K65" s="10">
        <v>18.2</v>
      </c>
      <c r="L65" s="10">
        <f>18.2-K65</f>
        <v>0</v>
      </c>
      <c r="M65" s="10">
        <f>18.2-L65-K65</f>
        <v>0</v>
      </c>
      <c r="N65" s="10">
        <f>18.2-M65-L65-K65</f>
        <v>0</v>
      </c>
      <c r="O65" s="10"/>
      <c r="P65" s="26"/>
      <c r="Q65" s="10"/>
      <c r="R65" s="10"/>
      <c r="S65" s="10"/>
      <c r="T65" s="10"/>
      <c r="U65" s="10"/>
      <c r="V65" s="10"/>
      <c r="W65" s="10"/>
      <c r="AB65" s="10"/>
      <c r="AC65" s="10"/>
      <c r="AD65" s="10"/>
      <c r="AE65" s="10"/>
      <c r="AF65" s="9">
        <v>0</v>
      </c>
      <c r="AG65" s="9">
        <v>0</v>
      </c>
      <c r="AH65" s="9">
        <v>0</v>
      </c>
      <c r="AI65" s="10">
        <v>0</v>
      </c>
      <c r="AJ65" s="10">
        <v>18.2</v>
      </c>
      <c r="AK65" s="10"/>
      <c r="AW65" s="5" t="s">
        <v>96</v>
      </c>
      <c r="AX65" s="11">
        <v>0</v>
      </c>
    </row>
    <row r="66" spans="2:50" s="9" customFormat="1">
      <c r="B66" s="9" t="s">
        <v>85</v>
      </c>
      <c r="C66" s="10"/>
      <c r="D66" s="10"/>
      <c r="E66" s="10"/>
      <c r="F66" s="10"/>
      <c r="G66" s="10"/>
      <c r="H66" s="10"/>
      <c r="I66" s="10"/>
      <c r="J66" s="10"/>
      <c r="K66" s="10">
        <v>0.6</v>
      </c>
      <c r="L66" s="10">
        <f>0.6-K66</f>
        <v>0</v>
      </c>
      <c r="M66" s="10">
        <f>0.6-L66-K66</f>
        <v>0</v>
      </c>
      <c r="N66" s="10">
        <f>6.7-M66-L66-K66</f>
        <v>6.1000000000000005</v>
      </c>
      <c r="O66" s="10"/>
      <c r="P66" s="26"/>
      <c r="Q66" s="10"/>
      <c r="R66" s="10"/>
      <c r="S66" s="10"/>
      <c r="T66" s="10"/>
      <c r="U66" s="10"/>
      <c r="V66" s="10"/>
      <c r="W66" s="10"/>
      <c r="AB66" s="10"/>
      <c r="AC66" s="10"/>
      <c r="AD66" s="10"/>
      <c r="AE66" s="10"/>
      <c r="AF66" s="9">
        <v>0</v>
      </c>
      <c r="AG66" s="9">
        <v>0</v>
      </c>
      <c r="AH66" s="9">
        <v>0</v>
      </c>
      <c r="AI66" s="10">
        <v>0</v>
      </c>
      <c r="AJ66" s="10">
        <v>6.7</v>
      </c>
      <c r="AK66" s="10"/>
      <c r="AW66" s="9" t="s">
        <v>101</v>
      </c>
      <c r="AX66" s="11">
        <v>0.02</v>
      </c>
    </row>
    <row r="67" spans="2:50" s="9" customFormat="1">
      <c r="B67" s="9" t="s">
        <v>81</v>
      </c>
      <c r="C67" s="10"/>
      <c r="D67" s="10"/>
      <c r="E67" s="10"/>
      <c r="F67" s="10"/>
      <c r="G67" s="10"/>
      <c r="H67" s="10"/>
      <c r="I67" s="10"/>
      <c r="J67" s="10"/>
      <c r="K67" s="10">
        <v>0</v>
      </c>
      <c r="L67" s="10">
        <v>0</v>
      </c>
      <c r="M67" s="10">
        <v>0</v>
      </c>
      <c r="N67" s="10">
        <v>0</v>
      </c>
      <c r="O67" s="10"/>
      <c r="P67" s="26"/>
      <c r="Q67" s="10"/>
      <c r="R67" s="10"/>
      <c r="S67" s="10"/>
      <c r="T67" s="10"/>
      <c r="U67" s="10"/>
      <c r="V67" s="10"/>
      <c r="W67" s="10"/>
      <c r="AB67" s="10"/>
      <c r="AC67" s="10"/>
      <c r="AD67" s="10"/>
      <c r="AE67" s="10"/>
      <c r="AF67" s="9">
        <v>59.1</v>
      </c>
      <c r="AG67" s="9">
        <v>57.3</v>
      </c>
      <c r="AH67" s="9">
        <v>0</v>
      </c>
      <c r="AI67" s="10">
        <v>0</v>
      </c>
      <c r="AJ67" s="10">
        <v>0</v>
      </c>
      <c r="AK67" s="10"/>
      <c r="AW67" s="5" t="s">
        <v>97</v>
      </c>
      <c r="AX67" s="9">
        <f>NPV(AX64,AK31:CF31)+Main!M5-Main!M6</f>
        <v>13027.527416676256</v>
      </c>
    </row>
    <row r="68" spans="2:50" s="9" customFormat="1">
      <c r="B68" s="9" t="s">
        <v>82</v>
      </c>
      <c r="C68" s="10"/>
      <c r="D68" s="10"/>
      <c r="E68" s="10"/>
      <c r="F68" s="10"/>
      <c r="G68" s="10"/>
      <c r="H68" s="10"/>
      <c r="I68" s="10"/>
      <c r="J68" s="10"/>
      <c r="K68" s="10">
        <v>0</v>
      </c>
      <c r="L68" s="10">
        <v>0</v>
      </c>
      <c r="M68" s="10">
        <v>0</v>
      </c>
      <c r="N68" s="10">
        <v>0</v>
      </c>
      <c r="O68" s="10"/>
      <c r="P68" s="26"/>
      <c r="Q68" s="10"/>
      <c r="R68" s="10"/>
      <c r="S68" s="10"/>
      <c r="T68" s="10"/>
      <c r="U68" s="10"/>
      <c r="V68" s="10"/>
      <c r="W68" s="10"/>
      <c r="AB68" s="10"/>
      <c r="AC68" s="10"/>
      <c r="AD68" s="10"/>
      <c r="AE68" s="10"/>
      <c r="AF68" s="9">
        <v>395.1</v>
      </c>
      <c r="AG68" s="9">
        <v>1015.9</v>
      </c>
      <c r="AH68" s="9">
        <v>385.6</v>
      </c>
      <c r="AI68" s="10">
        <v>15.5</v>
      </c>
      <c r="AJ68" s="10">
        <v>0</v>
      </c>
      <c r="AK68" s="10"/>
      <c r="AW68" s="12" t="s">
        <v>0</v>
      </c>
      <c r="AX68" s="20">
        <f>AX67/Main!M3</f>
        <v>171.12429689671688</v>
      </c>
    </row>
    <row r="69" spans="2:50" s="9" customFormat="1">
      <c r="B69" s="9" t="s">
        <v>37</v>
      </c>
      <c r="C69" s="10"/>
      <c r="D69" s="10"/>
      <c r="E69" s="10"/>
      <c r="F69" s="10"/>
      <c r="G69" s="10"/>
      <c r="H69" s="10"/>
      <c r="I69" s="10"/>
      <c r="J69" s="10"/>
      <c r="K69" s="10">
        <v>5.7</v>
      </c>
      <c r="L69" s="10">
        <f>14.5-K69</f>
        <v>8.8000000000000007</v>
      </c>
      <c r="M69" s="10">
        <f>20.7-L69-K69</f>
        <v>6.1999999999999984</v>
      </c>
      <c r="N69" s="10">
        <f>30.5-M69-L69-K69</f>
        <v>9.8000000000000007</v>
      </c>
      <c r="O69" s="10">
        <v>11.1</v>
      </c>
      <c r="P69" s="26"/>
      <c r="Q69" s="10"/>
      <c r="R69" s="10"/>
      <c r="S69" s="10"/>
      <c r="T69" s="10"/>
      <c r="U69" s="10"/>
      <c r="V69" s="10"/>
      <c r="W69" s="10"/>
      <c r="AB69" s="10"/>
      <c r="AC69" s="10"/>
      <c r="AD69" s="10"/>
      <c r="AE69" s="10"/>
      <c r="AF69" s="9">
        <v>25.6</v>
      </c>
      <c r="AG69" s="9">
        <v>10.7</v>
      </c>
      <c r="AH69" s="9">
        <v>8.9</v>
      </c>
      <c r="AI69" s="10">
        <v>7.9</v>
      </c>
      <c r="AJ69" s="10">
        <v>30.5</v>
      </c>
      <c r="AK69" s="10"/>
      <c r="AW69" s="9" t="s">
        <v>98</v>
      </c>
      <c r="AX69" s="11">
        <f>AX68/Main!M2-1</f>
        <v>0.33170659063592911</v>
      </c>
    </row>
    <row r="70" spans="2:50" s="9" customFormat="1">
      <c r="B70" s="9" t="s">
        <v>58</v>
      </c>
      <c r="C70" s="10"/>
      <c r="D70" s="10"/>
      <c r="E70" s="10"/>
      <c r="F70" s="10"/>
      <c r="G70" s="10"/>
      <c r="H70" s="10"/>
      <c r="I70" s="10"/>
      <c r="J70" s="10"/>
      <c r="K70" s="10">
        <v>0</v>
      </c>
      <c r="L70" s="10">
        <v>0</v>
      </c>
      <c r="M70" s="10">
        <v>0</v>
      </c>
      <c r="N70" s="10">
        <f>-16.3-M70-L70-K70</f>
        <v>-16.3</v>
      </c>
      <c r="O70" s="10"/>
      <c r="P70" s="26"/>
      <c r="Q70" s="10"/>
      <c r="R70" s="10"/>
      <c r="S70" s="10"/>
      <c r="T70" s="10"/>
      <c r="U70" s="10"/>
      <c r="V70" s="10"/>
      <c r="W70" s="10"/>
      <c r="AB70" s="10"/>
      <c r="AC70" s="10"/>
      <c r="AD70" s="10"/>
      <c r="AE70" s="10"/>
      <c r="AF70" s="9">
        <v>-107.9</v>
      </c>
      <c r="AG70" s="9">
        <v>-4.0999999999999996</v>
      </c>
      <c r="AH70" s="9">
        <v>61.4</v>
      </c>
      <c r="AI70" s="10">
        <v>80.3</v>
      </c>
      <c r="AJ70" s="10">
        <v>-16.3</v>
      </c>
      <c r="AK70" s="10"/>
    </row>
    <row r="71" spans="2:50" s="9" customFormat="1">
      <c r="B71" s="9" t="s">
        <v>38</v>
      </c>
      <c r="C71" s="10"/>
      <c r="D71" s="10"/>
      <c r="E71" s="10"/>
      <c r="F71" s="10"/>
      <c r="G71" s="10"/>
      <c r="H71" s="10"/>
      <c r="I71" s="10"/>
      <c r="J71" s="10"/>
      <c r="K71" s="10">
        <v>0.4</v>
      </c>
      <c r="L71" s="10">
        <f>0.5-K71</f>
        <v>9.9999999999999978E-2</v>
      </c>
      <c r="M71" s="10">
        <v>0</v>
      </c>
      <c r="N71" s="10">
        <f>5.4-M71-L71-K71</f>
        <v>4.9000000000000004</v>
      </c>
      <c r="O71" s="10">
        <v>-6.9</v>
      </c>
      <c r="P71" s="26"/>
      <c r="Q71" s="10"/>
      <c r="R71" s="10"/>
      <c r="S71" s="10"/>
      <c r="T71" s="10"/>
      <c r="U71" s="10"/>
      <c r="V71" s="10"/>
      <c r="W71" s="10"/>
      <c r="AB71" s="10"/>
      <c r="AC71" s="10"/>
      <c r="AD71" s="10"/>
      <c r="AE71" s="10"/>
      <c r="AF71" s="9">
        <v>-6.4</v>
      </c>
      <c r="AG71" s="9">
        <v>-100.8</v>
      </c>
      <c r="AH71" s="9">
        <v>1.9</v>
      </c>
      <c r="AI71" s="10">
        <v>-27.3</v>
      </c>
      <c r="AJ71" s="10">
        <v>0</v>
      </c>
      <c r="AK71" s="10"/>
    </row>
    <row r="72" spans="2:50" s="9" customFormat="1">
      <c r="B72" s="9" t="s">
        <v>39</v>
      </c>
      <c r="C72" s="10"/>
      <c r="D72" s="10"/>
      <c r="E72" s="10"/>
      <c r="F72" s="10"/>
      <c r="G72" s="10"/>
      <c r="H72" s="10"/>
      <c r="I72" s="10"/>
      <c r="J72" s="10"/>
      <c r="K72" s="10">
        <v>0</v>
      </c>
      <c r="L72" s="10">
        <v>0</v>
      </c>
      <c r="M72" s="10">
        <v>0</v>
      </c>
      <c r="N72" s="10">
        <v>0</v>
      </c>
      <c r="O72" s="10">
        <v>33.700000000000003</v>
      </c>
      <c r="P72" s="26"/>
      <c r="Q72" s="10"/>
      <c r="R72" s="10"/>
      <c r="S72" s="10"/>
      <c r="T72" s="10"/>
      <c r="U72" s="10"/>
      <c r="V72" s="10"/>
      <c r="W72" s="10"/>
      <c r="AB72" s="10"/>
      <c r="AC72" s="10"/>
      <c r="AD72" s="10"/>
      <c r="AE72" s="10"/>
      <c r="AF72" s="9">
        <v>0</v>
      </c>
      <c r="AG72" s="9">
        <v>0</v>
      </c>
      <c r="AH72" s="9">
        <v>0</v>
      </c>
      <c r="AI72" s="10">
        <v>0</v>
      </c>
      <c r="AJ72" s="10">
        <v>0</v>
      </c>
      <c r="AK72" s="10"/>
    </row>
    <row r="73" spans="2:50" s="9" customFormat="1">
      <c r="B73" s="9" t="s">
        <v>40</v>
      </c>
      <c r="C73" s="10"/>
      <c r="D73" s="10"/>
      <c r="E73" s="10"/>
      <c r="F73" s="10"/>
      <c r="G73" s="10"/>
      <c r="H73" s="10"/>
      <c r="I73" s="10"/>
      <c r="J73" s="10"/>
      <c r="K73" s="10">
        <v>0</v>
      </c>
      <c r="L73" s="10">
        <v>0</v>
      </c>
      <c r="M73" s="10">
        <f>1.9-L73-K73</f>
        <v>1.9</v>
      </c>
      <c r="N73" s="10">
        <v>0</v>
      </c>
      <c r="O73" s="10">
        <v>0.4</v>
      </c>
      <c r="P73" s="26"/>
      <c r="Q73" s="10"/>
      <c r="R73" s="10"/>
      <c r="S73" s="10"/>
      <c r="T73" s="10"/>
      <c r="U73" s="10"/>
      <c r="V73" s="10"/>
      <c r="W73" s="10"/>
      <c r="AB73" s="10"/>
      <c r="AC73" s="10"/>
      <c r="AD73" s="10"/>
      <c r="AE73" s="10"/>
      <c r="AF73" s="9">
        <v>8.5</v>
      </c>
      <c r="AG73" s="9">
        <v>2</v>
      </c>
      <c r="AH73" s="9">
        <v>9.1</v>
      </c>
      <c r="AI73" s="10">
        <v>0</v>
      </c>
      <c r="AJ73" s="10">
        <v>5.4</v>
      </c>
      <c r="AK73" s="10"/>
    </row>
    <row r="74" spans="2:50" s="9" customFormat="1">
      <c r="B74" s="9" t="s">
        <v>41</v>
      </c>
      <c r="C74" s="10"/>
      <c r="D74" s="10"/>
      <c r="E74" s="10"/>
      <c r="F74" s="10"/>
      <c r="G74" s="10"/>
      <c r="H74" s="10"/>
      <c r="I74" s="10"/>
      <c r="J74" s="10"/>
      <c r="K74" s="10">
        <v>-0.5</v>
      </c>
      <c r="L74" s="10">
        <f>-0.6-K74</f>
        <v>-9.9999999999999978E-2</v>
      </c>
      <c r="M74" s="10">
        <f>-1.4-L74-K74</f>
        <v>-0.79999999999999982</v>
      </c>
      <c r="N74" s="10">
        <f>-3.5-M74-L74-K74</f>
        <v>-2.1</v>
      </c>
      <c r="O74" s="10">
        <v>-4.8</v>
      </c>
      <c r="P74" s="26"/>
      <c r="Q74" s="10"/>
      <c r="R74" s="10"/>
      <c r="S74" s="10"/>
      <c r="T74" s="10"/>
      <c r="U74" s="10"/>
      <c r="V74" s="10"/>
      <c r="W74" s="10"/>
      <c r="AB74" s="10"/>
      <c r="AC74" s="10"/>
      <c r="AD74" s="10"/>
      <c r="AE74" s="10"/>
      <c r="AF74" s="9">
        <v>-34.200000000000003</v>
      </c>
      <c r="AG74" s="9">
        <v>-36.200000000000003</v>
      </c>
      <c r="AH74" s="9">
        <v>4.0999999999999996</v>
      </c>
      <c r="AI74" s="10">
        <v>0.9</v>
      </c>
      <c r="AJ74" s="10">
        <v>-3.5</v>
      </c>
      <c r="AK74" s="10"/>
    </row>
    <row r="75" spans="2:50" s="9" customFormat="1">
      <c r="B75" s="9" t="s">
        <v>42</v>
      </c>
      <c r="C75" s="10"/>
      <c r="D75" s="10"/>
      <c r="E75" s="10"/>
      <c r="F75" s="10"/>
      <c r="G75" s="10"/>
      <c r="H75" s="10"/>
      <c r="I75" s="10"/>
      <c r="J75" s="10"/>
      <c r="K75" s="10">
        <f>3.1+32.4-2.9-1.2-11.4-15-0.1</f>
        <v>4.9000000000000004</v>
      </c>
      <c r="L75" s="10">
        <f>36.2+1.2-4-13.8+25.2-16.1-0.1-K75</f>
        <v>23.700000000000003</v>
      </c>
      <c r="M75" s="10">
        <f>21-545.2-5.1-12.9+376.9-18.1-L75-K75</f>
        <v>-212.00000000000009</v>
      </c>
      <c r="N75" s="10">
        <f>-38.4-329.6-6.5-21.7+224.4-0.9+1.5-M75-L75-K75</f>
        <v>12.200000000000093</v>
      </c>
      <c r="O75" s="10">
        <f>36.3-9.9-30.3+3.5-179.8-16.4</f>
        <v>-196.60000000000002</v>
      </c>
      <c r="P75" s="26"/>
      <c r="Q75" s="10"/>
      <c r="R75" s="10"/>
      <c r="S75" s="10"/>
      <c r="T75" s="10"/>
      <c r="U75" s="10"/>
      <c r="V75" s="10"/>
      <c r="W75" s="10"/>
      <c r="AB75" s="10"/>
      <c r="AC75" s="10"/>
      <c r="AD75" s="10"/>
      <c r="AE75" s="10"/>
      <c r="AF75" s="9">
        <f>35.7-256.3-1.2-24.7+169.8-14.8</f>
        <v>-91.499999999999986</v>
      </c>
      <c r="AG75" s="9">
        <f>-34.4-44.7+2.2-18.7+17.1+4.9</f>
        <v>-73.599999999999994</v>
      </c>
      <c r="AH75" s="9">
        <f>-10.9+361.1+3.6-75.9-792.8+4.1</f>
        <v>-510.79999999999984</v>
      </c>
      <c r="AI75" s="10">
        <f>39.8+282.4+8.4-87-78.6+19-3</f>
        <v>180.99999999999997</v>
      </c>
      <c r="AJ75" s="10">
        <f>-38.4-329.6-6.5-21.7+224.4-0.9+1.5</f>
        <v>-171.2</v>
      </c>
      <c r="AK75" s="10"/>
    </row>
    <row r="76" spans="2:50" s="9" customFormat="1">
      <c r="B76" s="9" t="s">
        <v>43</v>
      </c>
      <c r="C76" s="10"/>
      <c r="D76" s="10"/>
      <c r="E76" s="10"/>
      <c r="F76" s="10"/>
      <c r="G76" s="10"/>
      <c r="H76" s="10"/>
      <c r="I76" s="10"/>
      <c r="J76" s="10"/>
      <c r="K76" s="10">
        <f>SUM(K63:K75)</f>
        <v>-18.799999999999997</v>
      </c>
      <c r="L76" s="10">
        <f>SUM(L63:L75)</f>
        <v>-11.500000000000014</v>
      </c>
      <c r="M76" s="10">
        <f t="shared" ref="M76:N76" si="119">SUM(M63:M75)</f>
        <v>-293.20000000000005</v>
      </c>
      <c r="N76" s="10">
        <f t="shared" si="119"/>
        <v>-110.89999999999991</v>
      </c>
      <c r="O76" s="10">
        <f>SUM(O63:O75)</f>
        <v>-303.90000000000003</v>
      </c>
      <c r="P76" s="26"/>
      <c r="Q76" s="10"/>
      <c r="R76" s="10"/>
      <c r="S76" s="10"/>
      <c r="T76" s="10"/>
      <c r="U76" s="10"/>
      <c r="V76" s="10"/>
      <c r="W76" s="10"/>
      <c r="AB76" s="10"/>
      <c r="AC76" s="10"/>
      <c r="AD76" s="10"/>
      <c r="AE76" s="10"/>
      <c r="AF76" s="21">
        <f>SUM(AF63:AF75)</f>
        <v>434.90000000000009</v>
      </c>
      <c r="AG76" s="21">
        <f>SUM(AG63:AG75)</f>
        <v>325.09999999999991</v>
      </c>
      <c r="AH76" s="21">
        <f t="shared" ref="AH76:AK76" si="120">SUM(AH63:AH75)</f>
        <v>-414.49999999999983</v>
      </c>
      <c r="AI76" s="21">
        <f t="shared" si="120"/>
        <v>123.69999999999996</v>
      </c>
      <c r="AJ76" s="21">
        <f t="shared" si="120"/>
        <v>-434.30000000000007</v>
      </c>
      <c r="AK76" s="21">
        <f t="shared" si="120"/>
        <v>0</v>
      </c>
      <c r="AL76" s="21">
        <f t="shared" ref="AL76" si="121">SUM(AL63:AL75)</f>
        <v>0</v>
      </c>
      <c r="AM76" s="21">
        <f t="shared" ref="AM76" si="122">SUM(AM63:AM75)</f>
        <v>0</v>
      </c>
      <c r="AN76" s="21">
        <f t="shared" ref="AN76" si="123">SUM(AN63:AN75)</f>
        <v>0</v>
      </c>
      <c r="AO76" s="21">
        <f t="shared" ref="AO76" si="124">SUM(AO63:AO75)</f>
        <v>0</v>
      </c>
      <c r="AP76" s="21">
        <f t="shared" ref="AP76" si="125">SUM(AP63:AP75)</f>
        <v>0</v>
      </c>
      <c r="AQ76" s="21">
        <f t="shared" ref="AQ76" si="126">SUM(AQ63:AQ75)</f>
        <v>0</v>
      </c>
      <c r="AR76" s="21">
        <f t="shared" ref="AR76" si="127">SUM(AR63:AR75)</f>
        <v>0</v>
      </c>
      <c r="AS76" s="21">
        <f t="shared" ref="AS76" si="128">SUM(AS63:AS75)</f>
        <v>0</v>
      </c>
      <c r="AT76" s="21">
        <f t="shared" ref="AT76" si="129">SUM(AT63:AT75)</f>
        <v>0</v>
      </c>
    </row>
    <row r="77" spans="2:50" s="9" customFormat="1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26"/>
      <c r="Q77" s="10"/>
      <c r="R77" s="10"/>
      <c r="S77" s="10"/>
      <c r="T77" s="10"/>
      <c r="U77" s="10"/>
      <c r="V77" s="10"/>
      <c r="W77" s="10"/>
      <c r="AB77" s="10"/>
      <c r="AC77" s="10"/>
      <c r="AD77" s="10"/>
      <c r="AE77" s="10"/>
      <c r="AI77" s="10"/>
      <c r="AJ77" s="10"/>
      <c r="AK77" s="10"/>
    </row>
    <row r="78" spans="2:50" s="9" customFormat="1">
      <c r="B78" s="9" t="s">
        <v>44</v>
      </c>
      <c r="C78" s="10"/>
      <c r="D78" s="10"/>
      <c r="E78" s="10"/>
      <c r="F78" s="10"/>
      <c r="G78" s="10"/>
      <c r="H78" s="10"/>
      <c r="I78" s="10"/>
      <c r="J78" s="10"/>
      <c r="K78" s="10">
        <v>-14.7</v>
      </c>
      <c r="L78" s="10">
        <f>-28.2-K78</f>
        <v>-13.5</v>
      </c>
      <c r="M78" s="10">
        <f>-40.7-L78-K78</f>
        <v>-12.500000000000004</v>
      </c>
      <c r="N78" s="10">
        <f>-62-M78-L78-K78</f>
        <v>-21.3</v>
      </c>
      <c r="O78" s="10">
        <v>76.900000000000006</v>
      </c>
      <c r="P78" s="26"/>
      <c r="Q78" s="10"/>
      <c r="R78" s="10"/>
      <c r="S78" s="10"/>
      <c r="T78" s="10"/>
      <c r="U78" s="10"/>
      <c r="V78" s="10"/>
      <c r="W78" s="10"/>
      <c r="AB78" s="10"/>
      <c r="AC78" s="10"/>
      <c r="AD78" s="10"/>
      <c r="AE78" s="10"/>
      <c r="AF78" s="22">
        <v>113.4</v>
      </c>
      <c r="AG78" s="22">
        <v>93.7</v>
      </c>
      <c r="AH78" s="22">
        <v>78.5</v>
      </c>
      <c r="AI78" s="23">
        <v>60</v>
      </c>
      <c r="AJ78" s="23">
        <v>62</v>
      </c>
      <c r="AK78" s="23"/>
    </row>
    <row r="79" spans="2:50" s="9" customFormat="1">
      <c r="B79" s="9" t="s">
        <v>45</v>
      </c>
      <c r="C79" s="10"/>
      <c r="D79" s="10"/>
      <c r="E79" s="10"/>
      <c r="F79" s="10"/>
      <c r="G79" s="10"/>
      <c r="H79" s="10"/>
      <c r="I79" s="10"/>
      <c r="J79" s="10"/>
      <c r="K79" s="10">
        <v>0</v>
      </c>
      <c r="L79" s="10">
        <v>0</v>
      </c>
      <c r="M79" s="10">
        <v>0</v>
      </c>
      <c r="N79" s="10">
        <v>0</v>
      </c>
      <c r="O79" s="10">
        <v>-10.8</v>
      </c>
      <c r="P79" s="26"/>
      <c r="Q79" s="10"/>
      <c r="R79" s="10"/>
      <c r="S79" s="10"/>
      <c r="T79" s="10"/>
      <c r="U79" s="10"/>
      <c r="V79" s="10"/>
      <c r="W79" s="10"/>
      <c r="AB79" s="10"/>
      <c r="AC79" s="10"/>
      <c r="AD79" s="10"/>
      <c r="AE79" s="10"/>
      <c r="AI79" s="10"/>
      <c r="AJ79" s="10"/>
      <c r="AK79" s="10"/>
    </row>
    <row r="80" spans="2:50" s="9" customFormat="1">
      <c r="B80" s="9" t="s">
        <v>41</v>
      </c>
      <c r="C80" s="10"/>
      <c r="D80" s="10"/>
      <c r="E80" s="10"/>
      <c r="F80" s="10"/>
      <c r="G80" s="10"/>
      <c r="H80" s="10"/>
      <c r="I80" s="10"/>
      <c r="J80" s="10"/>
      <c r="K80" s="10">
        <v>0</v>
      </c>
      <c r="L80" s="10">
        <f>-0.1-K80</f>
        <v>-0.1</v>
      </c>
      <c r="M80" s="10">
        <f>-0.4-L80-K80</f>
        <v>-0.30000000000000004</v>
      </c>
      <c r="N80" s="10">
        <f>-2.8-M80-L80-K80</f>
        <v>-2.4</v>
      </c>
      <c r="O80" s="10"/>
      <c r="P80" s="26"/>
      <c r="Q80" s="10"/>
      <c r="R80" s="10"/>
      <c r="S80" s="10"/>
      <c r="T80" s="10"/>
      <c r="U80" s="10"/>
      <c r="V80" s="10"/>
      <c r="W80" s="10"/>
      <c r="AB80" s="10"/>
      <c r="AC80" s="10"/>
      <c r="AD80" s="10"/>
      <c r="AE80" s="10"/>
      <c r="AI80" s="10"/>
      <c r="AJ80" s="10"/>
      <c r="AK80" s="10"/>
    </row>
    <row r="81" spans="2:37" s="9" customFormat="1">
      <c r="B81" s="9" t="s">
        <v>46</v>
      </c>
      <c r="C81" s="10"/>
      <c r="D81" s="10"/>
      <c r="E81" s="10"/>
      <c r="F81" s="10"/>
      <c r="G81" s="10"/>
      <c r="H81" s="10"/>
      <c r="I81" s="10"/>
      <c r="J81" s="10"/>
      <c r="K81" s="10">
        <f>K78+K79+K80</f>
        <v>-14.7</v>
      </c>
      <c r="L81" s="10">
        <f>L78+L79+L80</f>
        <v>-13.6</v>
      </c>
      <c r="M81" s="10">
        <f t="shared" ref="M81:O81" si="130">M78+M79+M80</f>
        <v>-12.800000000000004</v>
      </c>
      <c r="N81" s="10">
        <f t="shared" si="130"/>
        <v>-23.7</v>
      </c>
      <c r="O81" s="10">
        <f t="shared" si="130"/>
        <v>66.100000000000009</v>
      </c>
      <c r="P81" s="26"/>
      <c r="Q81" s="10"/>
      <c r="R81" s="10"/>
      <c r="S81" s="10"/>
      <c r="T81" s="10"/>
      <c r="U81" s="10"/>
      <c r="V81" s="10"/>
      <c r="W81" s="10"/>
      <c r="AB81" s="10"/>
      <c r="AC81" s="10"/>
      <c r="AD81" s="10"/>
      <c r="AE81" s="10"/>
      <c r="AI81" s="10"/>
      <c r="AJ81" s="10"/>
      <c r="AK81" s="10"/>
    </row>
    <row r="82" spans="2:37" s="9" customFormat="1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26"/>
      <c r="Q82" s="10"/>
      <c r="R82" s="10"/>
      <c r="S82" s="10"/>
      <c r="T82" s="10"/>
      <c r="U82" s="10"/>
      <c r="V82" s="10"/>
      <c r="W82" s="10"/>
      <c r="AB82" s="10"/>
      <c r="AC82" s="10"/>
      <c r="AD82" s="10"/>
      <c r="AE82" s="10"/>
      <c r="AI82" s="10"/>
      <c r="AJ82" s="10"/>
      <c r="AK82" s="10"/>
    </row>
    <row r="83" spans="2:37" s="9" customFormat="1">
      <c r="B83" s="9" t="s">
        <v>118</v>
      </c>
      <c r="C83" s="10"/>
      <c r="D83" s="10"/>
      <c r="E83" s="10"/>
      <c r="F83" s="10"/>
      <c r="G83" s="10"/>
      <c r="H83" s="10"/>
      <c r="I83" s="10"/>
      <c r="J83" s="10"/>
      <c r="K83" s="10">
        <v>551.70000000000005</v>
      </c>
      <c r="L83" s="10">
        <f>1672.8-K83</f>
        <v>1121.0999999999999</v>
      </c>
      <c r="M83" s="10">
        <f>1672.8-L83-K83</f>
        <v>0</v>
      </c>
      <c r="N83" s="10">
        <f>1672.8-M83-L83-K83</f>
        <v>0</v>
      </c>
      <c r="O83" s="10"/>
      <c r="P83" s="26"/>
      <c r="Q83" s="10"/>
      <c r="R83" s="10"/>
      <c r="S83" s="10"/>
      <c r="T83" s="10"/>
      <c r="U83" s="10"/>
      <c r="V83" s="10"/>
      <c r="W83" s="10"/>
      <c r="AB83" s="10"/>
      <c r="AC83" s="10"/>
      <c r="AD83" s="10"/>
      <c r="AE83" s="10"/>
      <c r="AI83" s="10"/>
      <c r="AJ83" s="10"/>
      <c r="AK83" s="10"/>
    </row>
    <row r="84" spans="2:37" s="9" customFormat="1">
      <c r="B84" s="9" t="s">
        <v>4</v>
      </c>
      <c r="C84" s="10"/>
      <c r="D84" s="10"/>
      <c r="E84" s="10"/>
      <c r="F84" s="10"/>
      <c r="G84" s="10"/>
      <c r="H84" s="10"/>
      <c r="I84" s="10"/>
      <c r="J84" s="10"/>
      <c r="K84" s="10">
        <f>-25-307.4-0.1</f>
        <v>-332.5</v>
      </c>
      <c r="L84" s="10">
        <v>0</v>
      </c>
      <c r="M84" s="10">
        <f>-25-307.4-0.1-L84-K84</f>
        <v>0</v>
      </c>
      <c r="N84" s="10">
        <f>-307.4-25-M84-L84-K84-3</f>
        <v>-2.8999999999999773</v>
      </c>
      <c r="O84" s="10"/>
      <c r="P84" s="26"/>
      <c r="Q84" s="10"/>
      <c r="R84" s="10"/>
      <c r="S84" s="10"/>
      <c r="T84" s="10"/>
      <c r="U84" s="10"/>
      <c r="V84" s="10"/>
      <c r="W84" s="10"/>
      <c r="AB84" s="10"/>
      <c r="AC84" s="10"/>
      <c r="AD84" s="10"/>
      <c r="AE84" s="10"/>
      <c r="AI84" s="10"/>
      <c r="AJ84" s="10"/>
      <c r="AK84" s="10"/>
    </row>
    <row r="85" spans="2:37" s="9" customFormat="1">
      <c r="B85" s="9" t="s">
        <v>47</v>
      </c>
      <c r="C85" s="10"/>
      <c r="D85" s="10"/>
      <c r="E85" s="10"/>
      <c r="F85" s="10"/>
      <c r="G85" s="10"/>
      <c r="H85" s="10"/>
      <c r="I85" s="10"/>
      <c r="J85" s="10"/>
      <c r="K85" s="10">
        <v>-49.9</v>
      </c>
      <c r="L85" s="10">
        <f>-136.6-K85</f>
        <v>-86.699999999999989</v>
      </c>
      <c r="M85" s="10">
        <f>-136.6-L85-K85</f>
        <v>0</v>
      </c>
      <c r="N85" s="10">
        <f>-136.8-M85-L85-K85</f>
        <v>-0.20000000000002416</v>
      </c>
      <c r="O85" s="10">
        <v>-1.1000000000000001</v>
      </c>
      <c r="P85" s="26"/>
      <c r="Q85" s="10"/>
      <c r="R85" s="10"/>
      <c r="S85" s="10"/>
      <c r="T85" s="10"/>
      <c r="U85" s="10"/>
      <c r="V85" s="10"/>
      <c r="W85" s="10"/>
      <c r="AB85" s="10"/>
      <c r="AC85" s="10"/>
      <c r="AD85" s="10"/>
      <c r="AE85" s="10"/>
      <c r="AI85" s="10"/>
      <c r="AJ85" s="10"/>
      <c r="AK85" s="10"/>
    </row>
    <row r="86" spans="2:37" s="9" customFormat="1">
      <c r="B86" s="9" t="s">
        <v>48</v>
      </c>
      <c r="C86" s="10"/>
      <c r="D86" s="10"/>
      <c r="E86" s="10"/>
      <c r="F86" s="10"/>
      <c r="G86" s="10"/>
      <c r="H86" s="10"/>
      <c r="I86" s="10"/>
      <c r="J86" s="10"/>
      <c r="K86" s="10">
        <f>SUM(K83:K85)</f>
        <v>169.30000000000004</v>
      </c>
      <c r="L86" s="10">
        <f>SUM(L83:L85)</f>
        <v>1034.3999999999999</v>
      </c>
      <c r="M86" s="10">
        <f>SUM(M83:M85)</f>
        <v>0</v>
      </c>
      <c r="N86" s="10">
        <f>SUM(N83:N85)</f>
        <v>-3.1000000000000014</v>
      </c>
      <c r="O86" s="10">
        <f>O85</f>
        <v>-1.1000000000000001</v>
      </c>
      <c r="P86" s="26"/>
      <c r="Q86" s="10"/>
      <c r="R86" s="10"/>
      <c r="S86" s="10"/>
      <c r="T86" s="10"/>
      <c r="U86" s="10"/>
      <c r="V86" s="10"/>
      <c r="W86" s="10"/>
      <c r="AB86" s="10"/>
      <c r="AC86" s="10"/>
      <c r="AD86" s="10"/>
      <c r="AE86" s="10"/>
      <c r="AI86" s="10"/>
      <c r="AJ86" s="10"/>
      <c r="AK86" s="10"/>
    </row>
    <row r="87" spans="2:37" s="9" customFormat="1">
      <c r="B87" s="9" t="s">
        <v>49</v>
      </c>
      <c r="C87" s="10"/>
      <c r="D87" s="10"/>
      <c r="E87" s="10"/>
      <c r="F87" s="10"/>
      <c r="G87" s="10"/>
      <c r="H87" s="10"/>
      <c r="I87" s="10"/>
      <c r="J87" s="10"/>
      <c r="K87" s="10">
        <v>0</v>
      </c>
      <c r="L87" s="10">
        <f>-4.5-K87</f>
        <v>-4.5</v>
      </c>
      <c r="M87" s="10">
        <f>-5.5-L87-K87</f>
        <v>-1</v>
      </c>
      <c r="N87" s="10">
        <f>-16.6-M87-L87-K87</f>
        <v>-11.100000000000001</v>
      </c>
      <c r="O87" s="10">
        <v>2.6</v>
      </c>
      <c r="P87" s="26"/>
      <c r="Q87" s="10"/>
      <c r="R87" s="10"/>
      <c r="S87" s="10"/>
      <c r="T87" s="10"/>
      <c r="U87" s="10"/>
      <c r="V87" s="10"/>
      <c r="W87" s="10"/>
      <c r="AB87" s="10"/>
      <c r="AC87" s="10"/>
      <c r="AD87" s="10"/>
      <c r="AE87" s="10"/>
      <c r="AI87" s="10"/>
      <c r="AJ87" s="10"/>
      <c r="AK87" s="10"/>
    </row>
    <row r="88" spans="2:37" s="9" customFormat="1">
      <c r="B88" s="9" t="s">
        <v>50</v>
      </c>
      <c r="C88" s="10"/>
      <c r="D88" s="10"/>
      <c r="E88" s="10"/>
      <c r="F88" s="10"/>
      <c r="G88" s="10"/>
      <c r="H88" s="10"/>
      <c r="I88" s="10"/>
      <c r="J88" s="10"/>
      <c r="K88" s="10">
        <f>K86+K81+K76+K87</f>
        <v>135.80000000000007</v>
      </c>
      <c r="L88" s="10">
        <f>L86+L81+L76+L87</f>
        <v>1004.7999999999998</v>
      </c>
      <c r="M88" s="10">
        <f>M86+M81+M76+M87</f>
        <v>-307.00000000000006</v>
      </c>
      <c r="N88" s="10">
        <f>N86+N81+N76+N87</f>
        <v>-148.7999999999999</v>
      </c>
      <c r="O88" s="10">
        <f>O86+O81+O76+O87</f>
        <v>-236.30000000000004</v>
      </c>
      <c r="P88" s="26"/>
      <c r="Q88" s="10"/>
      <c r="R88" s="10"/>
      <c r="S88" s="10"/>
      <c r="T88" s="10"/>
      <c r="U88" s="10"/>
      <c r="V88" s="10"/>
      <c r="W88" s="10"/>
      <c r="AB88" s="10"/>
      <c r="AC88" s="10"/>
      <c r="AD88" s="10"/>
      <c r="AE88" s="10"/>
      <c r="AI88" s="10"/>
      <c r="AJ88" s="10"/>
      <c r="AK88" s="10"/>
    </row>
    <row r="89" spans="2:37" s="9" customFormat="1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26"/>
      <c r="Q89" s="10"/>
      <c r="R89" s="10"/>
      <c r="S89" s="10"/>
      <c r="T89" s="10"/>
      <c r="U89" s="10"/>
      <c r="V89" s="10"/>
      <c r="W89" s="10"/>
      <c r="AB89" s="10"/>
      <c r="AC89" s="10"/>
      <c r="AD89" s="10"/>
      <c r="AE89" s="10"/>
      <c r="AI89" s="10"/>
      <c r="AJ89" s="10"/>
      <c r="AK89" s="10"/>
    </row>
    <row r="90" spans="2:37" s="9" customFormat="1">
      <c r="B90" s="9" t="s">
        <v>83</v>
      </c>
      <c r="C90" s="10"/>
      <c r="D90" s="10"/>
      <c r="E90" s="10"/>
      <c r="F90" s="10"/>
      <c r="G90" s="10"/>
      <c r="H90" s="10"/>
      <c r="I90" s="10"/>
      <c r="J90" s="10"/>
      <c r="K90" s="10">
        <f>K76+K78</f>
        <v>-33.5</v>
      </c>
      <c r="L90" s="10">
        <f>L76+L78</f>
        <v>-25.000000000000014</v>
      </c>
      <c r="M90" s="10">
        <f t="shared" ref="M90:O90" si="131">M76+M78</f>
        <v>-305.70000000000005</v>
      </c>
      <c r="N90" s="10">
        <f t="shared" si="131"/>
        <v>-132.1999999999999</v>
      </c>
      <c r="O90" s="10">
        <f t="shared" si="131"/>
        <v>-227.00000000000003</v>
      </c>
      <c r="P90" s="26"/>
      <c r="Q90" s="10"/>
      <c r="R90" s="10"/>
      <c r="S90" s="10"/>
      <c r="T90" s="10"/>
      <c r="U90" s="10"/>
      <c r="V90" s="10"/>
      <c r="W90" s="10"/>
      <c r="AB90" s="10"/>
      <c r="AC90" s="10"/>
      <c r="AD90" s="10"/>
      <c r="AE90" s="10"/>
      <c r="AF90" s="22">
        <f>AF76-AF78</f>
        <v>321.50000000000011</v>
      </c>
      <c r="AG90" s="22">
        <f>AG76-AG78</f>
        <v>231.39999999999992</v>
      </c>
      <c r="AH90" s="22">
        <f t="shared" ref="AH90:AJ90" si="132">AH76-AH78</f>
        <v>-492.99999999999983</v>
      </c>
      <c r="AI90" s="22">
        <f t="shared" si="132"/>
        <v>63.69999999999996</v>
      </c>
      <c r="AJ90" s="22">
        <f t="shared" si="132"/>
        <v>-496.30000000000007</v>
      </c>
      <c r="AK90" s="10"/>
    </row>
    <row r="91" spans="2:37" s="9" customFormat="1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P91" s="26"/>
      <c r="Q91" s="10"/>
      <c r="R91" s="10"/>
      <c r="S91" s="10"/>
      <c r="T91" s="10"/>
      <c r="U91" s="10"/>
      <c r="V91" s="10"/>
      <c r="W91" s="10"/>
      <c r="AB91" s="10"/>
      <c r="AC91" s="10"/>
      <c r="AD91" s="10"/>
      <c r="AE91" s="10"/>
      <c r="AI91" s="10"/>
      <c r="AJ91" s="10"/>
      <c r="AK91" s="10"/>
    </row>
    <row r="92" spans="2:37" s="9" customFormat="1">
      <c r="B92" s="9" t="s">
        <v>79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>
        <v>163.1</v>
      </c>
      <c r="O92" s="10">
        <v>150</v>
      </c>
      <c r="P92" s="26"/>
      <c r="Q92" s="10"/>
      <c r="R92" s="10"/>
      <c r="S92" s="10"/>
      <c r="T92" s="10"/>
      <c r="U92" s="10"/>
      <c r="V92" s="10"/>
      <c r="W92" s="10"/>
      <c r="AB92" s="10"/>
      <c r="AC92" s="10"/>
      <c r="AD92" s="10"/>
      <c r="AE92" s="10"/>
      <c r="AI92" s="10"/>
      <c r="AJ92" s="10"/>
      <c r="AK92" s="10"/>
    </row>
    <row r="93" spans="2:37" s="9" customFormat="1">
      <c r="B93" s="9" t="s">
        <v>66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>
        <v>590.29999999999995</v>
      </c>
      <c r="O93" s="10">
        <v>525.6</v>
      </c>
      <c r="P93" s="26"/>
      <c r="Q93" s="10"/>
      <c r="R93" s="10"/>
      <c r="S93" s="10"/>
      <c r="T93" s="10"/>
      <c r="U93" s="10"/>
      <c r="V93" s="10"/>
      <c r="W93" s="10"/>
      <c r="AB93" s="10"/>
      <c r="AC93" s="10"/>
      <c r="AD93" s="10"/>
      <c r="AE93" s="10"/>
      <c r="AI93" s="10"/>
      <c r="AJ93" s="10"/>
      <c r="AK93" s="10"/>
    </row>
    <row r="94" spans="2:37" s="9" customFormat="1">
      <c r="B94" s="9" t="s">
        <v>76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>
        <v>977.1</v>
      </c>
      <c r="O94" s="10">
        <v>810.4</v>
      </c>
      <c r="P94" s="26"/>
      <c r="Q94" s="10"/>
      <c r="R94" s="10"/>
      <c r="S94" s="10"/>
      <c r="T94" s="10"/>
      <c r="U94" s="10"/>
      <c r="V94" s="10"/>
      <c r="W94" s="10"/>
      <c r="AB94" s="10"/>
      <c r="AC94" s="10"/>
      <c r="AD94" s="10"/>
      <c r="AE94" s="10"/>
      <c r="AI94" s="10"/>
      <c r="AJ94" s="10"/>
      <c r="AK94" s="10"/>
    </row>
    <row r="95" spans="2:37" s="9" customFormat="1">
      <c r="B95" s="9" t="s">
        <v>77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>
        <v>255</v>
      </c>
      <c r="O95" s="10">
        <v>312.5</v>
      </c>
      <c r="P95" s="26"/>
      <c r="Q95" s="10"/>
      <c r="R95" s="10"/>
      <c r="S95" s="10"/>
      <c r="T95" s="10"/>
      <c r="U95" s="10"/>
      <c r="V95" s="10"/>
      <c r="W95" s="10"/>
      <c r="AB95" s="10"/>
      <c r="AC95" s="10"/>
      <c r="AD95" s="10"/>
      <c r="AE95" s="10"/>
      <c r="AI95" s="10"/>
      <c r="AJ95" s="10"/>
      <c r="AK95" s="10"/>
    </row>
    <row r="96" spans="2:37">
      <c r="B96" s="9" t="s">
        <v>78</v>
      </c>
      <c r="N96" s="10">
        <v>162.4</v>
      </c>
      <c r="O96" s="10">
        <v>171.6</v>
      </c>
    </row>
    <row r="97" spans="2:15">
      <c r="B97" s="9" t="s">
        <v>67</v>
      </c>
      <c r="N97" s="10">
        <v>208.2</v>
      </c>
      <c r="O97" s="10">
        <v>233.3</v>
      </c>
    </row>
    <row r="98" spans="2:15">
      <c r="B98" s="9" t="s">
        <v>41</v>
      </c>
      <c r="N98" s="10">
        <v>128.80000000000001</v>
      </c>
      <c r="O98" s="10">
        <v>104.7</v>
      </c>
    </row>
    <row r="99" spans="2:15">
      <c r="B99" s="9" t="s">
        <v>80</v>
      </c>
      <c r="N99" s="10">
        <f>SUM(N92:N98)</f>
        <v>2484.9</v>
      </c>
      <c r="O99" s="10">
        <f>SUM(O92:O98)</f>
        <v>2308.1</v>
      </c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evan domingos - 2023</cp:lastModifiedBy>
  <dcterms:created xsi:type="dcterms:W3CDTF">2022-07-01T22:49:53Z</dcterms:created>
  <dcterms:modified xsi:type="dcterms:W3CDTF">2022-07-19T21:45:00Z</dcterms:modified>
</cp:coreProperties>
</file>