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van/Documents/WhiteSky/Models/"/>
    </mc:Choice>
  </mc:AlternateContent>
  <xr:revisionPtr revIDLastSave="0" documentId="13_ncr:1_{C74B68B2-E9BE-7B43-8508-EC2F13B4B900}" xr6:coauthVersionLast="47" xr6:coauthVersionMax="47" xr10:uidLastSave="{00000000-0000-0000-0000-000000000000}"/>
  <bookViews>
    <workbookView xWindow="0" yWindow="760" windowWidth="30240" windowHeight="18880" activeTab="2" xr2:uid="{7AB4E73A-A998-B44A-9CE4-BFF3B09C3F9D}"/>
  </bookViews>
  <sheets>
    <sheet name="Cover" sheetId="6" r:id="rId1"/>
    <sheet name="Main" sheetId="4" r:id="rId2"/>
    <sheet name="Model" sheetId="1" r:id="rId3"/>
    <sheet name="DCF"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C76" i="1" l="1"/>
  <c r="AC72" i="1"/>
  <c r="AD72" i="1"/>
  <c r="AE72" i="1"/>
  <c r="AF72" i="1"/>
  <c r="AG72" i="1"/>
  <c r="AH72" i="1"/>
  <c r="AB72" i="1"/>
  <c r="AC59" i="1"/>
  <c r="AD59" i="1" s="1"/>
  <c r="AE59" i="1" s="1"/>
  <c r="AF59" i="1" s="1"/>
  <c r="AG59" i="1" s="1"/>
  <c r="AH59" i="1" s="1"/>
  <c r="AB59" i="1"/>
  <c r="AC58" i="1"/>
  <c r="AD58" i="1"/>
  <c r="AE58" i="1" s="1"/>
  <c r="AF58" i="1" s="1"/>
  <c r="AG58" i="1" s="1"/>
  <c r="AH58" i="1" s="1"/>
  <c r="AC57" i="1"/>
  <c r="AD57" i="1"/>
  <c r="AE57" i="1" s="1"/>
  <c r="AF57" i="1" s="1"/>
  <c r="AG57" i="1" s="1"/>
  <c r="AH57" i="1" s="1"/>
  <c r="AB57" i="1"/>
  <c r="AB58" i="1"/>
  <c r="M57" i="1"/>
  <c r="N57" i="1" s="1"/>
  <c r="O57" i="1" s="1"/>
  <c r="L57" i="1"/>
  <c r="L58" i="1"/>
  <c r="M58" i="1" s="1"/>
  <c r="N58" i="1" s="1"/>
  <c r="L59" i="1"/>
  <c r="N59" i="1" s="1"/>
  <c r="M59" i="1"/>
  <c r="AB29" i="1"/>
  <c r="AC29" i="1" s="1"/>
  <c r="AD29" i="1" s="1"/>
  <c r="N27" i="1"/>
  <c r="O27" i="1"/>
  <c r="P27" i="1"/>
  <c r="Q27" i="1"/>
  <c r="M27" i="1"/>
  <c r="AA70" i="1"/>
  <c r="Z70" i="1"/>
  <c r="AA67" i="1"/>
  <c r="Z67" i="1"/>
  <c r="AA66" i="1"/>
  <c r="Z66" i="1"/>
  <c r="L27" i="1"/>
  <c r="M48" i="1"/>
  <c r="N48" i="1" s="1"/>
  <c r="O48" i="1" s="1"/>
  <c r="P48" i="1" s="1"/>
  <c r="Q48" i="1" s="1"/>
  <c r="G46" i="1"/>
  <c r="J46" i="1"/>
  <c r="K46" i="1"/>
  <c r="L46" i="1" s="1"/>
  <c r="M46" i="1" s="1"/>
  <c r="N46" i="1" s="1"/>
  <c r="O46" i="1" s="1"/>
  <c r="F46" i="1"/>
  <c r="G48" i="1"/>
  <c r="J48" i="1"/>
  <c r="K48" i="1"/>
  <c r="F48" i="1"/>
  <c r="K41" i="1"/>
  <c r="K34" i="1" s="1"/>
  <c r="L14" i="1"/>
  <c r="M14" i="1"/>
  <c r="N14" i="1"/>
  <c r="O14" i="1"/>
  <c r="P14" i="1"/>
  <c r="Q14" i="1"/>
  <c r="L15" i="1"/>
  <c r="M15" i="1"/>
  <c r="N15" i="1"/>
  <c r="O15" i="1"/>
  <c r="P15" i="1"/>
  <c r="Q15" i="1"/>
  <c r="G25" i="1"/>
  <c r="J25" i="1"/>
  <c r="K25" i="1"/>
  <c r="F25" i="1"/>
  <c r="L18" i="1"/>
  <c r="L17" i="1" s="1"/>
  <c r="J19" i="1"/>
  <c r="K19" i="1"/>
  <c r="G20" i="1"/>
  <c r="K20" i="1"/>
  <c r="F20" i="1"/>
  <c r="H24" i="1"/>
  <c r="I24" i="1" s="1"/>
  <c r="H22" i="1"/>
  <c r="I22" i="1" s="1"/>
  <c r="J14" i="1" s="1"/>
  <c r="H18" i="1"/>
  <c r="I18" i="1" s="1"/>
  <c r="I20" i="1" s="1"/>
  <c r="F13" i="1"/>
  <c r="F14" i="1"/>
  <c r="F15" i="1"/>
  <c r="E25" i="1"/>
  <c r="G15" i="1"/>
  <c r="G14" i="1"/>
  <c r="G13" i="1"/>
  <c r="F17" i="1"/>
  <c r="J17" i="1"/>
  <c r="K17" i="1"/>
  <c r="G17" i="1"/>
  <c r="K13" i="1"/>
  <c r="K14" i="1"/>
  <c r="K15" i="1"/>
  <c r="J29" i="1"/>
  <c r="K29" i="1" s="1"/>
  <c r="L29" i="1" s="1"/>
  <c r="M29" i="1" s="1"/>
  <c r="N29" i="1" s="1"/>
  <c r="O29" i="1" s="1"/>
  <c r="F60" i="1"/>
  <c r="G60" i="1"/>
  <c r="J60" i="1"/>
  <c r="F49" i="1"/>
  <c r="J49" i="1"/>
  <c r="K49" i="1"/>
  <c r="F41" i="1"/>
  <c r="F34" i="1" s="1"/>
  <c r="J41" i="1"/>
  <c r="J34" i="1" s="1"/>
  <c r="I67" i="1"/>
  <c r="H67" i="1" s="1"/>
  <c r="I66" i="1"/>
  <c r="H66" i="1" s="1"/>
  <c r="I59" i="1"/>
  <c r="H59" i="1" s="1"/>
  <c r="I58" i="1"/>
  <c r="H58" i="1" s="1"/>
  <c r="I57" i="1"/>
  <c r="H57" i="1" s="1"/>
  <c r="I47" i="1"/>
  <c r="H47" i="1" s="1"/>
  <c r="I45" i="1"/>
  <c r="I39" i="1"/>
  <c r="H39" i="1" s="1"/>
  <c r="I37" i="1"/>
  <c r="G41" i="1"/>
  <c r="G35" i="1" s="1"/>
  <c r="G49" i="1"/>
  <c r="K60" i="1"/>
  <c r="Z77" i="1"/>
  <c r="X131" i="1"/>
  <c r="Y131" i="1"/>
  <c r="Y122" i="1"/>
  <c r="X122" i="1"/>
  <c r="X114" i="1"/>
  <c r="Y114" i="1"/>
  <c r="Y104" i="1"/>
  <c r="Y94" i="1"/>
  <c r="Y100" i="1" s="1"/>
  <c r="X85" i="1"/>
  <c r="Y99" i="1"/>
  <c r="X99" i="1"/>
  <c r="X104" i="1"/>
  <c r="X94" i="1"/>
  <c r="X100" i="1" s="1"/>
  <c r="Y85" i="1"/>
  <c r="Y78" i="1"/>
  <c r="X77" i="1"/>
  <c r="Y77" i="1"/>
  <c r="Y60" i="1"/>
  <c r="X60" i="1"/>
  <c r="Y49" i="1"/>
  <c r="X49" i="1"/>
  <c r="Y41" i="1"/>
  <c r="X41" i="1"/>
  <c r="P57" i="1" l="1"/>
  <c r="Q57" i="1" s="1"/>
  <c r="O58" i="1"/>
  <c r="P58" i="1" s="1"/>
  <c r="O59" i="1"/>
  <c r="X50" i="1"/>
  <c r="Y42" i="1"/>
  <c r="Y50" i="1"/>
  <c r="AE29" i="1"/>
  <c r="Z58" i="1"/>
  <c r="Z57" i="1"/>
  <c r="L60" i="1"/>
  <c r="Z59" i="1"/>
  <c r="H48" i="1"/>
  <c r="I46" i="1"/>
  <c r="K50" i="1"/>
  <c r="I48" i="1"/>
  <c r="L19" i="1"/>
  <c r="J50" i="1"/>
  <c r="G50" i="1"/>
  <c r="F50" i="1"/>
  <c r="P46" i="1"/>
  <c r="Q46" i="1" s="1"/>
  <c r="M18" i="1"/>
  <c r="L25" i="1"/>
  <c r="L13" i="1"/>
  <c r="L12" i="1" s="1"/>
  <c r="L41" i="1" s="1"/>
  <c r="I19" i="1"/>
  <c r="G27" i="1"/>
  <c r="F27" i="1"/>
  <c r="I25" i="1"/>
  <c r="H25" i="1"/>
  <c r="J20" i="1"/>
  <c r="H20" i="1"/>
  <c r="G34" i="1"/>
  <c r="J35" i="1"/>
  <c r="K35" i="1"/>
  <c r="F35" i="1"/>
  <c r="J27" i="1"/>
  <c r="K27" i="1"/>
  <c r="K12" i="1"/>
  <c r="I17" i="1"/>
  <c r="J13" i="1"/>
  <c r="J15" i="1"/>
  <c r="H17" i="1"/>
  <c r="J31" i="1"/>
  <c r="K31" i="1"/>
  <c r="P29" i="1"/>
  <c r="Q29" i="1" s="1"/>
  <c r="Q30" i="1" s="1"/>
  <c r="O30" i="1"/>
  <c r="M30" i="1"/>
  <c r="N30" i="1"/>
  <c r="I49" i="1"/>
  <c r="J52" i="1"/>
  <c r="J54" i="1" s="1"/>
  <c r="J42" i="1"/>
  <c r="I41" i="1"/>
  <c r="H45" i="1"/>
  <c r="H49" i="1" s="1"/>
  <c r="H60" i="1"/>
  <c r="K52" i="1"/>
  <c r="F52" i="1"/>
  <c r="K42" i="1"/>
  <c r="H37" i="1"/>
  <c r="I60" i="1"/>
  <c r="G52" i="1"/>
  <c r="Y86" i="1"/>
  <c r="X52" i="1"/>
  <c r="X62" i="1" s="1"/>
  <c r="X69" i="1" s="1"/>
  <c r="X72" i="1" s="1"/>
  <c r="X106" i="1" s="1"/>
  <c r="X119" i="1" s="1"/>
  <c r="X133" i="1" s="1"/>
  <c r="X135" i="1" s="1"/>
  <c r="Y52" i="1"/>
  <c r="Y62" i="1" s="1"/>
  <c r="Y69" i="1" s="1"/>
  <c r="Y72" i="1" s="1"/>
  <c r="Y106" i="1" s="1"/>
  <c r="Y119" i="1" s="1"/>
  <c r="Y133" i="1" s="1"/>
  <c r="Y135" i="1" s="1"/>
  <c r="Z134" i="1" s="1"/>
  <c r="X86" i="1"/>
  <c r="Y74" i="1"/>
  <c r="Q58" i="1" l="1"/>
  <c r="P59" i="1"/>
  <c r="Q59" i="1" s="1"/>
  <c r="AA59" i="1" s="1"/>
  <c r="M60" i="1"/>
  <c r="Z60" i="1" s="1"/>
  <c r="AF29" i="1"/>
  <c r="H46" i="1"/>
  <c r="I35" i="1"/>
  <c r="I50" i="1"/>
  <c r="N18" i="1"/>
  <c r="N19" i="1" s="1"/>
  <c r="M19" i="1"/>
  <c r="K54" i="1"/>
  <c r="M25" i="1"/>
  <c r="L37" i="1"/>
  <c r="L39" i="1"/>
  <c r="M13" i="1"/>
  <c r="M12" i="1" s="1"/>
  <c r="M17" i="1"/>
  <c r="L31" i="1"/>
  <c r="H41" i="1"/>
  <c r="I34" i="1"/>
  <c r="I27" i="1"/>
  <c r="P30" i="1"/>
  <c r="J62" i="1"/>
  <c r="J69" i="1" s="1"/>
  <c r="J72" i="1" s="1"/>
  <c r="I52" i="1"/>
  <c r="I54" i="1" s="1"/>
  <c r="I31" i="1"/>
  <c r="F54" i="1"/>
  <c r="F62" i="1"/>
  <c r="F69" i="1" s="1"/>
  <c r="F72" i="1" s="1"/>
  <c r="G54" i="1"/>
  <c r="G62" i="1"/>
  <c r="G69" i="1" s="1"/>
  <c r="G72" i="1" s="1"/>
  <c r="K62" i="1"/>
  <c r="K69" i="1" s="1"/>
  <c r="K72" i="1" s="1"/>
  <c r="X54" i="1"/>
  <c r="Y54" i="1"/>
  <c r="AA57" i="1" l="1"/>
  <c r="AG29" i="1"/>
  <c r="L47" i="1"/>
  <c r="L45" i="1"/>
  <c r="L49" i="1" s="1"/>
  <c r="N60" i="1"/>
  <c r="N25" i="1"/>
  <c r="N13" i="1"/>
  <c r="N12" i="1" s="1"/>
  <c r="O18" i="1"/>
  <c r="O19" i="1" s="1"/>
  <c r="H35" i="1"/>
  <c r="H50" i="1"/>
  <c r="N17" i="1"/>
  <c r="M41" i="1"/>
  <c r="L42" i="1"/>
  <c r="H52" i="1"/>
  <c r="H54" i="1" s="1"/>
  <c r="H34" i="1"/>
  <c r="I62" i="1"/>
  <c r="I69" i="1" s="1"/>
  <c r="I72" i="1" s="1"/>
  <c r="AA58" i="1" l="1"/>
  <c r="AH29" i="1"/>
  <c r="M31" i="1"/>
  <c r="Z41" i="1"/>
  <c r="P60" i="1"/>
  <c r="O60" i="1"/>
  <c r="N41" i="1"/>
  <c r="N31" i="1" s="1"/>
  <c r="O25" i="1"/>
  <c r="P18" i="1"/>
  <c r="P19" i="1" s="1"/>
  <c r="O13" i="1"/>
  <c r="O12" i="1" s="1"/>
  <c r="O17" i="1"/>
  <c r="M39" i="1"/>
  <c r="M37" i="1"/>
  <c r="M42" i="1"/>
  <c r="L50" i="1"/>
  <c r="L52" i="1"/>
  <c r="H62" i="1"/>
  <c r="H69" i="1" s="1"/>
  <c r="H72" i="1" s="1"/>
  <c r="AB60" i="1" l="1"/>
  <c r="Z74" i="1"/>
  <c r="Z42" i="1"/>
  <c r="P25" i="1"/>
  <c r="M45" i="1"/>
  <c r="Z45" i="1" s="1"/>
  <c r="Z37" i="1"/>
  <c r="N39" i="1"/>
  <c r="M47" i="1"/>
  <c r="Z47" i="1" s="1"/>
  <c r="Z39" i="1"/>
  <c r="N42" i="1"/>
  <c r="P17" i="1"/>
  <c r="N37" i="1"/>
  <c r="Q60" i="1"/>
  <c r="AA60" i="1" s="1"/>
  <c r="P13" i="1"/>
  <c r="P12" i="1" s="1"/>
  <c r="O41" i="1"/>
  <c r="O39" i="1" s="1"/>
  <c r="O47" i="1" s="1"/>
  <c r="Q18" i="1"/>
  <c r="Q19" i="1" s="1"/>
  <c r="L54" i="1"/>
  <c r="L62" i="1"/>
  <c r="AC60" i="1" l="1"/>
  <c r="P41" i="1"/>
  <c r="P37" i="1" s="1"/>
  <c r="P45" i="1" s="1"/>
  <c r="N47" i="1"/>
  <c r="L69" i="1"/>
  <c r="N45" i="1"/>
  <c r="M49" i="1"/>
  <c r="M52" i="1" s="1"/>
  <c r="Z52" i="1" s="1"/>
  <c r="O42" i="1"/>
  <c r="O37" i="1"/>
  <c r="O45" i="1" s="1"/>
  <c r="O49" i="1" s="1"/>
  <c r="O50" i="1" s="1"/>
  <c r="Q13" i="1"/>
  <c r="Q12" i="1" s="1"/>
  <c r="O31" i="1"/>
  <c r="Q25" i="1"/>
  <c r="Q17" i="1"/>
  <c r="P39" i="1"/>
  <c r="P47" i="1" s="1"/>
  <c r="P31" i="1" l="1"/>
  <c r="P42" i="1"/>
  <c r="AD60" i="1"/>
  <c r="Q41" i="1"/>
  <c r="Q42" i="1" s="1"/>
  <c r="M50" i="1"/>
  <c r="Z49" i="1"/>
  <c r="Z50" i="1" s="1"/>
  <c r="N49" i="1"/>
  <c r="L72" i="1"/>
  <c r="M54" i="1"/>
  <c r="M62" i="1"/>
  <c r="O52" i="1"/>
  <c r="P49" i="1"/>
  <c r="AE60" i="1" l="1"/>
  <c r="AA41" i="1"/>
  <c r="AA31" i="1" s="1"/>
  <c r="Q37" i="1"/>
  <c r="Q45" i="1" s="1"/>
  <c r="Q31" i="1"/>
  <c r="Q39" i="1"/>
  <c r="Q47" i="1" s="1"/>
  <c r="AA47" i="1" s="1"/>
  <c r="M69" i="1"/>
  <c r="Z62" i="1"/>
  <c r="N52" i="1"/>
  <c r="N50" i="1"/>
  <c r="O54" i="1"/>
  <c r="O53" i="1"/>
  <c r="O62" i="1"/>
  <c r="O69" i="1" s="1"/>
  <c r="O72" i="1" s="1"/>
  <c r="P50" i="1"/>
  <c r="P52" i="1"/>
  <c r="AA37" i="1" l="1"/>
  <c r="AB37" i="1" s="1"/>
  <c r="AC37" i="1" s="1"/>
  <c r="AD37" i="1" s="1"/>
  <c r="AE37" i="1" s="1"/>
  <c r="AF37" i="1" s="1"/>
  <c r="AG37" i="1" s="1"/>
  <c r="AH37" i="1" s="1"/>
  <c r="AF60" i="1"/>
  <c r="AA39" i="1"/>
  <c r="AB39" i="1" s="1"/>
  <c r="AC39" i="1" s="1"/>
  <c r="AD39" i="1" s="1"/>
  <c r="AE39" i="1" s="1"/>
  <c r="AF39" i="1" s="1"/>
  <c r="AG39" i="1" s="1"/>
  <c r="AH39" i="1" s="1"/>
  <c r="AA74" i="1"/>
  <c r="AA42" i="1"/>
  <c r="N54" i="1"/>
  <c r="N62" i="1"/>
  <c r="N53" i="1"/>
  <c r="M72" i="1"/>
  <c r="Z72" i="1" s="1"/>
  <c r="Z69" i="1"/>
  <c r="Q49" i="1"/>
  <c r="AA45" i="1"/>
  <c r="P54" i="1"/>
  <c r="P53" i="1"/>
  <c r="P62" i="1"/>
  <c r="P69" i="1" s="1"/>
  <c r="P72" i="1" s="1"/>
  <c r="AH60" i="1" l="1"/>
  <c r="AG60" i="1"/>
  <c r="AB41" i="1"/>
  <c r="Q50" i="1"/>
  <c r="Q52" i="1"/>
  <c r="AA49" i="1"/>
  <c r="AA50" i="1" s="1"/>
  <c r="N69" i="1"/>
  <c r="AB47" i="1" l="1"/>
  <c r="AB31" i="1"/>
  <c r="AB45" i="1"/>
  <c r="AB49" i="1" s="1"/>
  <c r="AB50" i="1" s="1"/>
  <c r="AC41" i="1"/>
  <c r="AC31" i="1" s="1"/>
  <c r="AB52" i="1"/>
  <c r="AB62" i="1" s="1"/>
  <c r="AB69" i="1" s="1"/>
  <c r="AD41" i="1"/>
  <c r="AD31" i="1" s="1"/>
  <c r="AC47" i="1"/>
  <c r="AD47" i="1" s="1"/>
  <c r="AC45" i="1"/>
  <c r="N72" i="1"/>
  <c r="AA52" i="1"/>
  <c r="AA53" i="1" s="1"/>
  <c r="Q53" i="1"/>
  <c r="Q54" i="1"/>
  <c r="Q62" i="1"/>
  <c r="AD45" i="1" l="1"/>
  <c r="AC49" i="1"/>
  <c r="AE41" i="1"/>
  <c r="AE31" i="1" s="1"/>
  <c r="AB53" i="1"/>
  <c r="Q69" i="1"/>
  <c r="AA62" i="1"/>
  <c r="AF41" i="1" l="1"/>
  <c r="AF31" i="1" s="1"/>
  <c r="AE47" i="1"/>
  <c r="AF47" i="1" s="1"/>
  <c r="AC50" i="1"/>
  <c r="AC52" i="1"/>
  <c r="AE45" i="1"/>
  <c r="AD49" i="1"/>
  <c r="Q72" i="1"/>
  <c r="AA72" i="1" s="1"/>
  <c r="AA69" i="1"/>
  <c r="AC53" i="1" l="1"/>
  <c r="AC62" i="1"/>
  <c r="AC69" i="1" s="1"/>
  <c r="AF45" i="1"/>
  <c r="AE49" i="1"/>
  <c r="AD50" i="1"/>
  <c r="AD52" i="1"/>
  <c r="AH41" i="1"/>
  <c r="AH31" i="1" s="1"/>
  <c r="AG41" i="1"/>
  <c r="AG47" i="1" l="1"/>
  <c r="AG31" i="1"/>
  <c r="AD53" i="1"/>
  <c r="AD62" i="1"/>
  <c r="AD69" i="1" s="1"/>
  <c r="AH47" i="1"/>
  <c r="AE50" i="1"/>
  <c r="AE52" i="1"/>
  <c r="AG45" i="1"/>
  <c r="AF49" i="1"/>
  <c r="AE53" i="1" l="1"/>
  <c r="AE62" i="1"/>
  <c r="AE69" i="1" s="1"/>
  <c r="AH45" i="1"/>
  <c r="AH49" i="1" s="1"/>
  <c r="AG49" i="1"/>
  <c r="AF50" i="1"/>
  <c r="AF52" i="1"/>
  <c r="AF53" i="1" l="1"/>
  <c r="AF62" i="1"/>
  <c r="AF69" i="1" s="1"/>
  <c r="AG50" i="1"/>
  <c r="AG52" i="1"/>
  <c r="AH50" i="1"/>
  <c r="AH52" i="1"/>
  <c r="AH53" i="1" l="1"/>
  <c r="AH62" i="1"/>
  <c r="AH69" i="1" s="1"/>
  <c r="AG53" i="1"/>
  <c r="AG62" i="1"/>
  <c r="AG69" i="1" s="1"/>
  <c r="H27" i="1" l="1"/>
  <c r="Y25" i="1"/>
</calcChain>
</file>

<file path=xl/sharedStrings.xml><?xml version="1.0" encoding="utf-8"?>
<sst xmlns="http://schemas.openxmlformats.org/spreadsheetml/2006/main" count="168" uniqueCount="144">
  <si>
    <t>Total Revenues</t>
  </si>
  <si>
    <t>   % Change YoY</t>
  </si>
  <si>
    <t>Gross Profit</t>
  </si>
  <si>
    <t>   % Gross Margins</t>
  </si>
  <si>
    <t>Operating Income</t>
  </si>
  <si>
    <t>   % Operating Margins</t>
  </si>
  <si>
    <t>Net Income</t>
  </si>
  <si>
    <t>Inventory</t>
  </si>
  <si>
    <t>Total Liabilities</t>
  </si>
  <si>
    <t>Total Equity</t>
  </si>
  <si>
    <t>Net Change in Cash</t>
  </si>
  <si>
    <t>1Q20</t>
  </si>
  <si>
    <t>2Q20</t>
  </si>
  <si>
    <t>3Q20</t>
  </si>
  <si>
    <t>4Q20</t>
  </si>
  <si>
    <t>1Q21</t>
  </si>
  <si>
    <t>2Q21</t>
  </si>
  <si>
    <t>3Q21</t>
  </si>
  <si>
    <t>4Q21</t>
  </si>
  <si>
    <t>1Q22</t>
  </si>
  <si>
    <t>2Q22</t>
  </si>
  <si>
    <t>3Q22</t>
  </si>
  <si>
    <t>4Q22</t>
  </si>
  <si>
    <t>1Q23</t>
  </si>
  <si>
    <t>2Q23</t>
  </si>
  <si>
    <t>3Q23</t>
  </si>
  <si>
    <t>4Q23</t>
  </si>
  <si>
    <t>Operating Expenses</t>
  </si>
  <si>
    <t>EBT</t>
  </si>
  <si>
    <t>Tax Expense</t>
  </si>
  <si>
    <t>FY20</t>
  </si>
  <si>
    <t>FY21</t>
  </si>
  <si>
    <t>FY22</t>
  </si>
  <si>
    <t>Device</t>
  </si>
  <si>
    <t>Subscription Segment</t>
  </si>
  <si>
    <t>Cost of Sales</t>
  </si>
  <si>
    <t>Service</t>
  </si>
  <si>
    <t>Total Cost of Sales</t>
  </si>
  <si>
    <t>Gross Margin</t>
  </si>
  <si>
    <t>Research and Development</t>
  </si>
  <si>
    <t>Sales &amp; Marketing</t>
  </si>
  <si>
    <t>Total Operating Expenses</t>
  </si>
  <si>
    <t>Other Expenses</t>
  </si>
  <si>
    <t>Fundamentals</t>
  </si>
  <si>
    <t>Price</t>
  </si>
  <si>
    <t>Shares</t>
  </si>
  <si>
    <t>MC</t>
  </si>
  <si>
    <t>Cash</t>
  </si>
  <si>
    <t>Debt</t>
  </si>
  <si>
    <t>EV</t>
  </si>
  <si>
    <t>PPE</t>
  </si>
  <si>
    <t>AD</t>
  </si>
  <si>
    <t>Revenue Growth</t>
  </si>
  <si>
    <t>AR</t>
  </si>
  <si>
    <t>Prepaids</t>
  </si>
  <si>
    <t>Lease</t>
  </si>
  <si>
    <t>Other</t>
  </si>
  <si>
    <t>Assets</t>
  </si>
  <si>
    <t>AP</t>
  </si>
  <si>
    <t>Compensation</t>
  </si>
  <si>
    <t>AE</t>
  </si>
  <si>
    <t>S/E</t>
  </si>
  <si>
    <t>PIC</t>
  </si>
  <si>
    <t>S/E Check</t>
  </si>
  <si>
    <t>Model NI</t>
  </si>
  <si>
    <t>SBC</t>
  </si>
  <si>
    <t>D&amp;A</t>
  </si>
  <si>
    <t>Extinguishment</t>
  </si>
  <si>
    <t>Non-cash interest</t>
  </si>
  <si>
    <t>Other AE</t>
  </si>
  <si>
    <t>Operating Lease</t>
  </si>
  <si>
    <t>CFFO</t>
  </si>
  <si>
    <t>Interest Income</t>
  </si>
  <si>
    <t>Executive Officers:</t>
  </si>
  <si>
    <t>Dave Scott</t>
  </si>
  <si>
    <t>President, Chief Executive Officer and Director</t>
  </si>
  <si>
    <t>Alok Gupta</t>
  </si>
  <si>
    <t>Chief Financial Officer</t>
  </si>
  <si>
    <t>Khan Siddiqui, M.D.</t>
  </si>
  <si>
    <t>Chief Medical Officer and Chief Strategy Officer</t>
  </si>
  <si>
    <t>Neela Paykel</t>
  </si>
  <si>
    <t>General Counsel, Chief Compliance Officer and Corporate Secretary</t>
  </si>
  <si>
    <t>Scott White</t>
  </si>
  <si>
    <t>Chief Commercial Officer</t>
  </si>
  <si>
    <t>Non-Employee Directors:</t>
  </si>
  <si>
    <t>R. Scott Huennekens</t>
  </si>
  <si>
    <t>Executive Chairman</t>
  </si>
  <si>
    <t>Jonathan M. Rothberg, Ph.D.</t>
  </si>
  <si>
    <t>Vice Chairman</t>
  </si>
  <si>
    <t>John Dahldorf</t>
  </si>
  <si>
    <t>Director</t>
  </si>
  <si>
    <t>Ruth Fattori</t>
  </si>
  <si>
    <t>Maria Sainz</t>
  </si>
  <si>
    <t>Daniel J. Wolterman</t>
  </si>
  <si>
    <t>Preferred</t>
  </si>
  <si>
    <t>Deferred Revenue</t>
  </si>
  <si>
    <t>Deferred Grants</t>
  </si>
  <si>
    <t xml:space="preserve">Liabilities &amp; Equity </t>
  </si>
  <si>
    <t>Long Term Deferred Revenue</t>
  </si>
  <si>
    <t>Purchase of Fixed Assets</t>
  </si>
  <si>
    <t>CFFI</t>
  </si>
  <si>
    <t>Proceeds from Stock Options</t>
  </si>
  <si>
    <t>Issuance of Preffered Stock</t>
  </si>
  <si>
    <t>Proceeds from Issuance of Notes Payable</t>
  </si>
  <si>
    <t>Repayment of Notes Payable</t>
  </si>
  <si>
    <t>Costs of Preferred Issuance</t>
  </si>
  <si>
    <t>Investment from 4Bionics</t>
  </si>
  <si>
    <t>Net Proceeds from SPAC Merger</t>
  </si>
  <si>
    <t>CFFF</t>
  </si>
  <si>
    <t>End</t>
  </si>
  <si>
    <t>Beginning</t>
  </si>
  <si>
    <t>FY23</t>
  </si>
  <si>
    <t>FY24</t>
  </si>
  <si>
    <t>FY25</t>
  </si>
  <si>
    <t>FY26</t>
  </si>
  <si>
    <t>FY27</t>
  </si>
  <si>
    <t>FY28</t>
  </si>
  <si>
    <t>FY29</t>
  </si>
  <si>
    <t>FY30</t>
  </si>
  <si>
    <t>Hyperfine, Inc.</t>
  </si>
  <si>
    <t>NASDAQ: (HYPR)</t>
  </si>
  <si>
    <t>$ in Thousands</t>
  </si>
  <si>
    <t>Main</t>
  </si>
  <si>
    <t>Model</t>
  </si>
  <si>
    <t>% Change YoY</t>
  </si>
  <si>
    <t>Medical Imaging TAM (billions)</t>
  </si>
  <si>
    <t>Market Share</t>
  </si>
  <si>
    <t>Total Installed Units</t>
  </si>
  <si>
    <t>Revenue per Unit</t>
  </si>
  <si>
    <t>Commercial</t>
  </si>
  <si>
    <t>Grant</t>
  </si>
  <si>
    <t>Research</t>
  </si>
  <si>
    <t>Net Installed Units</t>
  </si>
  <si>
    <t>Revenue Producing Units</t>
  </si>
  <si>
    <t>Revenue Build</t>
  </si>
  <si>
    <t xml:space="preserve">Device % </t>
  </si>
  <si>
    <t>Subscription %</t>
  </si>
  <si>
    <t>Revenue Mix</t>
  </si>
  <si>
    <t xml:space="preserve">   Change Y/Y</t>
  </si>
  <si>
    <t xml:space="preserve">   Change Q/Q</t>
  </si>
  <si>
    <t xml:space="preserve">   % of Revenue</t>
  </si>
  <si>
    <t>General &amp; Administrative</t>
  </si>
  <si>
    <t>NPV Valuation</t>
  </si>
  <si>
    <r>
      <t>Dave Scott</t>
    </r>
    <r>
      <rPr>
        <sz val="10"/>
        <color rgb="FF000000"/>
        <rFont val="Helvetica Light"/>
      </rPr>
      <t xml:space="preserve"> has served as our President since March 2022 and as our Chief Executive Officer and as a director of the Company since the Closing of the Business Combination in December 2021 and had served as Chief Executive Officer of Legacy Hyperfine since May 2021. Prior to joining the Company, Mr. Scott led advanced Research and Development innovation teams as an Executive at Apple, Inc.’s confidential Special Projects Group from October 2019 to May 2021. From 2015 to 2019, Mr. Scott was the Chief Operating Officer and EVP of Research and Development for Verb Surgical, an independent start-up company formed by Google and Johnson &amp; Johnson to develop surgical platforms, including advanced surgical robotics. Mr. Scott previously served as Divisional VP of Research and Development for Abbott Medical Optics and as VP of Research and Development at OptiMedica, later acquired by Abbott Medical Optics. In addition, Mr. Scott led Intuitive Surgical’s advanced imaging technologies team, which designed, developed and brought to market the visualization platform for the da Vinci® robotic surgical system. Mr. Scott has been awarded over 25 patents in X-ray imaging, medical endoscopy and laser surgery applications. Mr. Scott serves on the Board of Directors at the Alfred Mann Foundation and holds a Bachelor of Science in Aerospace Engineering from the University of Kansas and a Master of Science in Aerospace Engineering from the University of Colorado, Boulder. Mr. Scott’s qualifications to serve on the Hyperfine Board include his leadership experience in the medical technology industry, as well as his knowledge of our business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</si>
</sst>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
    <numFmt numFmtId="165" formatCode="0.0%"/>
  </numFmts>
  <fonts count="12">
    <font>
      <sz val="12"/>
      <color theme="1"/>
      <name val="Calibri"/>
      <family val="2"/>
      <scheme val="minor"/>
    </font>
    <font>
      <sz val="12"/>
      <color theme="1"/>
      <name val="Calibri"/>
      <family val="2"/>
      <scheme val="minor"/>
    </font>
    <font>
      <b/>
      <sz val="12"/>
      <color theme="1"/>
      <name val="Helvetica Light"/>
    </font>
    <font>
      <b/>
      <sz val="10"/>
      <color theme="1"/>
      <name val="Helvetica Light"/>
    </font>
    <font>
      <sz val="10"/>
      <color theme="1"/>
      <name val="Helvetica Light"/>
    </font>
    <font>
      <i/>
      <sz val="10"/>
      <color theme="1"/>
      <name val="Helvetica Light"/>
    </font>
    <font>
      <b/>
      <i/>
      <sz val="14"/>
      <color theme="1"/>
      <name val="Helvetica Light"/>
    </font>
    <font>
      <sz val="12"/>
      <color theme="1"/>
      <name val="Helvetica Light"/>
    </font>
    <font>
      <b/>
      <sz val="10"/>
      <color rgb="FF000000"/>
      <name val="Helvetica Light"/>
    </font>
    <font>
      <sz val="10"/>
      <color rgb="FF000000"/>
      <name val="Helvetica Light"/>
    </font>
    <font>
      <b/>
      <i/>
      <sz val="10"/>
      <color rgb="FF000000"/>
      <name val="Helvetica Light"/>
    </font>
    <font>
      <b/>
      <sz val="24"/>
      <color theme="1"/>
      <name val="Libre Baskerville"/>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theme="1"/>
      </left>
      <right/>
      <top style="thin">
        <color theme="1"/>
      </top>
      <bottom style="thin">
        <color theme="1"/>
      </bottom>
      <diagonal/>
    </border>
    <border>
      <left style="thin">
        <color theme="1"/>
      </left>
      <right/>
      <top/>
      <bottom/>
      <diagonal/>
    </border>
    <border>
      <left style="thin">
        <color theme="1"/>
      </left>
      <right/>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49">
    <xf numFmtId="0" fontId="0" fillId="0" borderId="0" xfId="0"/>
    <xf numFmtId="0" fontId="3" fillId="2" borderId="1" xfId="0" applyFont="1" applyFill="1" applyBorder="1"/>
    <xf numFmtId="0" fontId="4" fillId="2" borderId="2" xfId="0" applyFont="1" applyFill="1" applyBorder="1"/>
    <xf numFmtId="0" fontId="4" fillId="2" borderId="3" xfId="0" applyFont="1" applyFill="1" applyBorder="1"/>
    <xf numFmtId="3" fontId="5" fillId="2" borderId="0" xfId="0" applyNumberFormat="1" applyFont="1" applyFill="1"/>
    <xf numFmtId="3" fontId="4" fillId="2" borderId="0" xfId="0" applyNumberFormat="1" applyFont="1" applyFill="1"/>
    <xf numFmtId="0" fontId="4" fillId="2" borderId="0" xfId="0" applyFont="1" applyFill="1"/>
    <xf numFmtId="0" fontId="4" fillId="0" borderId="0" xfId="0" applyFont="1"/>
    <xf numFmtId="14" fontId="3" fillId="0" borderId="5" xfId="0" applyNumberFormat="1" applyFont="1" applyBorder="1"/>
    <xf numFmtId="0" fontId="3" fillId="0" borderId="5" xfId="0" applyFont="1" applyBorder="1"/>
    <xf numFmtId="0" fontId="3" fillId="0" borderId="0" xfId="0" applyFont="1"/>
    <xf numFmtId="1" fontId="3" fillId="0" borderId="0" xfId="0" applyNumberFormat="1" applyFont="1"/>
    <xf numFmtId="1" fontId="4" fillId="0" borderId="0" xfId="0" applyNumberFormat="1" applyFont="1"/>
    <xf numFmtId="9" fontId="4" fillId="0" borderId="0" xfId="1" applyFont="1"/>
    <xf numFmtId="9" fontId="4" fillId="0" borderId="0" xfId="0" applyNumberFormat="1" applyFont="1"/>
    <xf numFmtId="164" fontId="4" fillId="0" borderId="0" xfId="0" applyNumberFormat="1" applyFont="1"/>
    <xf numFmtId="14" fontId="4" fillId="0" borderId="0" xfId="0" applyNumberFormat="1" applyFont="1"/>
    <xf numFmtId="0" fontId="5" fillId="0" borderId="0" xfId="0" applyFont="1"/>
    <xf numFmtId="165" fontId="5" fillId="0" borderId="0" xfId="0" applyNumberFormat="1" applyFont="1"/>
    <xf numFmtId="165" fontId="5" fillId="0" borderId="0" xfId="1" applyNumberFormat="1" applyFont="1"/>
    <xf numFmtId="10" fontId="5" fillId="0" borderId="0" xfId="1" applyNumberFormat="1" applyFont="1"/>
    <xf numFmtId="1" fontId="3" fillId="0" borderId="5" xfId="0" applyNumberFormat="1" applyFont="1" applyBorder="1"/>
    <xf numFmtId="10" fontId="5" fillId="0" borderId="0" xfId="0" applyNumberFormat="1" applyFont="1"/>
    <xf numFmtId="9" fontId="5" fillId="0" borderId="0" xfId="0" applyNumberFormat="1" applyFont="1"/>
    <xf numFmtId="2" fontId="4" fillId="0" borderId="0" xfId="0" applyNumberFormat="1" applyFont="1"/>
    <xf numFmtId="1" fontId="4" fillId="0" borderId="0" xfId="1" applyNumberFormat="1" applyFont="1"/>
    <xf numFmtId="0" fontId="6" fillId="2" borderId="0" xfId="0" applyFont="1" applyFill="1" applyAlignment="1">
      <alignment vertical="center"/>
    </xf>
    <xf numFmtId="0" fontId="2" fillId="2" borderId="0" xfId="0" applyFont="1" applyFill="1"/>
    <xf numFmtId="0" fontId="3" fillId="2" borderId="0" xfId="0" applyFont="1" applyFill="1"/>
    <xf numFmtId="0" fontId="3" fillId="2" borderId="4" xfId="0" applyFont="1" applyFill="1" applyBorder="1"/>
    <xf numFmtId="0" fontId="5" fillId="2" borderId="0" xfId="0" applyFont="1" applyFill="1"/>
    <xf numFmtId="0" fontId="3" fillId="2" borderId="6" xfId="0" applyFont="1" applyFill="1" applyBorder="1"/>
    <xf numFmtId="0" fontId="3" fillId="2" borderId="7" xfId="0" applyFont="1" applyFill="1" applyBorder="1"/>
    <xf numFmtId="0" fontId="3" fillId="2" borderId="8" xfId="0" applyFont="1" applyFill="1" applyBorder="1"/>
    <xf numFmtId="14" fontId="3" fillId="2" borderId="9" xfId="0" applyNumberFormat="1" applyFont="1" applyFill="1" applyBorder="1"/>
    <xf numFmtId="14" fontId="3" fillId="2" borderId="10" xfId="0" applyNumberFormat="1" applyFont="1" applyFill="1" applyBorder="1"/>
    <xf numFmtId="14" fontId="3" fillId="2" borderId="11" xfId="0" applyNumberFormat="1" applyFont="1" applyFill="1" applyBorder="1"/>
    <xf numFmtId="0" fontId="4" fillId="2" borderId="6" xfId="0" applyFont="1" applyFill="1" applyBorder="1"/>
    <xf numFmtId="0" fontId="4" fillId="2" borderId="7" xfId="0" applyFont="1" applyFill="1" applyBorder="1"/>
    <xf numFmtId="0" fontId="4" fillId="2" borderId="8" xfId="0" applyFont="1" applyFill="1" applyBorder="1"/>
    <xf numFmtId="0" fontId="4" fillId="2" borderId="9" xfId="0" applyFont="1" applyFill="1" applyBorder="1"/>
    <xf numFmtId="0" fontId="4" fillId="2" borderId="10" xfId="0" applyFont="1" applyFill="1" applyBorder="1"/>
    <xf numFmtId="0" fontId="4" fillId="2" borderId="11" xfId="0" applyFont="1" applyFill="1" applyBorder="1"/>
    <xf numFmtId="8" fontId="4" fillId="0" borderId="0" xfId="0" applyNumberFormat="1" applyFont="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C3C42-B183-F44F-A905-A48A102F1370}">
  <dimension ref="A1"/>
  <sheetViews>
    <sheetView workbookViewId="0">
      <selection activeCell="B1" sqref="B1"/>
    </sheetView>
  </sheetViews>
  <sheetFormatPr baseColWidth="10" defaultRowHeight="16"/>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8EA04-0369-244C-AD76-0305E9E3D57C}">
  <dimension ref="C2:N38"/>
  <sheetViews>
    <sheetView topLeftCell="A11" workbookViewId="0">
      <selection activeCell="N22" sqref="N22"/>
    </sheetView>
  </sheetViews>
  <sheetFormatPr baseColWidth="10" defaultRowHeight="16"/>
  <cols>
    <col min="1" max="16384" width="10.83203125" style="44"/>
  </cols>
  <sheetData>
    <row r="2" spans="3:3" ht="18">
      <c r="C2" s="26" t="s">
        <v>119</v>
      </c>
    </row>
    <row r="3" spans="3:3">
      <c r="C3" s="27" t="s">
        <v>120</v>
      </c>
    </row>
    <row r="21" spans="4:14">
      <c r="D21" s="45" t="s">
        <v>73</v>
      </c>
      <c r="E21" s="46"/>
      <c r="F21" s="46"/>
      <c r="G21" s="46"/>
      <c r="H21" s="46"/>
      <c r="I21" s="46"/>
      <c r="M21" s="1" t="s">
        <v>43</v>
      </c>
    </row>
    <row r="22" spans="4:14">
      <c r="D22" s="46" t="s">
        <v>74</v>
      </c>
      <c r="E22" s="46"/>
      <c r="F22" s="46" t="s">
        <v>75</v>
      </c>
      <c r="G22" s="46"/>
      <c r="M22" s="2" t="s">
        <v>44</v>
      </c>
      <c r="N22" s="44">
        <v>1.29</v>
      </c>
    </row>
    <row r="23" spans="4:14">
      <c r="D23" s="46" t="s">
        <v>76</v>
      </c>
      <c r="E23" s="46"/>
      <c r="F23" s="46" t="s">
        <v>77</v>
      </c>
      <c r="G23" s="46"/>
      <c r="M23" s="2" t="s">
        <v>45</v>
      </c>
    </row>
    <row r="24" spans="4:14">
      <c r="D24" s="46" t="s">
        <v>78</v>
      </c>
      <c r="E24" s="46"/>
      <c r="F24" s="46" t="s">
        <v>79</v>
      </c>
      <c r="G24" s="46"/>
      <c r="M24" s="2" t="s">
        <v>46</v>
      </c>
    </row>
    <row r="25" spans="4:14">
      <c r="D25" s="46" t="s">
        <v>80</v>
      </c>
      <c r="E25" s="46"/>
      <c r="F25" s="46" t="s">
        <v>81</v>
      </c>
      <c r="G25" s="46"/>
      <c r="M25" s="2" t="s">
        <v>47</v>
      </c>
    </row>
    <row r="26" spans="4:14">
      <c r="D26" s="46" t="s">
        <v>82</v>
      </c>
      <c r="E26" s="46"/>
      <c r="F26" s="46" t="s">
        <v>83</v>
      </c>
      <c r="G26" s="46"/>
      <c r="M26" s="2" t="s">
        <v>48</v>
      </c>
    </row>
    <row r="27" spans="4:14">
      <c r="D27" s="46"/>
      <c r="E27" s="46"/>
      <c r="F27" s="46"/>
      <c r="G27" s="46"/>
      <c r="M27" s="2" t="s">
        <v>49</v>
      </c>
    </row>
    <row r="28" spans="4:14">
      <c r="D28" s="45" t="s">
        <v>84</v>
      </c>
      <c r="E28" s="46"/>
      <c r="F28" s="46"/>
      <c r="G28" s="46"/>
      <c r="M28" s="2"/>
    </row>
    <row r="29" spans="4:14">
      <c r="D29" s="46" t="s">
        <v>85</v>
      </c>
      <c r="E29" s="46"/>
      <c r="F29" s="46" t="s">
        <v>86</v>
      </c>
      <c r="G29" s="46"/>
      <c r="M29" s="2" t="s">
        <v>50</v>
      </c>
    </row>
    <row r="30" spans="4:14">
      <c r="D30" s="46" t="s">
        <v>87</v>
      </c>
      <c r="E30" s="46"/>
      <c r="F30" s="46" t="s">
        <v>88</v>
      </c>
      <c r="G30" s="46"/>
      <c r="M30" s="3" t="s">
        <v>51</v>
      </c>
    </row>
    <row r="31" spans="4:14">
      <c r="D31" s="46" t="s">
        <v>89</v>
      </c>
      <c r="E31" s="46"/>
      <c r="F31" s="46" t="s">
        <v>90</v>
      </c>
      <c r="G31" s="46"/>
    </row>
    <row r="32" spans="4:14">
      <c r="D32" s="46" t="s">
        <v>91</v>
      </c>
      <c r="E32" s="46"/>
      <c r="F32" s="46" t="s">
        <v>90</v>
      </c>
      <c r="G32" s="46"/>
    </row>
    <row r="33" spans="4:7">
      <c r="D33" s="46" t="s">
        <v>92</v>
      </c>
      <c r="E33" s="46"/>
      <c r="F33" s="46" t="s">
        <v>90</v>
      </c>
      <c r="G33" s="46"/>
    </row>
    <row r="34" spans="4:7">
      <c r="D34" s="46" t="s">
        <v>93</v>
      </c>
      <c r="E34" s="46"/>
      <c r="F34" s="46" t="s">
        <v>90</v>
      </c>
    </row>
    <row r="38" spans="4:7">
      <c r="D38" s="47"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C80D-9B89-214B-8775-9D57A4AA3C5A}">
  <dimension ref="A1:AH135"/>
  <sheetViews>
    <sheetView tabSelected="1" zoomScale="85" workbookViewId="0">
      <pane xSplit="1" ySplit="10" topLeftCell="X56" activePane="bottomRight" state="frozen"/>
      <selection pane="topRight" activeCell="B1" sqref="B1"/>
      <selection pane="bottomLeft" activeCell="A7" sqref="A7"/>
      <selection pane="bottomRight" activeCell="AC76" sqref="AC76"/>
    </sheetView>
  </sheetViews>
  <sheetFormatPr baseColWidth="10" defaultRowHeight="13" outlineLevelRow="1"/>
  <cols>
    <col min="1" max="1" width="51.5" style="6" bestFit="1" customWidth="1"/>
    <col min="2" max="4" width="13" style="7" bestFit="1" customWidth="1"/>
    <col min="5" max="11" width="11.83203125" style="7" bestFit="1" customWidth="1"/>
    <col min="12" max="16" width="11.83203125" style="7" customWidth="1"/>
    <col min="17" max="28" width="10.83203125" style="7"/>
    <col min="29" max="29" width="11.6640625" style="7" bestFit="1" customWidth="1"/>
    <col min="30" max="30" width="10.83203125" style="7"/>
    <col min="31" max="31" width="11.6640625" style="7" bestFit="1" customWidth="1"/>
    <col min="32" max="16384" width="10.83203125" style="7"/>
  </cols>
  <sheetData>
    <row r="1" spans="1:34" s="6" customFormat="1" ht="50" customHeight="1">
      <c r="A1" s="48"/>
    </row>
    <row r="2" spans="1:34" s="6" customFormat="1" ht="29" customHeight="1">
      <c r="A2" s="26" t="s">
        <v>119</v>
      </c>
    </row>
    <row r="3" spans="1:34" s="6" customFormat="1" ht="16">
      <c r="A3" s="27" t="s">
        <v>120</v>
      </c>
    </row>
    <row r="4" spans="1:34" s="6" customFormat="1"/>
    <row r="5" spans="1:34" s="6" customFormat="1">
      <c r="A5" s="6" t="s">
        <v>122</v>
      </c>
    </row>
    <row r="6" spans="1:34" s="6" customFormat="1">
      <c r="A6" s="6" t="s">
        <v>123</v>
      </c>
    </row>
    <row r="7" spans="1:34" s="6" customFormat="1">
      <c r="A7" s="6" t="s">
        <v>142</v>
      </c>
    </row>
    <row r="8" spans="1:34" s="6" customFormat="1"/>
    <row r="9" spans="1:34" s="6" customFormat="1">
      <c r="A9" s="28" t="s">
        <v>123</v>
      </c>
      <c r="B9" s="31" t="s">
        <v>11</v>
      </c>
      <c r="C9" s="32" t="s">
        <v>12</v>
      </c>
      <c r="D9" s="32" t="s">
        <v>13</v>
      </c>
      <c r="E9" s="32" t="s">
        <v>14</v>
      </c>
      <c r="F9" s="32" t="s">
        <v>15</v>
      </c>
      <c r="G9" s="32" t="s">
        <v>16</v>
      </c>
      <c r="H9" s="32" t="s">
        <v>17</v>
      </c>
      <c r="I9" s="32" t="s">
        <v>18</v>
      </c>
      <c r="J9" s="32" t="s">
        <v>19</v>
      </c>
      <c r="K9" s="32" t="s">
        <v>20</v>
      </c>
      <c r="L9" s="32" t="s">
        <v>21</v>
      </c>
      <c r="M9" s="32" t="s">
        <v>22</v>
      </c>
      <c r="N9" s="32" t="s">
        <v>23</v>
      </c>
      <c r="O9" s="32" t="s">
        <v>24</v>
      </c>
      <c r="P9" s="32" t="s">
        <v>25</v>
      </c>
      <c r="Q9" s="33" t="s">
        <v>26</v>
      </c>
      <c r="X9" s="37" t="s">
        <v>30</v>
      </c>
      <c r="Y9" s="38" t="s">
        <v>31</v>
      </c>
      <c r="Z9" s="38" t="s">
        <v>32</v>
      </c>
      <c r="AA9" s="38" t="s">
        <v>111</v>
      </c>
      <c r="AB9" s="38" t="s">
        <v>112</v>
      </c>
      <c r="AC9" s="38" t="s">
        <v>113</v>
      </c>
      <c r="AD9" s="38" t="s">
        <v>114</v>
      </c>
      <c r="AE9" s="38" t="s">
        <v>115</v>
      </c>
      <c r="AF9" s="38" t="s">
        <v>116</v>
      </c>
      <c r="AG9" s="38" t="s">
        <v>117</v>
      </c>
      <c r="AH9" s="39" t="s">
        <v>118</v>
      </c>
    </row>
    <row r="10" spans="1:34" s="6" customFormat="1">
      <c r="A10" s="6" t="s">
        <v>121</v>
      </c>
      <c r="B10" s="34">
        <v>43921</v>
      </c>
      <c r="C10" s="35">
        <v>44012</v>
      </c>
      <c r="D10" s="35">
        <v>44104</v>
      </c>
      <c r="E10" s="35">
        <v>44196</v>
      </c>
      <c r="F10" s="35">
        <v>44286</v>
      </c>
      <c r="G10" s="35">
        <v>44377</v>
      </c>
      <c r="H10" s="35">
        <v>44469</v>
      </c>
      <c r="I10" s="35">
        <v>44561</v>
      </c>
      <c r="J10" s="35">
        <v>44651</v>
      </c>
      <c r="K10" s="35">
        <v>44742</v>
      </c>
      <c r="L10" s="35">
        <v>44743</v>
      </c>
      <c r="M10" s="35">
        <v>44744</v>
      </c>
      <c r="N10" s="35">
        <v>44745</v>
      </c>
      <c r="O10" s="35">
        <v>44746</v>
      </c>
      <c r="P10" s="35">
        <v>44747</v>
      </c>
      <c r="Q10" s="36">
        <v>44748</v>
      </c>
      <c r="X10" s="40"/>
      <c r="Y10" s="41"/>
      <c r="Z10" s="41"/>
      <c r="AA10" s="41"/>
      <c r="AB10" s="41"/>
      <c r="AC10" s="41"/>
      <c r="AD10" s="41"/>
      <c r="AE10" s="41"/>
      <c r="AF10" s="41"/>
      <c r="AG10" s="41"/>
      <c r="AH10" s="42"/>
    </row>
    <row r="11" spans="1:34" s="9" customFormat="1">
      <c r="A11" s="29" t="s">
        <v>134</v>
      </c>
      <c r="B11" s="8"/>
      <c r="C11" s="8"/>
      <c r="D11" s="8"/>
      <c r="E11" s="8"/>
      <c r="F11" s="8"/>
      <c r="G11" s="8"/>
      <c r="H11" s="8"/>
      <c r="I11" s="8"/>
      <c r="J11" s="8"/>
      <c r="K11" s="8"/>
      <c r="L11" s="8"/>
      <c r="M11" s="8"/>
      <c r="N11" s="8"/>
      <c r="O11" s="8"/>
      <c r="P11" s="8"/>
    </row>
    <row r="12" spans="1:34" s="10" customFormat="1" ht="15" customHeight="1" outlineLevel="1">
      <c r="A12" s="28" t="s">
        <v>132</v>
      </c>
      <c r="K12" s="10">
        <f>SUM(K13:K15)</f>
        <v>7</v>
      </c>
      <c r="L12" s="11">
        <f t="shared" ref="L12:Q12" si="0">SUM(L13:L15)</f>
        <v>23.5</v>
      </c>
      <c r="M12" s="11">
        <f t="shared" si="0"/>
        <v>42.300000000000011</v>
      </c>
      <c r="N12" s="11">
        <f t="shared" si="0"/>
        <v>69.680000000000007</v>
      </c>
      <c r="O12" s="11">
        <f t="shared" si="0"/>
        <v>108.28800000000001</v>
      </c>
      <c r="P12" s="11">
        <f t="shared" si="0"/>
        <v>173.26080000000002</v>
      </c>
      <c r="Q12" s="11">
        <f t="shared" si="0"/>
        <v>277.21728000000007</v>
      </c>
    </row>
    <row r="13" spans="1:34" outlineLevel="1">
      <c r="A13" s="6" t="s">
        <v>129</v>
      </c>
      <c r="F13" s="7">
        <f t="shared" ref="F13" si="1">F18-E18</f>
        <v>5</v>
      </c>
      <c r="G13" s="7">
        <f t="shared" ref="G13:J13" si="2">G18-F18</f>
        <v>7</v>
      </c>
      <c r="H13" s="7">
        <v>4</v>
      </c>
      <c r="I13" s="7">
        <v>7</v>
      </c>
      <c r="J13" s="7">
        <f t="shared" si="2"/>
        <v>11</v>
      </c>
      <c r="K13" s="7">
        <f t="shared" ref="K13:Q13" si="3">K18-J18</f>
        <v>9</v>
      </c>
      <c r="L13" s="12">
        <f t="shared" si="3"/>
        <v>23.5</v>
      </c>
      <c r="M13" s="12">
        <f t="shared" si="3"/>
        <v>42.300000000000011</v>
      </c>
      <c r="N13" s="12">
        <f t="shared" si="3"/>
        <v>67.680000000000007</v>
      </c>
      <c r="O13" s="12">
        <f t="shared" si="3"/>
        <v>108.28800000000001</v>
      </c>
      <c r="P13" s="12">
        <f t="shared" si="3"/>
        <v>173.26080000000002</v>
      </c>
      <c r="Q13" s="12">
        <f t="shared" si="3"/>
        <v>277.21728000000007</v>
      </c>
    </row>
    <row r="14" spans="1:34" outlineLevel="1">
      <c r="A14" s="6" t="s">
        <v>130</v>
      </c>
      <c r="F14" s="7">
        <f t="shared" ref="F14" si="4">F22-E22</f>
        <v>2</v>
      </c>
      <c r="G14" s="7">
        <f>G22-F22</f>
        <v>2</v>
      </c>
      <c r="H14" s="7">
        <v>4</v>
      </c>
      <c r="I14" s="7">
        <v>10</v>
      </c>
      <c r="J14" s="7">
        <f>J22-I22</f>
        <v>2</v>
      </c>
      <c r="K14" s="7">
        <f>K22-J22</f>
        <v>0</v>
      </c>
      <c r="L14" s="12">
        <f t="shared" ref="L14:Q14" si="5">L22-K22</f>
        <v>0</v>
      </c>
      <c r="M14" s="12">
        <f t="shared" si="5"/>
        <v>0</v>
      </c>
      <c r="N14" s="12">
        <f t="shared" si="5"/>
        <v>2</v>
      </c>
      <c r="O14" s="12">
        <f t="shared" si="5"/>
        <v>0</v>
      </c>
      <c r="P14" s="12">
        <f t="shared" si="5"/>
        <v>0</v>
      </c>
      <c r="Q14" s="12">
        <f t="shared" si="5"/>
        <v>0</v>
      </c>
    </row>
    <row r="15" spans="1:34" outlineLevel="1">
      <c r="A15" s="6" t="s">
        <v>131</v>
      </c>
      <c r="F15" s="7">
        <f>F24-E24</f>
        <v>2</v>
      </c>
      <c r="G15" s="7">
        <f>G24-F24</f>
        <v>2</v>
      </c>
      <c r="H15" s="7">
        <v>3</v>
      </c>
      <c r="I15" s="7">
        <v>3</v>
      </c>
      <c r="J15" s="7">
        <f>J24-I24</f>
        <v>2</v>
      </c>
      <c r="K15" s="7">
        <f>K24-J24</f>
        <v>-2</v>
      </c>
      <c r="L15" s="12">
        <f t="shared" ref="L15:Q15" si="6">L24-K24</f>
        <v>0</v>
      </c>
      <c r="M15" s="12">
        <f t="shared" si="6"/>
        <v>0</v>
      </c>
      <c r="N15" s="12">
        <f t="shared" si="6"/>
        <v>0</v>
      </c>
      <c r="O15" s="12">
        <f t="shared" si="6"/>
        <v>0</v>
      </c>
      <c r="P15" s="12">
        <f t="shared" si="6"/>
        <v>0</v>
      </c>
      <c r="Q15" s="12">
        <f t="shared" si="6"/>
        <v>0</v>
      </c>
    </row>
    <row r="16" spans="1:34" outlineLevel="1"/>
    <row r="17" spans="1:34" outlineLevel="1">
      <c r="A17" s="28" t="s">
        <v>133</v>
      </c>
      <c r="F17" s="7">
        <f>F18+F22</f>
        <v>11</v>
      </c>
      <c r="G17" s="7">
        <f>G18+G22</f>
        <v>20</v>
      </c>
      <c r="H17" s="7">
        <f t="shared" ref="H17:K17" si="7">H18+H22</f>
        <v>28</v>
      </c>
      <c r="I17" s="7">
        <f t="shared" si="7"/>
        <v>45</v>
      </c>
      <c r="J17" s="7">
        <f t="shared" si="7"/>
        <v>58</v>
      </c>
      <c r="K17" s="7">
        <f t="shared" si="7"/>
        <v>67</v>
      </c>
      <c r="L17" s="12">
        <f t="shared" ref="L17" si="8">L18+L22</f>
        <v>90.5</v>
      </c>
      <c r="M17" s="12">
        <f t="shared" ref="M17" si="9">M18+M22</f>
        <v>132.80000000000001</v>
      </c>
      <c r="N17" s="12">
        <f t="shared" ref="N17" si="10">N18+N22</f>
        <v>202.48000000000002</v>
      </c>
      <c r="O17" s="12">
        <f t="shared" ref="O17" si="11">O18+O22</f>
        <v>310.76800000000003</v>
      </c>
      <c r="P17" s="12">
        <f t="shared" ref="P17" si="12">P18+P22</f>
        <v>484.02880000000005</v>
      </c>
      <c r="Q17" s="12">
        <f t="shared" ref="Q17" si="13">Q18+Q22</f>
        <v>761.24608000000012</v>
      </c>
    </row>
    <row r="18" spans="1:34" outlineLevel="1">
      <c r="A18" s="6" t="s">
        <v>129</v>
      </c>
      <c r="E18" s="7">
        <v>4</v>
      </c>
      <c r="F18" s="7">
        <v>9</v>
      </c>
      <c r="G18" s="7">
        <v>16</v>
      </c>
      <c r="H18" s="7">
        <f>G18+H13</f>
        <v>20</v>
      </c>
      <c r="I18" s="7">
        <f>H18+I13</f>
        <v>27</v>
      </c>
      <c r="J18" s="7">
        <v>38</v>
      </c>
      <c r="K18" s="7">
        <v>47</v>
      </c>
      <c r="L18" s="12">
        <f>K18*(1+L20)</f>
        <v>70.5</v>
      </c>
      <c r="M18" s="12">
        <f t="shared" ref="M18:Q18" si="14">L18*(1+M20)</f>
        <v>112.80000000000001</v>
      </c>
      <c r="N18" s="12">
        <f t="shared" si="14"/>
        <v>180.48000000000002</v>
      </c>
      <c r="O18" s="12">
        <f t="shared" si="14"/>
        <v>288.76800000000003</v>
      </c>
      <c r="P18" s="12">
        <f t="shared" si="14"/>
        <v>462.02880000000005</v>
      </c>
      <c r="Q18" s="12">
        <f t="shared" si="14"/>
        <v>739.24608000000012</v>
      </c>
    </row>
    <row r="19" spans="1:34" outlineLevel="1">
      <c r="A19" s="6" t="s">
        <v>138</v>
      </c>
      <c r="I19" s="13">
        <f>I18/E18-1</f>
        <v>5.75</v>
      </c>
      <c r="J19" s="13">
        <f t="shared" ref="J19:K19" si="15">J18/F18-1</f>
        <v>3.2222222222222223</v>
      </c>
      <c r="K19" s="13">
        <f t="shared" si="15"/>
        <v>1.9375</v>
      </c>
      <c r="L19" s="13">
        <f t="shared" ref="L19" si="16">L18/H18-1</f>
        <v>2.5249999999999999</v>
      </c>
      <c r="M19" s="13">
        <f t="shared" ref="M19" si="17">M18/I18-1</f>
        <v>3.177777777777778</v>
      </c>
      <c r="N19" s="13">
        <f t="shared" ref="N19" si="18">N18/J18-1</f>
        <v>3.7494736842105265</v>
      </c>
      <c r="O19" s="13">
        <f t="shared" ref="O19" si="19">O18/K18-1</f>
        <v>5.144000000000001</v>
      </c>
      <c r="P19" s="13">
        <f t="shared" ref="P19" si="20">P18/L18-1</f>
        <v>5.5536000000000003</v>
      </c>
      <c r="Q19" s="13">
        <f t="shared" ref="Q19" si="21">Q18/M18-1</f>
        <v>5.5536000000000003</v>
      </c>
    </row>
    <row r="20" spans="1:34" outlineLevel="1">
      <c r="A20" s="6" t="s">
        <v>139</v>
      </c>
      <c r="F20" s="13">
        <f t="shared" ref="F20:K20" si="22">F18/E18-1</f>
        <v>1.25</v>
      </c>
      <c r="G20" s="13">
        <f t="shared" si="22"/>
        <v>0.77777777777777768</v>
      </c>
      <c r="H20" s="13">
        <f t="shared" si="22"/>
        <v>0.25</v>
      </c>
      <c r="I20" s="13">
        <f t="shared" si="22"/>
        <v>0.35000000000000009</v>
      </c>
      <c r="J20" s="13">
        <f t="shared" si="22"/>
        <v>0.40740740740740744</v>
      </c>
      <c r="K20" s="13">
        <f t="shared" si="22"/>
        <v>0.23684210526315796</v>
      </c>
      <c r="L20" s="14">
        <v>0.5</v>
      </c>
      <c r="M20" s="14">
        <v>0.6</v>
      </c>
      <c r="N20" s="14">
        <v>0.6</v>
      </c>
      <c r="O20" s="14">
        <v>0.6</v>
      </c>
      <c r="P20" s="14">
        <v>0.6</v>
      </c>
      <c r="Q20" s="14">
        <v>0.6</v>
      </c>
    </row>
    <row r="21" spans="1:34" outlineLevel="1"/>
    <row r="22" spans="1:34" outlineLevel="1">
      <c r="A22" s="6" t="s">
        <v>130</v>
      </c>
      <c r="F22" s="7">
        <v>2</v>
      </c>
      <c r="G22" s="7">
        <v>4</v>
      </c>
      <c r="H22" s="7">
        <f>G22+H14</f>
        <v>8</v>
      </c>
      <c r="I22" s="7">
        <f>H22+I14</f>
        <v>18</v>
      </c>
      <c r="J22" s="7">
        <v>20</v>
      </c>
      <c r="K22" s="7">
        <v>20</v>
      </c>
      <c r="L22" s="7">
        <v>20</v>
      </c>
      <c r="M22" s="7">
        <v>20</v>
      </c>
      <c r="N22" s="7">
        <v>22</v>
      </c>
      <c r="O22" s="7">
        <v>22</v>
      </c>
      <c r="P22" s="7">
        <v>22</v>
      </c>
      <c r="Q22" s="7">
        <v>22</v>
      </c>
    </row>
    <row r="23" spans="1:34" outlineLevel="1"/>
    <row r="24" spans="1:34" outlineLevel="1">
      <c r="A24" s="6" t="s">
        <v>131</v>
      </c>
      <c r="E24" s="7">
        <v>15</v>
      </c>
      <c r="F24" s="7">
        <v>17</v>
      </c>
      <c r="G24" s="7">
        <v>19</v>
      </c>
      <c r="H24" s="7">
        <f>G24+H15</f>
        <v>22</v>
      </c>
      <c r="I24" s="7">
        <f>H24+I15</f>
        <v>25</v>
      </c>
      <c r="J24" s="7">
        <v>27</v>
      </c>
      <c r="K24" s="7">
        <v>25</v>
      </c>
      <c r="L24" s="7">
        <v>25</v>
      </c>
      <c r="M24" s="7">
        <v>25</v>
      </c>
      <c r="N24" s="7">
        <v>25</v>
      </c>
      <c r="O24" s="7">
        <v>25</v>
      </c>
      <c r="P24" s="7">
        <v>25</v>
      </c>
      <c r="Q24" s="7">
        <v>25</v>
      </c>
    </row>
    <row r="25" spans="1:34" outlineLevel="1">
      <c r="A25" s="6" t="s">
        <v>127</v>
      </c>
      <c r="E25" s="7">
        <f>SUM(E18:E24)</f>
        <v>19</v>
      </c>
      <c r="F25" s="12">
        <f>F18+F22+F24</f>
        <v>28</v>
      </c>
      <c r="G25" s="12">
        <f t="shared" ref="G25:Q25" si="23">G18+G22+G24</f>
        <v>39</v>
      </c>
      <c r="H25" s="12">
        <f t="shared" si="23"/>
        <v>50</v>
      </c>
      <c r="I25" s="12">
        <f t="shared" si="23"/>
        <v>70</v>
      </c>
      <c r="J25" s="12">
        <f t="shared" si="23"/>
        <v>85</v>
      </c>
      <c r="K25" s="12">
        <f t="shared" si="23"/>
        <v>92</v>
      </c>
      <c r="L25" s="12">
        <f t="shared" si="23"/>
        <v>115.5</v>
      </c>
      <c r="M25" s="12">
        <f t="shared" si="23"/>
        <v>157.80000000000001</v>
      </c>
      <c r="N25" s="12">
        <f t="shared" si="23"/>
        <v>227.48000000000002</v>
      </c>
      <c r="O25" s="12">
        <f t="shared" si="23"/>
        <v>335.76800000000003</v>
      </c>
      <c r="P25" s="12">
        <f t="shared" si="23"/>
        <v>509.02880000000005</v>
      </c>
      <c r="Q25" s="12">
        <f t="shared" si="23"/>
        <v>786.24608000000012</v>
      </c>
      <c r="X25" s="7">
        <v>19</v>
      </c>
      <c r="Y25" s="7">
        <f>SUM(F25:I25)</f>
        <v>187</v>
      </c>
    </row>
    <row r="26" spans="1:34" outlineLevel="1"/>
    <row r="27" spans="1:34" outlineLevel="1">
      <c r="A27" s="6" t="s">
        <v>128</v>
      </c>
      <c r="F27" s="15">
        <f>F41/F25</f>
        <v>11.821428571428571</v>
      </c>
      <c r="G27" s="15">
        <f>G41/G17</f>
        <v>17.899999999999999</v>
      </c>
      <c r="H27" s="15">
        <f>H41/H25</f>
        <v>7.42</v>
      </c>
      <c r="I27" s="15">
        <f>I41/I25</f>
        <v>6.2285714285714286</v>
      </c>
      <c r="J27" s="15">
        <f>J41/J25</f>
        <v>17.752941176470589</v>
      </c>
      <c r="K27" s="15">
        <f>K41/K25</f>
        <v>16.663043478260871</v>
      </c>
      <c r="L27" s="7">
        <f>(L34*60+L35*10)/2</f>
        <v>23.75</v>
      </c>
      <c r="M27" s="7">
        <f>(M34*60+M35*10)</f>
        <v>47.5</v>
      </c>
      <c r="N27" s="7">
        <f t="shared" ref="N27:Q27" si="24">(N34*60+N35*10)</f>
        <v>47.5</v>
      </c>
      <c r="O27" s="7">
        <f t="shared" si="24"/>
        <v>47.5</v>
      </c>
      <c r="P27" s="7">
        <f t="shared" si="24"/>
        <v>47.5</v>
      </c>
      <c r="Q27" s="7">
        <f t="shared" si="24"/>
        <v>47.5</v>
      </c>
    </row>
    <row r="28" spans="1:34" outlineLevel="1">
      <c r="B28" s="16"/>
      <c r="C28" s="16"/>
      <c r="D28" s="16"/>
      <c r="E28" s="16"/>
      <c r="F28" s="16"/>
      <c r="G28" s="16"/>
      <c r="H28" s="16"/>
      <c r="I28" s="16"/>
      <c r="J28" s="16"/>
      <c r="K28" s="16"/>
      <c r="L28" s="16"/>
      <c r="M28" s="16"/>
      <c r="N28" s="16"/>
      <c r="O28" s="16"/>
      <c r="P28" s="16"/>
    </row>
    <row r="29" spans="1:34" outlineLevel="1">
      <c r="A29" s="6" t="s">
        <v>125</v>
      </c>
      <c r="I29" s="15">
        <v>15.9</v>
      </c>
      <c r="J29" s="15">
        <f>(1.065)^(1/4)*I29</f>
        <v>16.152305728046258</v>
      </c>
      <c r="K29" s="15">
        <f t="shared" ref="K29:Q29" si="25">(1.065)^(1/4)*J29</f>
        <v>16.408615115237481</v>
      </c>
      <c r="L29" s="15">
        <f t="shared" si="25"/>
        <v>16.668991692777155</v>
      </c>
      <c r="M29" s="15">
        <f t="shared" si="25"/>
        <v>16.933499999999995</v>
      </c>
      <c r="N29" s="15">
        <f t="shared" si="25"/>
        <v>17.202205600369261</v>
      </c>
      <c r="O29" s="15">
        <f t="shared" si="25"/>
        <v>17.475175097727917</v>
      </c>
      <c r="P29" s="15">
        <f t="shared" si="25"/>
        <v>17.75247615280767</v>
      </c>
      <c r="Q29" s="15">
        <f t="shared" si="25"/>
        <v>18.034177499999995</v>
      </c>
      <c r="AA29" s="12">
        <v>18</v>
      </c>
      <c r="AB29" s="12">
        <f>AA29*(1+AA30)</f>
        <v>19.169999999999998</v>
      </c>
      <c r="AC29" s="12">
        <f t="shared" ref="AC29:AH29" si="26">AB29*(1+AB30)</f>
        <v>20.416049999999998</v>
      </c>
      <c r="AD29" s="12">
        <f t="shared" si="26"/>
        <v>21.743093249999998</v>
      </c>
      <c r="AE29" s="12">
        <f t="shared" si="26"/>
        <v>23.156394311249997</v>
      </c>
      <c r="AF29" s="12">
        <f t="shared" si="26"/>
        <v>24.661559941481247</v>
      </c>
      <c r="AG29" s="12">
        <f t="shared" si="26"/>
        <v>26.264561337677527</v>
      </c>
      <c r="AH29" s="12">
        <f t="shared" si="26"/>
        <v>27.971757824626565</v>
      </c>
    </row>
    <row r="30" spans="1:34" outlineLevel="1">
      <c r="A30" s="30" t="s">
        <v>124</v>
      </c>
      <c r="B30" s="17"/>
      <c r="C30" s="17"/>
      <c r="D30" s="17"/>
      <c r="E30" s="17"/>
      <c r="F30" s="17"/>
      <c r="G30" s="17"/>
      <c r="H30" s="17"/>
      <c r="I30" s="18">
        <v>6.5000000000000002E-2</v>
      </c>
      <c r="J30" s="18">
        <v>6.5000000000000002E-2</v>
      </c>
      <c r="K30" s="18">
        <v>6.5000000000000002E-2</v>
      </c>
      <c r="L30" s="18">
        <v>6.5000000000000002E-2</v>
      </c>
      <c r="M30" s="19">
        <f>M29/I29-1</f>
        <v>6.4999999999999725E-2</v>
      </c>
      <c r="N30" s="19">
        <f t="shared" ref="N30:Q30" si="27">N29/J29-1</f>
        <v>6.4999999999999725E-2</v>
      </c>
      <c r="O30" s="19">
        <f t="shared" si="27"/>
        <v>6.4999999999999947E-2</v>
      </c>
      <c r="P30" s="19">
        <f t="shared" si="27"/>
        <v>6.4999999999999947E-2</v>
      </c>
      <c r="Q30" s="19">
        <f t="shared" si="27"/>
        <v>6.4999999999999947E-2</v>
      </c>
      <c r="AA30" s="19">
        <v>6.5000000000000002E-2</v>
      </c>
      <c r="AB30" s="19">
        <v>6.5000000000000002E-2</v>
      </c>
      <c r="AC30" s="19">
        <v>6.5000000000000002E-2</v>
      </c>
      <c r="AD30" s="19">
        <v>6.5000000000000002E-2</v>
      </c>
      <c r="AE30" s="19">
        <v>6.5000000000000002E-2</v>
      </c>
      <c r="AF30" s="19">
        <v>6.5000000000000002E-2</v>
      </c>
      <c r="AG30" s="19">
        <v>6.5000000000000002E-2</v>
      </c>
      <c r="AH30" s="19">
        <v>6.5000000000000002E-2</v>
      </c>
    </row>
    <row r="31" spans="1:34" outlineLevel="1">
      <c r="A31" s="30" t="s">
        <v>126</v>
      </c>
      <c r="B31" s="17"/>
      <c r="C31" s="17"/>
      <c r="D31" s="17"/>
      <c r="E31" s="17"/>
      <c r="F31" s="17"/>
      <c r="G31" s="17"/>
      <c r="H31" s="17"/>
      <c r="I31" s="20">
        <f t="shared" ref="I31:Q31" si="28">I41*4/1000000/I29</f>
        <v>1.0968553459119498E-4</v>
      </c>
      <c r="J31" s="20">
        <f t="shared" si="28"/>
        <v>3.7369277808550365E-4</v>
      </c>
      <c r="K31" s="20">
        <f t="shared" si="28"/>
        <v>3.737061267471415E-4</v>
      </c>
      <c r="L31" s="20">
        <f t="shared" si="28"/>
        <v>7.9773871419960829E-4</v>
      </c>
      <c r="M31" s="20">
        <f t="shared" si="28"/>
        <v>1.9896654560486618E-3</v>
      </c>
      <c r="N31" s="20">
        <f t="shared" si="28"/>
        <v>3.0465395669305936E-3</v>
      </c>
      <c r="O31" s="20">
        <f t="shared" si="28"/>
        <v>4.6181809079837424E-3</v>
      </c>
      <c r="P31" s="20">
        <f t="shared" si="28"/>
        <v>7.1323927383490447E-3</v>
      </c>
      <c r="Q31" s="20">
        <f t="shared" si="28"/>
        <v>1.1094501603968358E-2</v>
      </c>
      <c r="AA31" s="20">
        <f>AA41/1000000/AA29</f>
        <v>6.3862300444444443E-3</v>
      </c>
      <c r="AB31" s="20">
        <f t="shared" ref="AB31:AH31" si="29">AB41/1000000/AB29</f>
        <v>1.1992920271257174E-2</v>
      </c>
      <c r="AC31" s="20">
        <f t="shared" si="29"/>
        <v>1.6891437001770669E-2</v>
      </c>
      <c r="AD31" s="20">
        <f t="shared" si="29"/>
        <v>1.9032605072417656E-2</v>
      </c>
      <c r="AE31" s="20">
        <f t="shared" si="29"/>
        <v>2.1445188813991722E-2</v>
      </c>
      <c r="AF31" s="20">
        <f t="shared" si="29"/>
        <v>2.4163593029849825E-2</v>
      </c>
      <c r="AG31" s="20">
        <f t="shared" si="29"/>
        <v>2.722658369560544E-2</v>
      </c>
      <c r="AH31" s="20">
        <f t="shared" si="29"/>
        <v>3.0677840783780778E-2</v>
      </c>
    </row>
    <row r="32" spans="1:34" outlineLevel="1">
      <c r="A32" s="30"/>
      <c r="B32" s="17"/>
      <c r="C32" s="17"/>
      <c r="D32" s="17"/>
      <c r="E32" s="17"/>
      <c r="F32" s="17"/>
      <c r="G32" s="17"/>
      <c r="H32" s="17"/>
      <c r="I32" s="20"/>
      <c r="J32" s="20"/>
      <c r="K32" s="20"/>
      <c r="L32" s="20"/>
      <c r="M32" s="20"/>
      <c r="N32" s="20"/>
      <c r="O32" s="20"/>
      <c r="P32" s="20"/>
      <c r="Q32" s="20"/>
    </row>
    <row r="33" spans="1:34" outlineLevel="1">
      <c r="A33" s="6" t="s">
        <v>137</v>
      </c>
    </row>
    <row r="34" spans="1:34" outlineLevel="1">
      <c r="A34" s="6" t="s">
        <v>135</v>
      </c>
      <c r="F34" s="13">
        <f t="shared" ref="F34:K34" si="30">F37/F41</f>
        <v>0.51057401812688818</v>
      </c>
      <c r="G34" s="13">
        <f t="shared" si="30"/>
        <v>0.42458100558659218</v>
      </c>
      <c r="H34" s="13">
        <f t="shared" si="30"/>
        <v>0.53908355795148244</v>
      </c>
      <c r="I34" s="13">
        <f t="shared" si="30"/>
        <v>0.44495412844036697</v>
      </c>
      <c r="J34" s="13">
        <f t="shared" si="30"/>
        <v>0.78992710404241218</v>
      </c>
      <c r="K34" s="13">
        <f t="shared" si="30"/>
        <v>0.76190476190476186</v>
      </c>
      <c r="L34" s="14">
        <v>0.75</v>
      </c>
      <c r="M34" s="14">
        <v>0.75</v>
      </c>
      <c r="N34" s="14">
        <v>0.75</v>
      </c>
      <c r="O34" s="14">
        <v>0.75</v>
      </c>
      <c r="P34" s="14">
        <v>0.75</v>
      </c>
      <c r="Q34" s="14">
        <v>0.75</v>
      </c>
    </row>
    <row r="35" spans="1:34" outlineLevel="1">
      <c r="A35" s="6" t="s">
        <v>136</v>
      </c>
      <c r="F35" s="13">
        <f t="shared" ref="F35:K35" si="31">F39/F41</f>
        <v>0.48942598187311176</v>
      </c>
      <c r="G35" s="13">
        <f t="shared" si="31"/>
        <v>0.57541899441340782</v>
      </c>
      <c r="H35" s="13">
        <f t="shared" si="31"/>
        <v>0.46091644204851751</v>
      </c>
      <c r="I35" s="13">
        <f t="shared" si="31"/>
        <v>0.55504587155963303</v>
      </c>
      <c r="J35" s="13">
        <f t="shared" si="31"/>
        <v>0.2100728959575878</v>
      </c>
      <c r="K35" s="13">
        <f t="shared" si="31"/>
        <v>0.23809523809523808</v>
      </c>
      <c r="L35" s="14">
        <v>0.25</v>
      </c>
      <c r="M35" s="14">
        <v>0.25</v>
      </c>
      <c r="N35" s="14">
        <v>0.25</v>
      </c>
      <c r="O35" s="14">
        <v>0.25</v>
      </c>
      <c r="P35" s="14">
        <v>0.25</v>
      </c>
      <c r="Q35" s="14">
        <v>0.25</v>
      </c>
    </row>
    <row r="37" spans="1:34">
      <c r="A37" s="6" t="s">
        <v>33</v>
      </c>
      <c r="F37" s="7">
        <v>169</v>
      </c>
      <c r="G37" s="7">
        <v>152</v>
      </c>
      <c r="H37" s="7">
        <f>Y37-I37-G37-F37</f>
        <v>200</v>
      </c>
      <c r="I37" s="7">
        <f>Y37-521</f>
        <v>194</v>
      </c>
      <c r="J37" s="7">
        <v>1192</v>
      </c>
      <c r="K37" s="7">
        <v>1168</v>
      </c>
      <c r="L37" s="12">
        <f t="shared" ref="L37:Q37" si="32">L34*L41</f>
        <v>2493.28125</v>
      </c>
      <c r="M37" s="12">
        <f t="shared" si="32"/>
        <v>6317.2500000000018</v>
      </c>
      <c r="N37" s="12">
        <f t="shared" si="32"/>
        <v>9826.35</v>
      </c>
      <c r="O37" s="12">
        <f t="shared" si="32"/>
        <v>15131.91</v>
      </c>
      <c r="P37" s="12">
        <f t="shared" si="32"/>
        <v>23740.806000000004</v>
      </c>
      <c r="Q37" s="12">
        <f t="shared" si="32"/>
        <v>37515.039600000004</v>
      </c>
      <c r="X37" s="7">
        <v>200</v>
      </c>
      <c r="Y37" s="7">
        <v>715</v>
      </c>
      <c r="Z37" s="12">
        <f>SUM(J37:M37)</f>
        <v>11170.531250000002</v>
      </c>
      <c r="AA37" s="12">
        <f>SUM(N37:Q37)</f>
        <v>86214.10560000001</v>
      </c>
      <c r="AB37" s="12">
        <f>AA37*(1+AB42)</f>
        <v>172428.21120000002</v>
      </c>
      <c r="AC37" s="12">
        <f t="shared" ref="AC37:AH37" si="33">AB37*(1+AC42)</f>
        <v>258642.31680000003</v>
      </c>
      <c r="AD37" s="12">
        <f t="shared" si="33"/>
        <v>310370.78016000002</v>
      </c>
      <c r="AE37" s="12">
        <f t="shared" si="33"/>
        <v>372444.93619199999</v>
      </c>
      <c r="AF37" s="12">
        <f t="shared" si="33"/>
        <v>446933.92343039997</v>
      </c>
      <c r="AG37" s="12">
        <f t="shared" si="33"/>
        <v>536320.70811647992</v>
      </c>
      <c r="AH37" s="12">
        <f t="shared" si="33"/>
        <v>643584.84973977588</v>
      </c>
    </row>
    <row r="38" spans="1:34">
      <c r="A38" s="6" t="s">
        <v>138</v>
      </c>
      <c r="L38" s="12"/>
    </row>
    <row r="39" spans="1:34">
      <c r="A39" s="6" t="s">
        <v>34</v>
      </c>
      <c r="F39" s="7">
        <v>162</v>
      </c>
      <c r="G39" s="7">
        <v>206</v>
      </c>
      <c r="H39" s="7">
        <f>Y39-I39-G39-F39</f>
        <v>171</v>
      </c>
      <c r="I39" s="7">
        <f>Y39-539</f>
        <v>242</v>
      </c>
      <c r="J39" s="7">
        <v>317</v>
      </c>
      <c r="K39" s="7">
        <v>365</v>
      </c>
      <c r="L39" s="12">
        <f t="shared" ref="L39:Q39" si="34">L35*L41</f>
        <v>831.09375</v>
      </c>
      <c r="M39" s="12">
        <f t="shared" si="34"/>
        <v>2105.7500000000005</v>
      </c>
      <c r="N39" s="12">
        <f t="shared" si="34"/>
        <v>3275.4500000000003</v>
      </c>
      <c r="O39" s="12">
        <f t="shared" si="34"/>
        <v>5043.97</v>
      </c>
      <c r="P39" s="12">
        <f t="shared" si="34"/>
        <v>7913.6020000000008</v>
      </c>
      <c r="Q39" s="12">
        <f t="shared" si="34"/>
        <v>12505.013200000001</v>
      </c>
      <c r="X39" s="7">
        <v>94</v>
      </c>
      <c r="Y39" s="7">
        <v>781</v>
      </c>
      <c r="Z39" s="12">
        <f>SUM(J39:M39)</f>
        <v>3618.8437500000005</v>
      </c>
      <c r="AA39" s="12">
        <f>SUM(N39:Q39)</f>
        <v>28738.035200000002</v>
      </c>
      <c r="AB39" s="12">
        <f>AA39*(1+AB42)</f>
        <v>57476.070400000004</v>
      </c>
      <c r="AC39" s="12">
        <f t="shared" ref="AC39:AH39" si="35">AB39*(1+AC42)</f>
        <v>86214.10560000001</v>
      </c>
      <c r="AD39" s="12">
        <f t="shared" si="35"/>
        <v>103456.92672</v>
      </c>
      <c r="AE39" s="12">
        <f t="shared" si="35"/>
        <v>124148.312064</v>
      </c>
      <c r="AF39" s="12">
        <f t="shared" si="35"/>
        <v>148977.97447679998</v>
      </c>
      <c r="AG39" s="12">
        <f t="shared" si="35"/>
        <v>178773.56937215998</v>
      </c>
      <c r="AH39" s="12">
        <f t="shared" si="35"/>
        <v>214528.28324659198</v>
      </c>
    </row>
    <row r="41" spans="1:34" s="9" customFormat="1">
      <c r="A41" s="29" t="s">
        <v>0</v>
      </c>
      <c r="F41" s="9">
        <f t="shared" ref="F41:K41" si="36">F37+F39</f>
        <v>331</v>
      </c>
      <c r="G41" s="9">
        <f t="shared" si="36"/>
        <v>358</v>
      </c>
      <c r="H41" s="9">
        <f t="shared" si="36"/>
        <v>371</v>
      </c>
      <c r="I41" s="9">
        <f t="shared" si="36"/>
        <v>436</v>
      </c>
      <c r="J41" s="9">
        <f t="shared" si="36"/>
        <v>1509</v>
      </c>
      <c r="K41" s="9">
        <f t="shared" si="36"/>
        <v>1533</v>
      </c>
      <c r="L41" s="21">
        <f t="shared" ref="L41:Q41" si="37">L27*L17+50*L12</f>
        <v>3324.375</v>
      </c>
      <c r="M41" s="21">
        <f t="shared" si="37"/>
        <v>8423.0000000000018</v>
      </c>
      <c r="N41" s="21">
        <f t="shared" si="37"/>
        <v>13101.800000000001</v>
      </c>
      <c r="O41" s="21">
        <f t="shared" si="37"/>
        <v>20175.88</v>
      </c>
      <c r="P41" s="21">
        <f t="shared" si="37"/>
        <v>31654.408000000003</v>
      </c>
      <c r="Q41" s="21">
        <f t="shared" si="37"/>
        <v>50020.052800000005</v>
      </c>
      <c r="X41" s="9">
        <f>X37+X39</f>
        <v>294</v>
      </c>
      <c r="Y41" s="9">
        <f>Y37+Y39</f>
        <v>1496</v>
      </c>
      <c r="Z41" s="21">
        <f>SUM(J41:M41)</f>
        <v>14789.375000000002</v>
      </c>
      <c r="AA41" s="21">
        <f>SUM(N41:Q41)</f>
        <v>114952.14080000001</v>
      </c>
      <c r="AB41" s="21">
        <f>AB37+AB39</f>
        <v>229904.28160000002</v>
      </c>
      <c r="AC41" s="21">
        <f t="shared" ref="AC41:AH41" si="38">AC37+AC39</f>
        <v>344856.42240000004</v>
      </c>
      <c r="AD41" s="21">
        <f t="shared" si="38"/>
        <v>413827.70688000001</v>
      </c>
      <c r="AE41" s="21">
        <f t="shared" si="38"/>
        <v>496593.24825599999</v>
      </c>
      <c r="AF41" s="21">
        <f t="shared" si="38"/>
        <v>595911.89790719992</v>
      </c>
      <c r="AG41" s="21">
        <f t="shared" si="38"/>
        <v>715094.27748863993</v>
      </c>
      <c r="AH41" s="21">
        <f t="shared" si="38"/>
        <v>858113.13298636791</v>
      </c>
    </row>
    <row r="42" spans="1:34">
      <c r="A42" s="30" t="s">
        <v>1</v>
      </c>
      <c r="B42" s="17"/>
      <c r="C42" s="17"/>
      <c r="D42" s="17"/>
      <c r="E42" s="17"/>
      <c r="F42" s="22"/>
      <c r="G42" s="22"/>
      <c r="H42" s="22"/>
      <c r="I42" s="22"/>
      <c r="J42" s="23">
        <f>J41/F41-1</f>
        <v>3.5589123867069485</v>
      </c>
      <c r="K42" s="23">
        <f>K41/G41-1</f>
        <v>3.2821229050279328</v>
      </c>
      <c r="L42" s="23">
        <f t="shared" ref="L42:Q42" si="39">L41/H41-1</f>
        <v>7.9605795148247971</v>
      </c>
      <c r="M42" s="23">
        <f t="shared" si="39"/>
        <v>18.318807339449545</v>
      </c>
      <c r="N42" s="23">
        <f t="shared" si="39"/>
        <v>7.6824387011265749</v>
      </c>
      <c r="O42" s="23">
        <f t="shared" si="39"/>
        <v>12.161043705153295</v>
      </c>
      <c r="P42" s="23">
        <f t="shared" si="39"/>
        <v>8.5219125399511189</v>
      </c>
      <c r="Q42" s="23">
        <f t="shared" si="39"/>
        <v>4.9385079900273059</v>
      </c>
      <c r="Y42" s="13">
        <f>Y41/X41-1</f>
        <v>4.0884353741496602</v>
      </c>
      <c r="Z42" s="13">
        <f t="shared" ref="Z42:AA42" si="40">Z41/Y41-1</f>
        <v>8.885945855614974</v>
      </c>
      <c r="AA42" s="13">
        <f t="shared" si="40"/>
        <v>6.7726165439716004</v>
      </c>
      <c r="AB42" s="13">
        <v>1</v>
      </c>
      <c r="AC42" s="13">
        <v>0.5</v>
      </c>
      <c r="AD42" s="13">
        <v>0.2</v>
      </c>
      <c r="AE42" s="13">
        <v>0.2</v>
      </c>
      <c r="AF42" s="13">
        <v>0.2</v>
      </c>
      <c r="AG42" s="13">
        <v>0.2</v>
      </c>
      <c r="AH42" s="13">
        <v>0.2</v>
      </c>
    </row>
    <row r="43" spans="1:34">
      <c r="A43" s="30"/>
      <c r="B43" s="17"/>
      <c r="C43" s="17"/>
      <c r="D43" s="17"/>
      <c r="E43" s="17"/>
      <c r="F43" s="22"/>
      <c r="G43" s="22"/>
      <c r="H43" s="22"/>
      <c r="I43" s="22"/>
      <c r="J43" s="23"/>
      <c r="K43" s="23"/>
      <c r="L43" s="23"/>
      <c r="M43" s="23"/>
      <c r="N43" s="23"/>
      <c r="O43" s="23"/>
      <c r="P43" s="23"/>
    </row>
    <row r="44" spans="1:34">
      <c r="A44" s="6" t="s">
        <v>35</v>
      </c>
    </row>
    <row r="45" spans="1:34">
      <c r="A45" s="6" t="s">
        <v>33</v>
      </c>
      <c r="F45" s="7">
        <v>-548</v>
      </c>
      <c r="G45" s="7">
        <v>-364</v>
      </c>
      <c r="H45" s="7">
        <f>Y45-I45-G45-F45</f>
        <v>-508</v>
      </c>
      <c r="I45" s="7">
        <f>Y45+1420</f>
        <v>-638</v>
      </c>
      <c r="J45" s="7">
        <v>-1037</v>
      </c>
      <c r="K45" s="7">
        <v>-1259</v>
      </c>
      <c r="L45" s="12">
        <f t="shared" ref="L45:Q45" si="41">L37*L46*-1</f>
        <v>-2188.8789330051372</v>
      </c>
      <c r="M45" s="12">
        <f t="shared" si="41"/>
        <v>-4914.2580051369878</v>
      </c>
      <c r="N45" s="12">
        <f t="shared" si="41"/>
        <v>-7152.7078510273977</v>
      </c>
      <c r="O45" s="12">
        <f t="shared" si="41"/>
        <v>-10258.087618150685</v>
      </c>
      <c r="P45" s="12">
        <f t="shared" si="41"/>
        <v>-14907.112260616439</v>
      </c>
      <c r="Q45" s="12">
        <f t="shared" si="41"/>
        <v>-21680.352508561642</v>
      </c>
      <c r="X45" s="7">
        <v>-763</v>
      </c>
      <c r="Y45" s="7">
        <v>-2058</v>
      </c>
      <c r="Z45" s="12">
        <f>SUM(J45:M45)</f>
        <v>-9399.1369381421246</v>
      </c>
      <c r="AA45" s="12">
        <f>SUM(N45:Q45)</f>
        <v>-53998.260238356161</v>
      </c>
      <c r="AB45" s="12">
        <f>AA45/AA41*AB41</f>
        <v>-107996.52047671232</v>
      </c>
      <c r="AC45" s="12">
        <f t="shared" ref="AC45:AH45" si="42">AB45/AB41*AC41</f>
        <v>-161994.78071506848</v>
      </c>
      <c r="AD45" s="12">
        <f t="shared" si="42"/>
        <v>-194393.73685808218</v>
      </c>
      <c r="AE45" s="12">
        <f t="shared" si="42"/>
        <v>-233272.4842296986</v>
      </c>
      <c r="AF45" s="12">
        <f t="shared" si="42"/>
        <v>-279926.98107563832</v>
      </c>
      <c r="AG45" s="12">
        <f t="shared" si="42"/>
        <v>-335912.37729076599</v>
      </c>
      <c r="AH45" s="12">
        <f t="shared" si="42"/>
        <v>-403094.85274891916</v>
      </c>
    </row>
    <row r="46" spans="1:34" hidden="1" outlineLevel="1">
      <c r="A46" s="6" t="s">
        <v>140</v>
      </c>
      <c r="F46" s="13">
        <f t="shared" ref="F46:K46" si="43">-F45/F37</f>
        <v>3.2426035502958581</v>
      </c>
      <c r="G46" s="13">
        <f t="shared" si="43"/>
        <v>2.3947368421052633</v>
      </c>
      <c r="H46" s="13">
        <f t="shared" si="43"/>
        <v>2.54</v>
      </c>
      <c r="I46" s="13">
        <f t="shared" si="43"/>
        <v>3.2886597938144329</v>
      </c>
      <c r="J46" s="13">
        <f t="shared" si="43"/>
        <v>0.86996644295302017</v>
      </c>
      <c r="K46" s="13">
        <f t="shared" si="43"/>
        <v>1.0779109589041096</v>
      </c>
      <c r="L46" s="14">
        <f>K46-0.2</f>
        <v>0.87791095890410964</v>
      </c>
      <c r="M46" s="14">
        <f t="shared" ref="M46" si="44">L46-0.1</f>
        <v>0.77791095890410966</v>
      </c>
      <c r="N46" s="14">
        <f>M46-0.05</f>
        <v>0.72791095890410962</v>
      </c>
      <c r="O46" s="14">
        <f t="shared" ref="O46:Q46" si="45">N46-0.05</f>
        <v>0.67791095890410957</v>
      </c>
      <c r="P46" s="14">
        <f t="shared" si="45"/>
        <v>0.62791095890410953</v>
      </c>
      <c r="Q46" s="14">
        <f t="shared" si="45"/>
        <v>0.57791095890410948</v>
      </c>
    </row>
    <row r="47" spans="1:34" collapsed="1">
      <c r="A47" s="6" t="s">
        <v>36</v>
      </c>
      <c r="F47" s="7">
        <v>-60</v>
      </c>
      <c r="G47" s="7">
        <v>-93</v>
      </c>
      <c r="H47" s="7">
        <f>Y47-I47-G47-F47</f>
        <v>-201</v>
      </c>
      <c r="I47" s="7">
        <f>Y47+354</f>
        <v>-251</v>
      </c>
      <c r="J47" s="7">
        <v>-388</v>
      </c>
      <c r="K47" s="7">
        <v>-439</v>
      </c>
      <c r="L47" s="12">
        <f t="shared" ref="L47:Q47" si="46">-L39*L48</f>
        <v>-831.09375</v>
      </c>
      <c r="M47" s="12">
        <f t="shared" si="46"/>
        <v>-1895.1750000000004</v>
      </c>
      <c r="N47" s="12">
        <f t="shared" si="46"/>
        <v>-2784.1325000000002</v>
      </c>
      <c r="O47" s="12">
        <f t="shared" si="46"/>
        <v>-4035.1759999999999</v>
      </c>
      <c r="P47" s="12">
        <f t="shared" si="46"/>
        <v>-5935.2015000000001</v>
      </c>
      <c r="Q47" s="12">
        <f t="shared" si="46"/>
        <v>-8753.5092399999994</v>
      </c>
      <c r="X47" s="7">
        <v>-8</v>
      </c>
      <c r="Y47" s="7">
        <v>-605</v>
      </c>
      <c r="Z47" s="12">
        <f>SUM(J47:M47)</f>
        <v>-3553.2687500000002</v>
      </c>
      <c r="AA47" s="12">
        <f>SUM(N47:Q47)</f>
        <v>-21508.019240000001</v>
      </c>
      <c r="AB47" s="12">
        <f>AA47/AA41*AB41</f>
        <v>-43016.038480000003</v>
      </c>
      <c r="AC47" s="12">
        <f t="shared" ref="AC47:AH47" si="47">AB47/AB41*AC41</f>
        <v>-64524.057720000012</v>
      </c>
      <c r="AD47" s="12">
        <f t="shared" si="47"/>
        <v>-77428.869264000008</v>
      </c>
      <c r="AE47" s="12">
        <f t="shared" si="47"/>
        <v>-92914.643116799998</v>
      </c>
      <c r="AF47" s="12">
        <f t="shared" si="47"/>
        <v>-111497.57174015998</v>
      </c>
      <c r="AG47" s="12">
        <f t="shared" si="47"/>
        <v>-133797.08608819198</v>
      </c>
      <c r="AH47" s="12">
        <f t="shared" si="47"/>
        <v>-160556.50330583035</v>
      </c>
    </row>
    <row r="48" spans="1:34" hidden="1" outlineLevel="1">
      <c r="A48" s="6" t="s">
        <v>140</v>
      </c>
      <c r="F48" s="13">
        <f t="shared" ref="F48:K48" si="48">-F47/F39</f>
        <v>0.37037037037037035</v>
      </c>
      <c r="G48" s="13">
        <f t="shared" si="48"/>
        <v>0.45145631067961167</v>
      </c>
      <c r="H48" s="13">
        <f t="shared" si="48"/>
        <v>1.1754385964912282</v>
      </c>
      <c r="I48" s="13">
        <f t="shared" si="48"/>
        <v>1.0371900826446281</v>
      </c>
      <c r="J48" s="13">
        <f t="shared" si="48"/>
        <v>1.22397476340694</v>
      </c>
      <c r="K48" s="13">
        <f t="shared" si="48"/>
        <v>1.2027397260273973</v>
      </c>
      <c r="L48" s="14">
        <v>1</v>
      </c>
      <c r="M48" s="14">
        <f>L48-0.1</f>
        <v>0.9</v>
      </c>
      <c r="N48" s="14">
        <f t="shared" ref="N48:Q48" si="49">M48-0.05</f>
        <v>0.85</v>
      </c>
      <c r="O48" s="14">
        <f t="shared" si="49"/>
        <v>0.79999999999999993</v>
      </c>
      <c r="P48" s="14">
        <f t="shared" si="49"/>
        <v>0.74999999999999989</v>
      </c>
      <c r="Q48" s="14">
        <f t="shared" si="49"/>
        <v>0.69999999999999984</v>
      </c>
    </row>
    <row r="49" spans="1:34" collapsed="1">
      <c r="A49" s="6" t="s">
        <v>37</v>
      </c>
      <c r="F49" s="7">
        <f>F45+F47</f>
        <v>-608</v>
      </c>
      <c r="G49" s="7">
        <f>G45+G47</f>
        <v>-457</v>
      </c>
      <c r="H49" s="7">
        <f t="shared" ref="H49:K49" si="50">H45+H47</f>
        <v>-709</v>
      </c>
      <c r="I49" s="7">
        <f t="shared" si="50"/>
        <v>-889</v>
      </c>
      <c r="J49" s="7">
        <f t="shared" si="50"/>
        <v>-1425</v>
      </c>
      <c r="K49" s="7">
        <f t="shared" si="50"/>
        <v>-1698</v>
      </c>
      <c r="L49" s="12">
        <f t="shared" ref="L49" si="51">L45+L47</f>
        <v>-3019.9726830051372</v>
      </c>
      <c r="M49" s="12">
        <f t="shared" ref="M49" si="52">M45+M47</f>
        <v>-6809.433005136988</v>
      </c>
      <c r="N49" s="12">
        <f t="shared" ref="N49" si="53">N45+N47</f>
        <v>-9936.8403510273984</v>
      </c>
      <c r="O49" s="12">
        <f t="shared" ref="O49" si="54">O45+O47</f>
        <v>-14293.263618150684</v>
      </c>
      <c r="P49" s="12">
        <f t="shared" ref="P49" si="55">P45+P47</f>
        <v>-20842.313760616438</v>
      </c>
      <c r="Q49" s="12">
        <f t="shared" ref="Q49" si="56">Q45+Q47</f>
        <v>-30433.861748561641</v>
      </c>
      <c r="X49" s="7">
        <f>X45+X47</f>
        <v>-771</v>
      </c>
      <c r="Y49" s="7">
        <f>Y45+Y47</f>
        <v>-2663</v>
      </c>
      <c r="Z49" s="12">
        <f>SUM(J49:M49)</f>
        <v>-12952.405688142124</v>
      </c>
      <c r="AA49" s="12">
        <f>SUM(N49:Q49)</f>
        <v>-75506.279478356155</v>
      </c>
      <c r="AB49" s="12">
        <f>AB45+AB47</f>
        <v>-151012.55895671231</v>
      </c>
      <c r="AC49" s="12">
        <f t="shared" ref="AC49:AH49" si="57">AC45+AC47</f>
        <v>-226518.83843506849</v>
      </c>
      <c r="AD49" s="12">
        <f t="shared" si="57"/>
        <v>-271822.60612208222</v>
      </c>
      <c r="AE49" s="12">
        <f t="shared" si="57"/>
        <v>-326187.1273464986</v>
      </c>
      <c r="AF49" s="12">
        <f t="shared" si="57"/>
        <v>-391424.55281579832</v>
      </c>
      <c r="AG49" s="12">
        <f t="shared" si="57"/>
        <v>-469709.46337895794</v>
      </c>
      <c r="AH49" s="12">
        <f t="shared" si="57"/>
        <v>-563651.35605474957</v>
      </c>
    </row>
    <row r="50" spans="1:34" outlineLevel="1">
      <c r="A50" s="6" t="s">
        <v>140</v>
      </c>
      <c r="F50" s="13">
        <f>-F49/F41</f>
        <v>1.8368580060422961</v>
      </c>
      <c r="G50" s="13">
        <f t="shared" ref="G50:K50" si="58">-G49/G41</f>
        <v>1.276536312849162</v>
      </c>
      <c r="H50" s="13">
        <f t="shared" si="58"/>
        <v>1.9110512129380053</v>
      </c>
      <c r="I50" s="13">
        <f t="shared" si="58"/>
        <v>2.0389908256880735</v>
      </c>
      <c r="J50" s="13">
        <f t="shared" si="58"/>
        <v>0.94433399602385681</v>
      </c>
      <c r="K50" s="13">
        <f t="shared" si="58"/>
        <v>1.1076320939334638</v>
      </c>
      <c r="L50" s="13">
        <f>-L49/L41</f>
        <v>0.90843321917808229</v>
      </c>
      <c r="M50" s="13">
        <f t="shared" ref="M50:Q50" si="59">-M49/M41</f>
        <v>0.8084332191780822</v>
      </c>
      <c r="N50" s="13">
        <f t="shared" si="59"/>
        <v>0.75843321917808226</v>
      </c>
      <c r="O50" s="13">
        <f t="shared" si="59"/>
        <v>0.70843321917808211</v>
      </c>
      <c r="P50" s="13">
        <f t="shared" si="59"/>
        <v>0.65843321917808217</v>
      </c>
      <c r="Q50" s="13">
        <f t="shared" si="59"/>
        <v>0.60843321917808213</v>
      </c>
      <c r="X50" s="13">
        <f>X49/X41</f>
        <v>-2.6224489795918369</v>
      </c>
      <c r="Y50" s="13">
        <f t="shared" ref="Y50:AH50" si="60">Y49/Y41</f>
        <v>-1.7800802139037433</v>
      </c>
      <c r="Z50" s="13">
        <f t="shared" si="60"/>
        <v>-0.87579128179129428</v>
      </c>
      <c r="AA50" s="13">
        <f t="shared" si="60"/>
        <v>-0.65684970243160667</v>
      </c>
      <c r="AB50" s="13">
        <f t="shared" si="60"/>
        <v>-0.65684970243160667</v>
      </c>
      <c r="AC50" s="13">
        <f t="shared" si="60"/>
        <v>-0.65684970243160667</v>
      </c>
      <c r="AD50" s="13">
        <f t="shared" si="60"/>
        <v>-0.65684970243160679</v>
      </c>
      <c r="AE50" s="13">
        <f t="shared" si="60"/>
        <v>-0.65684970243160667</v>
      </c>
      <c r="AF50" s="13">
        <f t="shared" si="60"/>
        <v>-0.65684970243160679</v>
      </c>
      <c r="AG50" s="13">
        <f t="shared" si="60"/>
        <v>-0.65684970243160667</v>
      </c>
      <c r="AH50" s="13">
        <f t="shared" si="60"/>
        <v>-0.65684970243160679</v>
      </c>
    </row>
    <row r="52" spans="1:34">
      <c r="A52" s="6" t="s">
        <v>2</v>
      </c>
      <c r="B52" s="24"/>
      <c r="C52" s="24"/>
      <c r="D52" s="24"/>
      <c r="E52" s="24"/>
      <c r="F52" s="12">
        <f t="shared" ref="F52:L52" si="61">F41+F49</f>
        <v>-277</v>
      </c>
      <c r="G52" s="12">
        <f t="shared" si="61"/>
        <v>-99</v>
      </c>
      <c r="H52" s="12">
        <f t="shared" si="61"/>
        <v>-338</v>
      </c>
      <c r="I52" s="12">
        <f t="shared" si="61"/>
        <v>-453</v>
      </c>
      <c r="J52" s="12">
        <f t="shared" si="61"/>
        <v>84</v>
      </c>
      <c r="K52" s="12">
        <f t="shared" si="61"/>
        <v>-165</v>
      </c>
      <c r="L52" s="12">
        <f t="shared" si="61"/>
        <v>304.40231699486276</v>
      </c>
      <c r="M52" s="12">
        <f t="shared" ref="M52:Q52" si="62">M41+M49</f>
        <v>1613.5669948630139</v>
      </c>
      <c r="N52" s="12">
        <f t="shared" si="62"/>
        <v>3164.9596489726027</v>
      </c>
      <c r="O52" s="12">
        <f t="shared" si="62"/>
        <v>5882.6163818493169</v>
      </c>
      <c r="P52" s="12">
        <f t="shared" si="62"/>
        <v>10812.094239383565</v>
      </c>
      <c r="Q52" s="12">
        <f t="shared" si="62"/>
        <v>19586.191051438364</v>
      </c>
      <c r="X52" s="7">
        <f>X41+X49</f>
        <v>-477</v>
      </c>
      <c r="Y52" s="7">
        <f>Y41+Y49</f>
        <v>-1167</v>
      </c>
      <c r="Z52" s="12">
        <f>SUM(J52:M52)</f>
        <v>1836.9693118578766</v>
      </c>
      <c r="AA52" s="12">
        <f>SUM(N52:Q52)</f>
        <v>39445.861321643846</v>
      </c>
      <c r="AB52" s="12">
        <f>AB41+AB49</f>
        <v>78891.722643287707</v>
      </c>
      <c r="AC52" s="12">
        <f t="shared" ref="AC52:AH52" si="63">AC41+AC49</f>
        <v>118337.58396493155</v>
      </c>
      <c r="AD52" s="12">
        <f t="shared" si="63"/>
        <v>142005.1007579178</v>
      </c>
      <c r="AE52" s="12">
        <f t="shared" si="63"/>
        <v>170406.12090950139</v>
      </c>
      <c r="AF52" s="12">
        <f t="shared" si="63"/>
        <v>204487.3450914016</v>
      </c>
      <c r="AG52" s="12">
        <f t="shared" si="63"/>
        <v>245384.81410968199</v>
      </c>
      <c r="AH52" s="12">
        <f t="shared" si="63"/>
        <v>294461.77693161834</v>
      </c>
    </row>
    <row r="53" spans="1:34">
      <c r="A53" s="30" t="s">
        <v>1</v>
      </c>
      <c r="B53" s="17"/>
      <c r="C53" s="17"/>
      <c r="D53" s="17"/>
      <c r="E53" s="17"/>
      <c r="F53" s="22"/>
      <c r="G53" s="22"/>
      <c r="H53" s="22"/>
      <c r="I53" s="22"/>
      <c r="J53" s="22"/>
      <c r="K53" s="23"/>
      <c r="L53" s="23"/>
      <c r="M53" s="23"/>
      <c r="N53" s="23">
        <f t="shared" ref="N53:Q53" si="64">N52/J52-1</f>
        <v>36.678091059197655</v>
      </c>
      <c r="O53" s="23">
        <f t="shared" si="64"/>
        <v>-36.652220496056465</v>
      </c>
      <c r="P53" s="23">
        <f t="shared" si="64"/>
        <v>34.519093107185633</v>
      </c>
      <c r="Q53" s="23">
        <f t="shared" si="64"/>
        <v>11.138443035704979</v>
      </c>
      <c r="Y53" s="13"/>
      <c r="Z53" s="13"/>
      <c r="AA53" s="13">
        <f t="shared" ref="AA53:AH53" si="65">AA52/Z52-1</f>
        <v>20.473337124913119</v>
      </c>
      <c r="AB53" s="13">
        <f t="shared" si="65"/>
        <v>1.0000000000000004</v>
      </c>
      <c r="AC53" s="13">
        <f t="shared" si="65"/>
        <v>0.49999999999999978</v>
      </c>
      <c r="AD53" s="13">
        <f t="shared" si="65"/>
        <v>0.19999999999999951</v>
      </c>
      <c r="AE53" s="13">
        <f t="shared" si="65"/>
        <v>0.20000000000000018</v>
      </c>
      <c r="AF53" s="13">
        <f t="shared" si="65"/>
        <v>0.19999999999999951</v>
      </c>
      <c r="AG53" s="13">
        <f t="shared" si="65"/>
        <v>0.2000000000000004</v>
      </c>
      <c r="AH53" s="13">
        <f t="shared" si="65"/>
        <v>0.19999999999999973</v>
      </c>
    </row>
    <row r="54" spans="1:34">
      <c r="A54" s="30" t="s">
        <v>3</v>
      </c>
      <c r="B54" s="22"/>
      <c r="C54" s="22"/>
      <c r="D54" s="22"/>
      <c r="E54" s="22"/>
      <c r="F54" s="13">
        <f t="shared" ref="F54:K54" si="66">F52/F41</f>
        <v>-0.8368580060422961</v>
      </c>
      <c r="G54" s="13">
        <f t="shared" si="66"/>
        <v>-0.27653631284916202</v>
      </c>
      <c r="H54" s="13">
        <f t="shared" si="66"/>
        <v>-0.91105121293800539</v>
      </c>
      <c r="I54" s="13">
        <f t="shared" si="66"/>
        <v>-1.0389908256880733</v>
      </c>
      <c r="J54" s="13">
        <f t="shared" si="66"/>
        <v>5.5666003976143144E-2</v>
      </c>
      <c r="K54" s="13">
        <f t="shared" si="66"/>
        <v>-0.10763209393346379</v>
      </c>
      <c r="L54" s="13">
        <f t="shared" ref="L54:Q54" si="67">L52/L41</f>
        <v>9.1566780821917729E-2</v>
      </c>
      <c r="M54" s="13">
        <f t="shared" si="67"/>
        <v>0.19156678082191778</v>
      </c>
      <c r="N54" s="13">
        <f t="shared" si="67"/>
        <v>0.24156678082191779</v>
      </c>
      <c r="O54" s="13">
        <f t="shared" si="67"/>
        <v>0.29156678082191789</v>
      </c>
      <c r="P54" s="13">
        <f t="shared" si="67"/>
        <v>0.34156678082191788</v>
      </c>
      <c r="Q54" s="13">
        <f t="shared" si="67"/>
        <v>0.39156678082191793</v>
      </c>
      <c r="X54" s="13">
        <f>X52/X41</f>
        <v>-1.6224489795918366</v>
      </c>
      <c r="Y54" s="13">
        <f>Y52/Y41</f>
        <v>-0.78008021390374327</v>
      </c>
    </row>
    <row r="55" spans="1:34">
      <c r="A55" s="30"/>
      <c r="B55" s="22"/>
      <c r="C55" s="22"/>
      <c r="D55" s="22"/>
      <c r="E55" s="22"/>
      <c r="F55" s="22"/>
      <c r="G55" s="22"/>
      <c r="H55" s="22"/>
      <c r="I55" s="22"/>
      <c r="J55" s="22"/>
      <c r="K55" s="22"/>
      <c r="L55" s="22"/>
      <c r="M55" s="22"/>
      <c r="N55" s="22"/>
      <c r="O55" s="22"/>
      <c r="P55" s="22"/>
    </row>
    <row r="56" spans="1:34">
      <c r="A56" s="30" t="s">
        <v>27</v>
      </c>
      <c r="B56" s="22"/>
      <c r="C56" s="22"/>
      <c r="D56" s="22"/>
      <c r="E56" s="22"/>
      <c r="F56" s="22"/>
      <c r="G56" s="22"/>
      <c r="H56" s="22"/>
      <c r="I56" s="22"/>
      <c r="J56" s="22"/>
      <c r="K56" s="22"/>
      <c r="L56" s="22"/>
      <c r="M56" s="22"/>
      <c r="N56" s="22"/>
      <c r="O56" s="22"/>
      <c r="P56" s="22"/>
    </row>
    <row r="57" spans="1:34">
      <c r="A57" s="6" t="s">
        <v>39</v>
      </c>
      <c r="F57" s="7">
        <v>-4474</v>
      </c>
      <c r="G57" s="7">
        <v>-6037</v>
      </c>
      <c r="H57" s="7">
        <f>Y57-I57-G57-F57</f>
        <v>-6438</v>
      </c>
      <c r="I57" s="7">
        <f>Y57+16949</f>
        <v>-8893</v>
      </c>
      <c r="J57" s="7">
        <v>-8334</v>
      </c>
      <c r="K57" s="7">
        <v>-7265</v>
      </c>
      <c r="L57" s="25">
        <f>AVERAGE(H57:K57)*0.98</f>
        <v>-7577.8499999999995</v>
      </c>
      <c r="M57" s="25">
        <f t="shared" ref="M57:Q57" si="68">AVERAGE(I57:L57)*0.98</f>
        <v>-7857.1132499999994</v>
      </c>
      <c r="N57" s="25">
        <f t="shared" si="68"/>
        <v>-7603.3209962499996</v>
      </c>
      <c r="O57" s="25">
        <f t="shared" si="68"/>
        <v>-7424.3046403312492</v>
      </c>
      <c r="P57" s="25">
        <f t="shared" si="68"/>
        <v>-7463.3342772124051</v>
      </c>
      <c r="Q57" s="25">
        <f t="shared" si="68"/>
        <v>-7435.2779251294442</v>
      </c>
      <c r="X57" s="7">
        <v>-14593</v>
      </c>
      <c r="Y57" s="7">
        <v>-25842</v>
      </c>
      <c r="Z57" s="12">
        <f>SUM(J57:M57)</f>
        <v>-31033.963249999997</v>
      </c>
      <c r="AA57" s="12">
        <f>SUM(N57:Q57)</f>
        <v>-29926.237838923098</v>
      </c>
      <c r="AB57" s="12">
        <f>AA57*0.98</f>
        <v>-29327.713082144637</v>
      </c>
      <c r="AC57" s="12">
        <f t="shared" ref="AC57:AH57" si="69">AB57*0.98</f>
        <v>-28741.158820501743</v>
      </c>
      <c r="AD57" s="12">
        <f t="shared" si="69"/>
        <v>-28166.335644091709</v>
      </c>
      <c r="AE57" s="12">
        <f t="shared" si="69"/>
        <v>-27603.008931209875</v>
      </c>
      <c r="AF57" s="12">
        <f t="shared" si="69"/>
        <v>-27050.948752585678</v>
      </c>
      <c r="AG57" s="12">
        <f t="shared" si="69"/>
        <v>-26509.929777533966</v>
      </c>
      <c r="AH57" s="12">
        <f t="shared" si="69"/>
        <v>-25979.731181983287</v>
      </c>
    </row>
    <row r="58" spans="1:34">
      <c r="A58" s="6" t="s">
        <v>141</v>
      </c>
      <c r="F58" s="7">
        <v>-1858</v>
      </c>
      <c r="G58" s="7">
        <v>-6663</v>
      </c>
      <c r="H58" s="7">
        <f>Y58-I58-G58-F58</f>
        <v>-6827</v>
      </c>
      <c r="I58" s="7">
        <f>Y58+15348</f>
        <v>-12149</v>
      </c>
      <c r="J58" s="7">
        <v>-11360</v>
      </c>
      <c r="K58" s="7">
        <v>-12012</v>
      </c>
      <c r="L58" s="25">
        <f t="shared" ref="L58:L59" si="70">AVERAGE(H58:K58)*1.01</f>
        <v>-10692.87</v>
      </c>
      <c r="M58" s="25">
        <f t="shared" ref="M58:M59" si="71">AVERAGE(I58:L58)*1.01</f>
        <v>-11669.002175000001</v>
      </c>
      <c r="N58" s="25">
        <f t="shared" ref="N58:N59" si="72">AVERAGE(J58:M58)*1.01</f>
        <v>-11547.802724187501</v>
      </c>
      <c r="O58" s="25">
        <f t="shared" ref="O58:O59" si="73">AVERAGE(K58:N58)*1.01</f>
        <v>-11595.222912044845</v>
      </c>
      <c r="P58" s="25">
        <f t="shared" ref="P58:P59" si="74">AVERAGE(L58:O58)*1.01</f>
        <v>-11489.98669733617</v>
      </c>
      <c r="Q58" s="25">
        <f t="shared" ref="Q58:Q59" si="75">AVERAGE(M58:P58)*1.01</f>
        <v>-11691.258663413551</v>
      </c>
      <c r="X58" s="7">
        <v>-5921</v>
      </c>
      <c r="Y58" s="7">
        <v>-27497</v>
      </c>
      <c r="Z58" s="12">
        <f>SUM(J58:M58)</f>
        <v>-45733.872175000004</v>
      </c>
      <c r="AA58" s="12">
        <f>SUM(N58:Q58)</f>
        <v>-46324.270996982064</v>
      </c>
      <c r="AB58" s="12">
        <f>AA58*1.01</f>
        <v>-46787.513706951882</v>
      </c>
      <c r="AC58" s="12">
        <f t="shared" ref="AC58:AH58" si="76">AB58*1.01</f>
        <v>-47255.3888440214</v>
      </c>
      <c r="AD58" s="12">
        <f t="shared" si="76"/>
        <v>-47727.942732461612</v>
      </c>
      <c r="AE58" s="12">
        <f t="shared" si="76"/>
        <v>-48205.22215978623</v>
      </c>
      <c r="AF58" s="12">
        <f t="shared" si="76"/>
        <v>-48687.274381384093</v>
      </c>
      <c r="AG58" s="12">
        <f t="shared" si="76"/>
        <v>-49174.147125197938</v>
      </c>
      <c r="AH58" s="12">
        <f t="shared" si="76"/>
        <v>-49665.88859644992</v>
      </c>
    </row>
    <row r="59" spans="1:34">
      <c r="A59" s="6" t="s">
        <v>40</v>
      </c>
      <c r="F59" s="7">
        <v>-1196</v>
      </c>
      <c r="G59" s="7">
        <v>-1787</v>
      </c>
      <c r="H59" s="7">
        <f>Y59-I59-G59-F59</f>
        <v>-2787</v>
      </c>
      <c r="I59" s="7">
        <f>Y59+5770</f>
        <v>-4592</v>
      </c>
      <c r="J59" s="7">
        <v>-4161</v>
      </c>
      <c r="K59" s="7">
        <v>-3750</v>
      </c>
      <c r="L59" s="25">
        <f t="shared" si="70"/>
        <v>-3860.7249999999999</v>
      </c>
      <c r="M59" s="25">
        <f t="shared" si="71"/>
        <v>-4131.8405625000005</v>
      </c>
      <c r="N59" s="25">
        <f t="shared" si="72"/>
        <v>-4015.6503045312502</v>
      </c>
      <c r="O59" s="25">
        <f t="shared" si="73"/>
        <v>-3978.9495064253906</v>
      </c>
      <c r="P59" s="25">
        <f t="shared" si="74"/>
        <v>-4036.7592567978013</v>
      </c>
      <c r="Q59" s="25">
        <f t="shared" si="75"/>
        <v>-4081.2079066392466</v>
      </c>
      <c r="X59" s="7">
        <v>-2500</v>
      </c>
      <c r="Y59" s="7">
        <v>-10362</v>
      </c>
      <c r="Z59" s="12">
        <f>SUM(J59:M59)</f>
        <v>-15903.5655625</v>
      </c>
      <c r="AA59" s="12">
        <f>SUM(N59:Q59)</f>
        <v>-16112.566974393689</v>
      </c>
      <c r="AB59" s="12">
        <f>AA59*1.04</f>
        <v>-16757.069653369435</v>
      </c>
      <c r="AC59" s="12">
        <f t="shared" ref="AC59:AH59" si="77">AB59*1.04</f>
        <v>-17427.352439504215</v>
      </c>
      <c r="AD59" s="12">
        <f t="shared" si="77"/>
        <v>-18124.446537084383</v>
      </c>
      <c r="AE59" s="12">
        <f t="shared" si="77"/>
        <v>-18849.42439856776</v>
      </c>
      <c r="AF59" s="12">
        <f t="shared" si="77"/>
        <v>-19603.401374510471</v>
      </c>
      <c r="AG59" s="12">
        <f t="shared" si="77"/>
        <v>-20387.537429490891</v>
      </c>
      <c r="AH59" s="12">
        <f t="shared" si="77"/>
        <v>-21203.038926670528</v>
      </c>
    </row>
    <row r="60" spans="1:34">
      <c r="A60" s="6" t="s">
        <v>41</v>
      </c>
      <c r="F60" s="7">
        <f t="shared" ref="F60:J60" si="78">F57+F58+F59</f>
        <v>-7528</v>
      </c>
      <c r="G60" s="7">
        <f t="shared" si="78"/>
        <v>-14487</v>
      </c>
      <c r="H60" s="7">
        <f t="shared" si="78"/>
        <v>-16052</v>
      </c>
      <c r="I60" s="7">
        <f t="shared" si="78"/>
        <v>-25634</v>
      </c>
      <c r="J60" s="7">
        <f t="shared" si="78"/>
        <v>-23855</v>
      </c>
      <c r="K60" s="7">
        <f>K57+K58+K59</f>
        <v>-23027</v>
      </c>
      <c r="L60" s="12">
        <f t="shared" ref="L60:Q60" si="79">L57+L58+L59</f>
        <v>-22131.445</v>
      </c>
      <c r="M60" s="12">
        <f t="shared" si="79"/>
        <v>-23657.955987500001</v>
      </c>
      <c r="N60" s="12">
        <f t="shared" si="79"/>
        <v>-23166.774024968749</v>
      </c>
      <c r="O60" s="12">
        <f t="shared" si="79"/>
        <v>-22998.477058801484</v>
      </c>
      <c r="P60" s="12">
        <f t="shared" si="79"/>
        <v>-22990.080231346376</v>
      </c>
      <c r="Q60" s="12">
        <f t="shared" si="79"/>
        <v>-23207.744495182244</v>
      </c>
      <c r="X60" s="7">
        <f>X57+X58+X59</f>
        <v>-23014</v>
      </c>
      <c r="Y60" s="7">
        <f>Y57+Y58+Y59</f>
        <v>-63701</v>
      </c>
      <c r="Z60" s="12">
        <f>SUM(J60:M60)</f>
        <v>-92671.400987500005</v>
      </c>
      <c r="AA60" s="12">
        <f>SUM(N60:Q60)</f>
        <v>-92363.075810298848</v>
      </c>
      <c r="AB60" s="12">
        <f>AB57+AB58+AB59</f>
        <v>-92872.296442465944</v>
      </c>
      <c r="AC60" s="12">
        <f t="shared" ref="AC60:AH60" si="80">AC57+AC58+AC59</f>
        <v>-93423.900104027358</v>
      </c>
      <c r="AD60" s="12">
        <f t="shared" si="80"/>
        <v>-94018.724913637707</v>
      </c>
      <c r="AE60" s="12">
        <f t="shared" si="80"/>
        <v>-94657.655489563869</v>
      </c>
      <c r="AF60" s="12">
        <f t="shared" si="80"/>
        <v>-95341.62450848025</v>
      </c>
      <c r="AG60" s="12">
        <f t="shared" si="80"/>
        <v>-96071.614332222787</v>
      </c>
      <c r="AH60" s="12">
        <f t="shared" si="80"/>
        <v>-96848.658705103735</v>
      </c>
    </row>
    <row r="62" spans="1:34">
      <c r="A62" s="6" t="s">
        <v>4</v>
      </c>
      <c r="B62" s="24"/>
      <c r="C62" s="24"/>
      <c r="D62" s="24"/>
      <c r="E62" s="24"/>
      <c r="F62" s="7">
        <f t="shared" ref="F62:J62" si="81">F52+F60</f>
        <v>-7805</v>
      </c>
      <c r="G62" s="7">
        <f t="shared" si="81"/>
        <v>-14586</v>
      </c>
      <c r="H62" s="7">
        <f t="shared" si="81"/>
        <v>-16390</v>
      </c>
      <c r="I62" s="7">
        <f t="shared" si="81"/>
        <v>-26087</v>
      </c>
      <c r="J62" s="7">
        <f t="shared" si="81"/>
        <v>-23771</v>
      </c>
      <c r="K62" s="7">
        <f>K52+K60</f>
        <v>-23192</v>
      </c>
      <c r="L62" s="12">
        <f t="shared" ref="L62:Q62" si="82">L52+L60</f>
        <v>-21827.042683005136</v>
      </c>
      <c r="M62" s="12">
        <f t="shared" si="82"/>
        <v>-22044.388992636988</v>
      </c>
      <c r="N62" s="12">
        <f t="shared" si="82"/>
        <v>-20001.814375996146</v>
      </c>
      <c r="O62" s="12">
        <f t="shared" si="82"/>
        <v>-17115.860676952165</v>
      </c>
      <c r="P62" s="12">
        <f t="shared" si="82"/>
        <v>-12177.985991962811</v>
      </c>
      <c r="Q62" s="12">
        <f t="shared" si="82"/>
        <v>-3621.5534437438801</v>
      </c>
      <c r="X62" s="7">
        <f>X52+X60</f>
        <v>-23491</v>
      </c>
      <c r="Y62" s="7">
        <f>Y52+Y60</f>
        <v>-64868</v>
      </c>
      <c r="Z62" s="12">
        <f>SUM(J62:M62)</f>
        <v>-90834.431675642118</v>
      </c>
      <c r="AA62" s="12">
        <f>SUM(N62:Q62)</f>
        <v>-52917.214488654994</v>
      </c>
      <c r="AB62" s="12">
        <f>AB52+AB60</f>
        <v>-13980.573799178237</v>
      </c>
      <c r="AC62" s="12">
        <f t="shared" ref="AC62:AH62" si="83">AC52+AC60</f>
        <v>24913.683860904188</v>
      </c>
      <c r="AD62" s="12">
        <f t="shared" si="83"/>
        <v>47986.37584428009</v>
      </c>
      <c r="AE62" s="12">
        <f t="shared" si="83"/>
        <v>75748.465419937522</v>
      </c>
      <c r="AF62" s="12">
        <f t="shared" si="83"/>
        <v>109145.72058292135</v>
      </c>
      <c r="AG62" s="12">
        <f t="shared" si="83"/>
        <v>149313.1997774592</v>
      </c>
      <c r="AH62" s="12">
        <f t="shared" si="83"/>
        <v>197613.11822651461</v>
      </c>
    </row>
    <row r="63" spans="1:34">
      <c r="A63" s="30" t="s">
        <v>1</v>
      </c>
      <c r="B63" s="17"/>
      <c r="C63" s="17"/>
      <c r="D63" s="17"/>
      <c r="E63" s="17"/>
      <c r="F63" s="22"/>
      <c r="G63" s="22"/>
      <c r="H63" s="22"/>
      <c r="I63" s="22"/>
      <c r="J63" s="22"/>
      <c r="K63" s="22"/>
      <c r="L63" s="22"/>
      <c r="M63" s="22"/>
      <c r="N63" s="22"/>
      <c r="O63" s="22"/>
      <c r="P63" s="22"/>
    </row>
    <row r="64" spans="1:34">
      <c r="A64" s="30" t="s">
        <v>5</v>
      </c>
      <c r="B64" s="22"/>
      <c r="C64" s="22"/>
      <c r="D64" s="22"/>
      <c r="E64" s="22"/>
      <c r="F64" s="22"/>
      <c r="G64" s="22"/>
      <c r="H64" s="22"/>
      <c r="I64" s="22"/>
      <c r="J64" s="22"/>
      <c r="K64" s="22"/>
      <c r="L64" s="22"/>
      <c r="M64" s="22"/>
      <c r="N64" s="22"/>
      <c r="O64" s="22"/>
      <c r="P64" s="22"/>
    </row>
    <row r="65" spans="1:34">
      <c r="A65" s="30"/>
      <c r="B65" s="17"/>
      <c r="C65" s="17"/>
      <c r="D65" s="17"/>
      <c r="E65" s="17"/>
      <c r="F65" s="17"/>
      <c r="G65" s="17"/>
      <c r="H65" s="17"/>
      <c r="I65" s="17"/>
      <c r="J65" s="17"/>
      <c r="K65" s="17"/>
      <c r="L65" s="17"/>
      <c r="M65" s="17"/>
      <c r="N65" s="17"/>
      <c r="O65" s="17"/>
      <c r="P65" s="17"/>
    </row>
    <row r="66" spans="1:34">
      <c r="A66" s="6" t="s">
        <v>72</v>
      </c>
      <c r="F66" s="7">
        <v>5</v>
      </c>
      <c r="G66" s="7">
        <v>5</v>
      </c>
      <c r="H66" s="7">
        <f>Y66-I66-G66-F66</f>
        <v>3</v>
      </c>
      <c r="I66" s="7">
        <f>Y66-13</f>
        <v>5</v>
      </c>
      <c r="J66" s="7">
        <v>1</v>
      </c>
      <c r="K66" s="7">
        <v>32</v>
      </c>
      <c r="X66" s="7">
        <v>70</v>
      </c>
      <c r="Y66" s="7">
        <v>18</v>
      </c>
      <c r="Z66" s="12">
        <f>SUM(J66:M66)</f>
        <v>33</v>
      </c>
      <c r="AA66" s="12">
        <f>SUM(N66:Q66)</f>
        <v>0</v>
      </c>
    </row>
    <row r="67" spans="1:34">
      <c r="A67" s="6" t="s">
        <v>42</v>
      </c>
      <c r="F67" s="7">
        <v>6</v>
      </c>
      <c r="G67" s="7">
        <v>1</v>
      </c>
      <c r="H67" s="7">
        <f>Y67-I67-G67-F67</f>
        <v>-5</v>
      </c>
      <c r="I67" s="7">
        <f>Y67-2</f>
        <v>-3</v>
      </c>
      <c r="J67" s="7">
        <v>-5</v>
      </c>
      <c r="K67" s="7">
        <v>1</v>
      </c>
      <c r="X67" s="7">
        <v>-6</v>
      </c>
      <c r="Y67" s="7">
        <v>-1</v>
      </c>
      <c r="Z67" s="12">
        <f>SUM(J67:M67)</f>
        <v>-4</v>
      </c>
      <c r="AA67" s="12">
        <f>SUM(N67:Q67)</f>
        <v>0</v>
      </c>
      <c r="AE67" s="43"/>
    </row>
    <row r="69" spans="1:34">
      <c r="A69" s="6" t="s">
        <v>28</v>
      </c>
      <c r="F69" s="7">
        <f>F62+F66+F67</f>
        <v>-7794</v>
      </c>
      <c r="G69" s="7">
        <f>G62+G66+G67</f>
        <v>-14580</v>
      </c>
      <c r="H69" s="7">
        <f t="shared" ref="H69:J69" si="84">H62+H66+H67</f>
        <v>-16392</v>
      </c>
      <c r="I69" s="7">
        <f t="shared" si="84"/>
        <v>-26085</v>
      </c>
      <c r="J69" s="7">
        <f t="shared" si="84"/>
        <v>-23775</v>
      </c>
      <c r="K69" s="7">
        <f>K62+K66+K67</f>
        <v>-23159</v>
      </c>
      <c r="L69" s="12">
        <f t="shared" ref="L69:Q69" si="85">L62+L66+L67</f>
        <v>-21827.042683005136</v>
      </c>
      <c r="M69" s="12">
        <f t="shared" si="85"/>
        <v>-22044.388992636988</v>
      </c>
      <c r="N69" s="12">
        <f t="shared" si="85"/>
        <v>-20001.814375996146</v>
      </c>
      <c r="O69" s="12">
        <f t="shared" si="85"/>
        <v>-17115.860676952165</v>
      </c>
      <c r="P69" s="12">
        <f t="shared" si="85"/>
        <v>-12177.985991962811</v>
      </c>
      <c r="Q69" s="12">
        <f t="shared" si="85"/>
        <v>-3621.5534437438801</v>
      </c>
      <c r="R69" s="12"/>
      <c r="X69" s="7">
        <f>X62+X66+X67</f>
        <v>-23427</v>
      </c>
      <c r="Y69" s="7">
        <f>Y62+Y66+Y67</f>
        <v>-64851</v>
      </c>
      <c r="Z69" s="12">
        <f>SUM(J69:M69)</f>
        <v>-90805.431675642118</v>
      </c>
      <c r="AA69" s="12">
        <f>SUM(N69:Q69)</f>
        <v>-52917.214488654994</v>
      </c>
      <c r="AB69" s="12">
        <f>AB62+AB66</f>
        <v>-13980.573799178237</v>
      </c>
      <c r="AC69" s="12">
        <f t="shared" ref="AC69:AH69" si="86">AC62+AC66</f>
        <v>24913.683860904188</v>
      </c>
      <c r="AD69" s="12">
        <f t="shared" si="86"/>
        <v>47986.37584428009</v>
      </c>
      <c r="AE69" s="12">
        <f t="shared" si="86"/>
        <v>75748.465419937522</v>
      </c>
      <c r="AF69" s="12">
        <f t="shared" si="86"/>
        <v>109145.72058292135</v>
      </c>
      <c r="AG69" s="12">
        <f t="shared" si="86"/>
        <v>149313.1997774592</v>
      </c>
      <c r="AH69" s="12">
        <f t="shared" si="86"/>
        <v>197613.11822651461</v>
      </c>
    </row>
    <row r="70" spans="1:34">
      <c r="A70" s="6" t="s">
        <v>29</v>
      </c>
      <c r="L70" s="12"/>
      <c r="M70" s="12"/>
      <c r="N70" s="12"/>
      <c r="O70" s="12"/>
      <c r="P70" s="12"/>
      <c r="Q70" s="12"/>
      <c r="R70" s="12"/>
      <c r="Z70" s="12">
        <f>SUM(J70:M70)</f>
        <v>0</v>
      </c>
      <c r="AA70" s="12">
        <f>SUM(N70:Q70)</f>
        <v>0</v>
      </c>
    </row>
    <row r="71" spans="1:34">
      <c r="L71" s="12"/>
      <c r="M71" s="12"/>
      <c r="N71" s="12"/>
      <c r="O71" s="12"/>
      <c r="P71" s="12"/>
      <c r="Q71" s="12"/>
      <c r="R71" s="12"/>
    </row>
    <row r="72" spans="1:34">
      <c r="A72" s="6" t="s">
        <v>6</v>
      </c>
      <c r="F72" s="7">
        <f>F69+F70</f>
        <v>-7794</v>
      </c>
      <c r="G72" s="7">
        <f>G69+G70</f>
        <v>-14580</v>
      </c>
      <c r="H72" s="7">
        <f t="shared" ref="H72:J72" si="87">H69+H70</f>
        <v>-16392</v>
      </c>
      <c r="I72" s="7">
        <f t="shared" si="87"/>
        <v>-26085</v>
      </c>
      <c r="J72" s="7">
        <f t="shared" si="87"/>
        <v>-23775</v>
      </c>
      <c r="K72" s="7">
        <f>K69+K70</f>
        <v>-23159</v>
      </c>
      <c r="L72" s="12">
        <f t="shared" ref="L72:Q72" si="88">L69+L70</f>
        <v>-21827.042683005136</v>
      </c>
      <c r="M72" s="12">
        <f t="shared" si="88"/>
        <v>-22044.388992636988</v>
      </c>
      <c r="N72" s="12">
        <f t="shared" si="88"/>
        <v>-20001.814375996146</v>
      </c>
      <c r="O72" s="12">
        <f t="shared" si="88"/>
        <v>-17115.860676952165</v>
      </c>
      <c r="P72" s="12">
        <f t="shared" si="88"/>
        <v>-12177.985991962811</v>
      </c>
      <c r="Q72" s="12">
        <f t="shared" si="88"/>
        <v>-3621.5534437438801</v>
      </c>
      <c r="R72" s="12"/>
      <c r="X72" s="7">
        <f>X69+X70</f>
        <v>-23427</v>
      </c>
      <c r="Y72" s="7">
        <f>Y69+Y70</f>
        <v>-64851</v>
      </c>
      <c r="Z72" s="12">
        <f>SUM(J72:M72)</f>
        <v>-90805.431675642118</v>
      </c>
      <c r="AA72" s="12">
        <f>SUM(N72:Q72)</f>
        <v>-52917.214488654994</v>
      </c>
      <c r="AB72" s="12">
        <f t="shared" ref="AB72:AH72" si="89">AB69+AB70</f>
        <v>-13980.573799178237</v>
      </c>
      <c r="AC72" s="12">
        <f t="shared" si="89"/>
        <v>24913.683860904188</v>
      </c>
      <c r="AD72" s="12">
        <f t="shared" si="89"/>
        <v>47986.37584428009</v>
      </c>
      <c r="AE72" s="12">
        <f t="shared" si="89"/>
        <v>75748.465419937522</v>
      </c>
      <c r="AF72" s="12">
        <f t="shared" si="89"/>
        <v>109145.72058292135</v>
      </c>
      <c r="AG72" s="12">
        <f t="shared" si="89"/>
        <v>149313.1997774592</v>
      </c>
      <c r="AH72" s="12">
        <f t="shared" si="89"/>
        <v>197613.11822651461</v>
      </c>
    </row>
    <row r="74" spans="1:34">
      <c r="A74" s="4" t="s">
        <v>52</v>
      </c>
      <c r="Y74" s="13">
        <f>Y41/X41-1</f>
        <v>4.0884353741496602</v>
      </c>
      <c r="Z74" s="13">
        <f t="shared" ref="Z74:AA74" si="90">Z41/Y41-1</f>
        <v>8.885945855614974</v>
      </c>
      <c r="AA74" s="13">
        <f t="shared" si="90"/>
        <v>6.7726165439716004</v>
      </c>
    </row>
    <row r="75" spans="1:34">
      <c r="A75" s="4" t="s">
        <v>38</v>
      </c>
    </row>
    <row r="76" spans="1:34">
      <c r="A76" s="5"/>
      <c r="B76" s="17"/>
      <c r="C76" s="17"/>
      <c r="D76" s="17"/>
      <c r="E76" s="17"/>
      <c r="F76" s="22"/>
      <c r="G76" s="22"/>
      <c r="H76" s="22"/>
      <c r="I76" s="22"/>
      <c r="J76" s="22"/>
      <c r="K76" s="22"/>
      <c r="L76" s="22"/>
      <c r="M76" s="22"/>
      <c r="N76" s="22"/>
      <c r="O76" s="22"/>
      <c r="P76" s="22"/>
      <c r="AC76" s="43">
        <f>NPV(0.2,AA72:AH72)</f>
        <v>138376.16799380991</v>
      </c>
    </row>
    <row r="77" spans="1:34">
      <c r="A77" s="5" t="s">
        <v>47</v>
      </c>
      <c r="X77" s="7">
        <f>62676+1610</f>
        <v>64286</v>
      </c>
      <c r="Y77" s="7">
        <f>188498+2662</f>
        <v>191160</v>
      </c>
      <c r="Z77" s="7">
        <f>Z135</f>
        <v>0</v>
      </c>
    </row>
    <row r="78" spans="1:34">
      <c r="A78" s="5" t="s">
        <v>53</v>
      </c>
      <c r="B78" s="17"/>
      <c r="C78" s="17"/>
      <c r="D78" s="17"/>
      <c r="E78" s="17"/>
      <c r="F78" s="22"/>
      <c r="G78" s="22"/>
      <c r="H78" s="22"/>
      <c r="I78" s="22"/>
      <c r="J78" s="22"/>
      <c r="K78" s="22"/>
      <c r="L78" s="22"/>
      <c r="M78" s="22"/>
      <c r="N78" s="22"/>
      <c r="O78" s="22"/>
      <c r="P78" s="22"/>
      <c r="X78" s="7">
        <v>174</v>
      </c>
      <c r="Y78" s="7">
        <f>553+91</f>
        <v>644</v>
      </c>
      <c r="AC78" s="43"/>
    </row>
    <row r="79" spans="1:34">
      <c r="A79" s="5" t="s">
        <v>54</v>
      </c>
      <c r="X79" s="7">
        <v>691</v>
      </c>
      <c r="Y79" s="7">
        <v>1357</v>
      </c>
    </row>
    <row r="80" spans="1:34">
      <c r="A80" s="5" t="s">
        <v>50</v>
      </c>
      <c r="B80" s="17"/>
      <c r="C80" s="17"/>
      <c r="D80" s="17"/>
      <c r="E80" s="17"/>
      <c r="F80" s="22"/>
      <c r="G80" s="22"/>
      <c r="H80" s="22"/>
      <c r="I80" s="22"/>
      <c r="J80" s="22"/>
      <c r="K80" s="22"/>
      <c r="L80" s="22"/>
      <c r="M80" s="22"/>
      <c r="N80" s="22"/>
      <c r="O80" s="22"/>
      <c r="P80" s="22"/>
      <c r="X80" s="7">
        <v>1904</v>
      </c>
      <c r="Y80" s="7">
        <v>3753</v>
      </c>
    </row>
    <row r="81" spans="1:25">
      <c r="A81" s="5" t="s">
        <v>7</v>
      </c>
      <c r="X81" s="7">
        <v>1718</v>
      </c>
      <c r="Y81" s="7">
        <v>4310</v>
      </c>
    </row>
    <row r="82" spans="1:25">
      <c r="A82" s="5"/>
    </row>
    <row r="83" spans="1:25">
      <c r="A83" s="5"/>
      <c r="B83" s="17"/>
      <c r="C83" s="17"/>
      <c r="D83" s="17"/>
      <c r="E83" s="17"/>
      <c r="F83" s="22"/>
      <c r="G83" s="22"/>
      <c r="H83" s="22"/>
      <c r="I83" s="22"/>
      <c r="J83" s="22"/>
      <c r="K83" s="22"/>
      <c r="L83" s="22"/>
      <c r="M83" s="22"/>
      <c r="N83" s="22"/>
      <c r="O83" s="22"/>
      <c r="P83" s="22"/>
    </row>
    <row r="84" spans="1:25">
      <c r="A84" s="5"/>
    </row>
    <row r="85" spans="1:25">
      <c r="A85" s="5" t="s">
        <v>56</v>
      </c>
      <c r="X85" s="7">
        <f>44+1465+1244</f>
        <v>2753</v>
      </c>
      <c r="Y85" s="7">
        <f>1235+14</f>
        <v>1249</v>
      </c>
    </row>
    <row r="86" spans="1:25">
      <c r="A86" s="5" t="s">
        <v>57</v>
      </c>
      <c r="X86" s="7">
        <f>X85+SUM(X77:X81)</f>
        <v>71526</v>
      </c>
      <c r="Y86" s="7">
        <f>Y85+SUM(Y77:Y81)</f>
        <v>202473</v>
      </c>
    </row>
    <row r="87" spans="1:25">
      <c r="A87" s="5"/>
    </row>
    <row r="88" spans="1:25">
      <c r="A88" s="5" t="s">
        <v>58</v>
      </c>
      <c r="X88" s="7">
        <v>948</v>
      </c>
      <c r="Y88" s="7">
        <v>2248</v>
      </c>
    </row>
    <row r="89" spans="1:25">
      <c r="A89" s="5" t="s">
        <v>96</v>
      </c>
      <c r="X89" s="7">
        <v>1610</v>
      </c>
      <c r="Y89" s="7">
        <v>2662</v>
      </c>
    </row>
    <row r="90" spans="1:25">
      <c r="A90" s="5" t="s">
        <v>95</v>
      </c>
      <c r="X90" s="7">
        <v>158</v>
      </c>
      <c r="Y90" s="7">
        <v>730</v>
      </c>
    </row>
    <row r="91" spans="1:25">
      <c r="A91" s="5" t="s">
        <v>60</v>
      </c>
      <c r="X91" s="7">
        <v>1264</v>
      </c>
      <c r="Y91" s="7">
        <v>8115</v>
      </c>
    </row>
    <row r="92" spans="1:25">
      <c r="A92" s="5" t="s">
        <v>56</v>
      </c>
      <c r="X92" s="7">
        <v>136</v>
      </c>
      <c r="Y92" s="7">
        <v>1981</v>
      </c>
    </row>
    <row r="93" spans="1:25">
      <c r="A93" s="5" t="s">
        <v>98</v>
      </c>
      <c r="Y93" s="7">
        <v>510</v>
      </c>
    </row>
    <row r="94" spans="1:25">
      <c r="A94" s="5" t="s">
        <v>8</v>
      </c>
      <c r="X94" s="7">
        <f>SUM(X88:X92)+X96</f>
        <v>4294</v>
      </c>
      <c r="Y94" s="7">
        <f>SUM(Y88:Y93)+Y96</f>
        <v>16246</v>
      </c>
    </row>
    <row r="95" spans="1:25">
      <c r="A95" s="5"/>
    </row>
    <row r="96" spans="1:25">
      <c r="A96" s="5" t="s">
        <v>48</v>
      </c>
      <c r="X96" s="7">
        <v>178</v>
      </c>
    </row>
    <row r="97" spans="1:25">
      <c r="A97" s="5" t="s">
        <v>94</v>
      </c>
      <c r="X97" s="7">
        <v>128286</v>
      </c>
    </row>
    <row r="98" spans="1:25">
      <c r="A98" s="5" t="s">
        <v>61</v>
      </c>
      <c r="X98" s="7">
        <v>-61054</v>
      </c>
      <c r="Y98" s="7">
        <v>186227</v>
      </c>
    </row>
    <row r="99" spans="1:25">
      <c r="A99" s="5" t="s">
        <v>9</v>
      </c>
      <c r="X99" s="7">
        <f>X98+X97</f>
        <v>67232</v>
      </c>
      <c r="Y99" s="7">
        <f>Y98+Y97</f>
        <v>186227</v>
      </c>
    </row>
    <row r="100" spans="1:25">
      <c r="A100" s="5" t="s">
        <v>97</v>
      </c>
      <c r="X100" s="7">
        <f>X97+X98+X94</f>
        <v>71526</v>
      </c>
      <c r="Y100" s="7">
        <f>Y97+Y98+Y94</f>
        <v>202473</v>
      </c>
    </row>
    <row r="101" spans="1:25">
      <c r="A101" s="5"/>
    </row>
    <row r="102" spans="1:25">
      <c r="A102" s="5" t="s">
        <v>62</v>
      </c>
      <c r="X102" s="7">
        <v>10415</v>
      </c>
      <c r="Y102" s="7">
        <v>322547</v>
      </c>
    </row>
    <row r="103" spans="1:25">
      <c r="A103" s="5" t="s">
        <v>51</v>
      </c>
      <c r="X103" s="7">
        <v>71469</v>
      </c>
      <c r="Y103" s="7">
        <v>136320</v>
      </c>
    </row>
    <row r="104" spans="1:25">
      <c r="A104" s="5" t="s">
        <v>63</v>
      </c>
      <c r="X104" s="7">
        <f>X102-X103-X98</f>
        <v>0</v>
      </c>
      <c r="Y104" s="7">
        <f>Y102-Y103-Y98</f>
        <v>0</v>
      </c>
    </row>
    <row r="106" spans="1:25">
      <c r="A106" s="5" t="s">
        <v>64</v>
      </c>
      <c r="X106" s="7">
        <f>X72</f>
        <v>-23427</v>
      </c>
      <c r="Y106" s="7">
        <f>Y72</f>
        <v>-64851</v>
      </c>
    </row>
    <row r="107" spans="1:25">
      <c r="A107" s="5" t="s">
        <v>65</v>
      </c>
      <c r="X107" s="7">
        <v>1117</v>
      </c>
      <c r="Y107" s="7">
        <v>6901</v>
      </c>
    </row>
    <row r="108" spans="1:25">
      <c r="A108" s="5" t="s">
        <v>66</v>
      </c>
      <c r="X108" s="7">
        <v>289</v>
      </c>
      <c r="Y108" s="7">
        <v>726</v>
      </c>
    </row>
    <row r="109" spans="1:25">
      <c r="A109" s="5" t="s">
        <v>55</v>
      </c>
      <c r="X109" s="7">
        <v>2</v>
      </c>
      <c r="Y109" s="7">
        <v>10</v>
      </c>
    </row>
    <row r="110" spans="1:25">
      <c r="A110" s="5" t="s">
        <v>67</v>
      </c>
    </row>
    <row r="111" spans="1:25">
      <c r="A111" s="5" t="s">
        <v>68</v>
      </c>
    </row>
    <row r="112" spans="1:25">
      <c r="A112" s="5" t="s">
        <v>53</v>
      </c>
      <c r="X112" s="7">
        <v>-174</v>
      </c>
      <c r="Y112" s="7">
        <v>-379</v>
      </c>
    </row>
    <row r="113" spans="1:25">
      <c r="A113" s="5" t="s">
        <v>54</v>
      </c>
      <c r="X113" s="7">
        <v>146</v>
      </c>
      <c r="Y113" s="7">
        <v>-666</v>
      </c>
    </row>
    <row r="114" spans="1:25">
      <c r="A114" s="5" t="s">
        <v>56</v>
      </c>
      <c r="X114" s="7">
        <f>213-46-1931-782+226+651+1610+158+27</f>
        <v>126</v>
      </c>
      <c r="Y114" s="7">
        <f>1451+260+1052+1082+1845+75+984-2667-1201-91</f>
        <v>2790</v>
      </c>
    </row>
    <row r="115" spans="1:25">
      <c r="A115" s="5" t="s">
        <v>58</v>
      </c>
      <c r="X115" s="7">
        <v>-377</v>
      </c>
      <c r="Y115" s="7">
        <v>1436</v>
      </c>
    </row>
    <row r="116" spans="1:25">
      <c r="A116" s="5" t="s">
        <v>59</v>
      </c>
    </row>
    <row r="117" spans="1:25">
      <c r="A117" s="5" t="s">
        <v>69</v>
      </c>
      <c r="X117" s="7">
        <v>773</v>
      </c>
      <c r="Y117" s="7">
        <v>6851</v>
      </c>
    </row>
    <row r="118" spans="1:25">
      <c r="A118" s="5" t="s">
        <v>70</v>
      </c>
    </row>
    <row r="119" spans="1:25">
      <c r="A119" s="5" t="s">
        <v>71</v>
      </c>
      <c r="X119" s="7">
        <f>SUM(X106:X118)</f>
        <v>-21525</v>
      </c>
      <c r="Y119" s="7">
        <f>SUM(Y106:Y118)</f>
        <v>-47182</v>
      </c>
    </row>
    <row r="121" spans="1:25">
      <c r="A121" s="6" t="s">
        <v>99</v>
      </c>
      <c r="X121" s="7">
        <v>-1568</v>
      </c>
      <c r="Y121" s="7">
        <v>-2711</v>
      </c>
    </row>
    <row r="122" spans="1:25">
      <c r="A122" s="6" t="s">
        <v>100</v>
      </c>
      <c r="X122" s="7">
        <f>X121</f>
        <v>-1568</v>
      </c>
      <c r="Y122" s="7">
        <f>Y121</f>
        <v>-2711</v>
      </c>
    </row>
    <row r="124" spans="1:25">
      <c r="A124" s="6" t="s">
        <v>101</v>
      </c>
      <c r="X124" s="7">
        <v>120</v>
      </c>
      <c r="Y124" s="7">
        <v>1497</v>
      </c>
    </row>
    <row r="125" spans="1:25">
      <c r="A125" s="6" t="s">
        <v>102</v>
      </c>
      <c r="X125" s="7">
        <v>59769</v>
      </c>
      <c r="Y125" s="7">
        <v>30468</v>
      </c>
    </row>
    <row r="126" spans="1:25">
      <c r="A126" s="6" t="s">
        <v>105</v>
      </c>
      <c r="X126" s="7">
        <v>-129</v>
      </c>
      <c r="Y126" s="7">
        <v>-7</v>
      </c>
    </row>
    <row r="127" spans="1:25">
      <c r="A127" s="6" t="s">
        <v>103</v>
      </c>
      <c r="X127" s="7">
        <v>1067</v>
      </c>
    </row>
    <row r="128" spans="1:25">
      <c r="A128" s="6" t="s">
        <v>104</v>
      </c>
      <c r="X128" s="7">
        <v>-889</v>
      </c>
      <c r="Y128" s="7">
        <v>-178</v>
      </c>
    </row>
    <row r="129" spans="1:26">
      <c r="A129" s="6" t="s">
        <v>106</v>
      </c>
      <c r="X129" s="7">
        <v>1000</v>
      </c>
      <c r="Y129" s="7">
        <v>3516</v>
      </c>
    </row>
    <row r="130" spans="1:26">
      <c r="A130" s="6" t="s">
        <v>107</v>
      </c>
      <c r="Y130" s="7">
        <v>141471</v>
      </c>
    </row>
    <row r="131" spans="1:26">
      <c r="A131" s="6" t="s">
        <v>108</v>
      </c>
      <c r="X131" s="7">
        <f>SUM(X124:X130)</f>
        <v>60938</v>
      </c>
      <c r="Y131" s="7">
        <f>SUM(Y124:Y130)</f>
        <v>176767</v>
      </c>
    </row>
    <row r="133" spans="1:26">
      <c r="A133" s="6" t="s">
        <v>10</v>
      </c>
      <c r="X133" s="7">
        <f>X119+X122+X131</f>
        <v>37845</v>
      </c>
      <c r="Y133" s="7">
        <f>Y119+Y122+Y131</f>
        <v>126874</v>
      </c>
    </row>
    <row r="134" spans="1:26">
      <c r="A134" s="6" t="s">
        <v>110</v>
      </c>
      <c r="X134" s="7">
        <v>26441</v>
      </c>
      <c r="Y134" s="7">
        <v>64286</v>
      </c>
      <c r="Z134" s="7">
        <f>Y135</f>
        <v>191160</v>
      </c>
    </row>
    <row r="135" spans="1:26">
      <c r="A135" s="6" t="s">
        <v>109</v>
      </c>
      <c r="X135" s="7">
        <f>X133+X134</f>
        <v>64286</v>
      </c>
      <c r="Y135" s="7">
        <f>Y133+Y134</f>
        <v>191160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64FDC-58A4-3648-958C-0C8EBB26150E}">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Main</vt:lpstr>
      <vt:lpstr>Model</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dc:creator>
  <cp:lastModifiedBy>evan domingos - 2023</cp:lastModifiedBy>
  <dcterms:created xsi:type="dcterms:W3CDTF">2022-08-24T21:34:53Z</dcterms:created>
  <dcterms:modified xsi:type="dcterms:W3CDTF">2023-01-31T16:33:38Z</dcterms:modified>
</cp:coreProperties>
</file>