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Documents/WhiteSky/Models/"/>
    </mc:Choice>
  </mc:AlternateContent>
  <xr:revisionPtr revIDLastSave="0" documentId="13_ncr:1_{8BC2058B-1DB9-1446-B3D8-0EB0BC5B3D97}" xr6:coauthVersionLast="47" xr6:coauthVersionMax="47" xr10:uidLastSave="{00000000-0000-0000-0000-000000000000}"/>
  <bookViews>
    <workbookView xWindow="1100" yWindow="820" windowWidth="28040" windowHeight="17440" xr2:uid="{42DB3CAC-A940-E544-A361-51C1157C8023}"/>
  </bookViews>
  <sheets>
    <sheet name="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17" i="1" l="1"/>
  <c r="W17" i="1" s="1"/>
  <c r="X17" i="1" s="1"/>
  <c r="Y17" i="1" s="1"/>
  <c r="Z17" i="1" s="1"/>
  <c r="U23" i="1"/>
  <c r="V23" i="1" s="1"/>
  <c r="W23" i="1" s="1"/>
  <c r="X23" i="1" s="1"/>
  <c r="Y23" i="1" s="1"/>
  <c r="Z23" i="1" s="1"/>
  <c r="I46" i="1"/>
  <c r="E7" i="1"/>
  <c r="E6" i="1"/>
  <c r="E4" i="1"/>
  <c r="H46" i="1"/>
  <c r="I29" i="1"/>
  <c r="I43" i="1"/>
  <c r="P43" i="1" s="1"/>
  <c r="I35" i="1"/>
  <c r="I33" i="1"/>
  <c r="J33" i="1" s="1"/>
  <c r="I34" i="1"/>
  <c r="P34" i="1" s="1"/>
  <c r="O35" i="1"/>
  <c r="Q36" i="1"/>
  <c r="P36" i="1"/>
  <c r="P27" i="1"/>
  <c r="O27" i="1"/>
  <c r="Q25" i="1"/>
  <c r="P25" i="1"/>
  <c r="I21" i="1"/>
  <c r="J21" i="1" s="1"/>
  <c r="K21" i="1" s="1"/>
  <c r="L21" i="1" s="1"/>
  <c r="M21" i="1" s="1"/>
  <c r="O21" i="1"/>
  <c r="J43" i="1" l="1"/>
  <c r="K43" i="1" s="1"/>
  <c r="L43" i="1" s="1"/>
  <c r="M43" i="1" s="1"/>
  <c r="J34" i="1"/>
  <c r="K34" i="1" s="1"/>
  <c r="L34" i="1" s="1"/>
  <c r="M34" i="1" s="1"/>
  <c r="I37" i="1"/>
  <c r="J35" i="1"/>
  <c r="J37" i="1" s="1"/>
  <c r="Q34" i="1"/>
  <c r="R34" i="1" s="1"/>
  <c r="P35" i="1"/>
  <c r="P33" i="1"/>
  <c r="K33" i="1"/>
  <c r="L33" i="1" s="1"/>
  <c r="M33" i="1" s="1"/>
  <c r="P21" i="1"/>
  <c r="Q21" i="1"/>
  <c r="Q43" i="1" l="1"/>
  <c r="R43" i="1" s="1"/>
  <c r="S43" i="1" s="1"/>
  <c r="T43" i="1" s="1"/>
  <c r="U43" i="1" s="1"/>
  <c r="V43" i="1" s="1"/>
  <c r="W43" i="1" s="1"/>
  <c r="X43" i="1" s="1"/>
  <c r="Y43" i="1" s="1"/>
  <c r="Z43" i="1" s="1"/>
  <c r="Q33" i="1"/>
  <c r="R33" i="1" s="1"/>
  <c r="S33" i="1" s="1"/>
  <c r="T33" i="1" s="1"/>
  <c r="U33" i="1" s="1"/>
  <c r="V33" i="1" s="1"/>
  <c r="W33" i="1" s="1"/>
  <c r="X33" i="1" s="1"/>
  <c r="Y33" i="1" s="1"/>
  <c r="Z33" i="1" s="1"/>
  <c r="K35" i="1"/>
  <c r="L35" i="1" s="1"/>
  <c r="L37" i="1" s="1"/>
  <c r="S34" i="1"/>
  <c r="R21" i="1"/>
  <c r="S21" i="1" s="1"/>
  <c r="T21" i="1" s="1"/>
  <c r="T22" i="1" s="1"/>
  <c r="R37" i="1" l="1"/>
  <c r="S37" i="1"/>
  <c r="T34" i="1"/>
  <c r="K37" i="1"/>
  <c r="M35" i="1"/>
  <c r="U21" i="1"/>
  <c r="U22" i="1" s="1"/>
  <c r="V21" i="1" l="1"/>
  <c r="V22" i="1" s="1"/>
  <c r="Q35" i="1"/>
  <c r="M37" i="1"/>
  <c r="Q37" i="1" s="1"/>
  <c r="U34" i="1"/>
  <c r="T37" i="1"/>
  <c r="W21" i="1" l="1"/>
  <c r="W22" i="1" s="1"/>
  <c r="U37" i="1"/>
  <c r="V34" i="1"/>
  <c r="X21" i="1" l="1"/>
  <c r="X22" i="1" s="1"/>
  <c r="V37" i="1"/>
  <c r="W34" i="1"/>
  <c r="Y21" i="1" l="1"/>
  <c r="Y22" i="1" s="1"/>
  <c r="W37" i="1"/>
  <c r="X34" i="1"/>
  <c r="Z21" i="1"/>
  <c r="Z22" i="1" s="1"/>
  <c r="Y34" i="1" l="1"/>
  <c r="X37" i="1"/>
  <c r="Z34" i="1" l="1"/>
  <c r="Z37" i="1" s="1"/>
  <c r="Y37" i="1"/>
  <c r="J26" i="1" l="1"/>
  <c r="I26" i="1"/>
  <c r="I28" i="1" s="1"/>
  <c r="I30" i="1"/>
  <c r="P29" i="1"/>
  <c r="K14" i="1"/>
  <c r="K15" i="1" s="1"/>
  <c r="K26" i="1" s="1"/>
  <c r="J28" i="1" l="1"/>
  <c r="J30" i="1"/>
  <c r="P30" i="1"/>
  <c r="L14" i="1"/>
  <c r="L15" i="1" s="1"/>
  <c r="L26" i="1" s="1"/>
  <c r="I31" i="1"/>
  <c r="I32" i="1" s="1"/>
  <c r="I38" i="1" s="1"/>
  <c r="K27" i="1"/>
  <c r="J29" i="1"/>
  <c r="M14" i="1" l="1"/>
  <c r="M15" i="1" s="1"/>
  <c r="Q15" i="1" s="1"/>
  <c r="L27" i="1"/>
  <c r="L28" i="1" s="1"/>
  <c r="K28" i="1"/>
  <c r="K30" i="1"/>
  <c r="L30" i="1" s="1"/>
  <c r="M30" i="1" s="1"/>
  <c r="K29" i="1"/>
  <c r="J31" i="1"/>
  <c r="Q14" i="1"/>
  <c r="R14" i="1" s="1"/>
  <c r="M26" i="1" l="1"/>
  <c r="Q26" i="1" s="1"/>
  <c r="M27" i="1"/>
  <c r="Q27" i="1" s="1"/>
  <c r="Q30" i="1"/>
  <c r="R30" i="1" s="1"/>
  <c r="S30" i="1" s="1"/>
  <c r="T30" i="1" s="1"/>
  <c r="U30" i="1" s="1"/>
  <c r="V30" i="1" s="1"/>
  <c r="W30" i="1" s="1"/>
  <c r="X30" i="1" s="1"/>
  <c r="Y30" i="1" s="1"/>
  <c r="Z30" i="1" s="1"/>
  <c r="J32" i="1"/>
  <c r="J38" i="1" s="1"/>
  <c r="L29" i="1"/>
  <c r="K31" i="1"/>
  <c r="K32" i="1" s="1"/>
  <c r="K38" i="1" s="1"/>
  <c r="M28" i="1"/>
  <c r="R15" i="1"/>
  <c r="R26" i="1" s="1"/>
  <c r="S14" i="1"/>
  <c r="R27" i="1" l="1"/>
  <c r="R28" i="1" s="1"/>
  <c r="Q28" i="1"/>
  <c r="M29" i="1"/>
  <c r="M31" i="1" s="1"/>
  <c r="M32" i="1" s="1"/>
  <c r="M38" i="1" s="1"/>
  <c r="L31" i="1"/>
  <c r="T14" i="1"/>
  <c r="S15" i="1"/>
  <c r="S26" i="1" s="1"/>
  <c r="S27" i="1" l="1"/>
  <c r="S28" i="1" s="1"/>
  <c r="Q31" i="1"/>
  <c r="Q32" i="1" s="1"/>
  <c r="L32" i="1"/>
  <c r="L38" i="1" s="1"/>
  <c r="Q29" i="1"/>
  <c r="R29" i="1" s="1"/>
  <c r="U14" i="1"/>
  <c r="T15" i="1"/>
  <c r="T26" i="1" l="1"/>
  <c r="T27" i="1" s="1"/>
  <c r="T28" i="1" s="1"/>
  <c r="R31" i="1"/>
  <c r="R32" i="1" s="1"/>
  <c r="R38" i="1" s="1"/>
  <c r="S29" i="1"/>
  <c r="Q38" i="1"/>
  <c r="V14" i="1"/>
  <c r="U15" i="1"/>
  <c r="S31" i="1" l="1"/>
  <c r="S32" i="1" s="1"/>
  <c r="S38" i="1" s="1"/>
  <c r="T29" i="1"/>
  <c r="U16" i="1"/>
  <c r="U26" i="1" s="1"/>
  <c r="E3" i="1" s="1"/>
  <c r="E5" i="1" s="1"/>
  <c r="E8" i="1" s="1"/>
  <c r="I3" i="1" s="1"/>
  <c r="W14" i="1"/>
  <c r="V15" i="1"/>
  <c r="U27" i="1" l="1"/>
  <c r="U28" i="1" s="1"/>
  <c r="U29" i="1"/>
  <c r="T31" i="1"/>
  <c r="T32" i="1" s="1"/>
  <c r="T38" i="1" s="1"/>
  <c r="V16" i="1"/>
  <c r="V26" i="1" s="1"/>
  <c r="X14" i="1"/>
  <c r="W15" i="1"/>
  <c r="V27" i="1" l="1"/>
  <c r="V28" i="1" s="1"/>
  <c r="V29" i="1"/>
  <c r="U31" i="1"/>
  <c r="U32" i="1" s="1"/>
  <c r="U38" i="1" s="1"/>
  <c r="W16" i="1"/>
  <c r="W26" i="1"/>
  <c r="Y14" i="1"/>
  <c r="X15" i="1"/>
  <c r="W27" i="1" l="1"/>
  <c r="W28" i="1" s="1"/>
  <c r="W29" i="1"/>
  <c r="V31" i="1"/>
  <c r="V32" i="1" s="1"/>
  <c r="V38" i="1" s="1"/>
  <c r="X16" i="1"/>
  <c r="X26" i="1" s="1"/>
  <c r="Z14" i="1"/>
  <c r="Z15" i="1" s="1"/>
  <c r="Y15" i="1"/>
  <c r="X27" i="1" l="1"/>
  <c r="X28" i="1" s="1"/>
  <c r="X29" i="1"/>
  <c r="W31" i="1"/>
  <c r="W32" i="1" s="1"/>
  <c r="W38" i="1" s="1"/>
  <c r="Y16" i="1"/>
  <c r="Y26" i="1" s="1"/>
  <c r="Z16" i="1"/>
  <c r="Z26" i="1" s="1"/>
  <c r="Y27" i="1" l="1"/>
  <c r="Y28" i="1" s="1"/>
  <c r="Z27" i="1"/>
  <c r="Z28" i="1" s="1"/>
  <c r="Y29" i="1"/>
  <c r="X31" i="1"/>
  <c r="X32" i="1" s="1"/>
  <c r="X38" i="1" s="1"/>
  <c r="Z29" i="1" l="1"/>
  <c r="Z31" i="1" s="1"/>
  <c r="Z32" i="1" s="1"/>
  <c r="Z38" i="1" s="1"/>
  <c r="Y31" i="1"/>
  <c r="Y32" i="1" s="1"/>
  <c r="Y38" i="1" s="1"/>
  <c r="C37" i="1" l="1"/>
  <c r="D37" i="1"/>
  <c r="F37" i="1"/>
  <c r="G37" i="1"/>
  <c r="H37" i="1"/>
  <c r="B37" i="1"/>
  <c r="C31" i="1"/>
  <c r="D31" i="1"/>
  <c r="F31" i="1"/>
  <c r="G31" i="1"/>
  <c r="H31" i="1"/>
  <c r="C26" i="1"/>
  <c r="C28" i="1" s="1"/>
  <c r="D26" i="1"/>
  <c r="D28" i="1" s="1"/>
  <c r="F26" i="1"/>
  <c r="G26" i="1"/>
  <c r="G28" i="1" s="1"/>
  <c r="H26" i="1"/>
  <c r="H28" i="1" s="1"/>
  <c r="B26" i="1"/>
  <c r="B31" i="1"/>
  <c r="E43" i="1"/>
  <c r="O43" i="1" s="1"/>
  <c r="E30" i="1"/>
  <c r="O30" i="1" s="1"/>
  <c r="E40" i="1"/>
  <c r="O40" i="1" s="1"/>
  <c r="E36" i="1"/>
  <c r="O36" i="1" s="1"/>
  <c r="E34" i="1"/>
  <c r="O34" i="1" s="1"/>
  <c r="E33" i="1"/>
  <c r="O33" i="1" s="1"/>
  <c r="E29" i="1"/>
  <c r="O29" i="1" s="1"/>
  <c r="E25" i="1"/>
  <c r="P37" i="1" l="1"/>
  <c r="E26" i="1"/>
  <c r="E28" i="1" s="1"/>
  <c r="O25" i="1"/>
  <c r="P31" i="1"/>
  <c r="B28" i="1"/>
  <c r="O26" i="1"/>
  <c r="O37" i="1"/>
  <c r="F28" i="1"/>
  <c r="P28" i="1" s="1"/>
  <c r="P26" i="1"/>
  <c r="E37" i="1"/>
  <c r="D32" i="1"/>
  <c r="D38" i="1" s="1"/>
  <c r="D41" i="1" s="1"/>
  <c r="D44" i="1" s="1"/>
  <c r="C32" i="1"/>
  <c r="C38" i="1" s="1"/>
  <c r="C41" i="1" s="1"/>
  <c r="C44" i="1" s="1"/>
  <c r="E31" i="1"/>
  <c r="E32" i="1" s="1"/>
  <c r="H32" i="1"/>
  <c r="H38" i="1" s="1"/>
  <c r="G32" i="1"/>
  <c r="G38" i="1" s="1"/>
  <c r="G41" i="1" s="1"/>
  <c r="G44" i="1" s="1"/>
  <c r="O28" i="1" l="1"/>
  <c r="F32" i="1"/>
  <c r="F38" i="1" s="1"/>
  <c r="H41" i="1"/>
  <c r="H44" i="1" s="1"/>
  <c r="I40" i="1"/>
  <c r="P40" i="1" s="1"/>
  <c r="O31" i="1"/>
  <c r="O32" i="1" s="1"/>
  <c r="O38" i="1" s="1"/>
  <c r="F41" i="1"/>
  <c r="F44" i="1" s="1"/>
  <c r="P38" i="1"/>
  <c r="B32" i="1"/>
  <c r="B38" i="1" s="1"/>
  <c r="B41" i="1" s="1"/>
  <c r="P32" i="1"/>
  <c r="E38" i="1"/>
  <c r="E41" i="1" s="1"/>
  <c r="E44" i="1" s="1"/>
  <c r="B44" i="1" l="1"/>
  <c r="O41" i="1"/>
  <c r="O44" i="1" s="1"/>
  <c r="J40" i="1"/>
  <c r="I41" i="1"/>
  <c r="I44" i="1" l="1"/>
  <c r="P41" i="1"/>
  <c r="P44" i="1" s="1"/>
  <c r="K40" i="1"/>
  <c r="J41" i="1"/>
  <c r="J46" i="1" s="1"/>
  <c r="J44" i="1" l="1"/>
  <c r="L40" i="1"/>
  <c r="K41" i="1"/>
  <c r="K44" i="1" s="1"/>
  <c r="K46" i="1" l="1"/>
  <c r="M40" i="1"/>
  <c r="M41" i="1" s="1"/>
  <c r="M44" i="1" s="1"/>
  <c r="L41" i="1"/>
  <c r="L44" i="1" s="1"/>
  <c r="L46" i="1" l="1"/>
  <c r="M46" i="1" s="1"/>
  <c r="Q41" i="1"/>
  <c r="Q44" i="1" s="1"/>
  <c r="Q40" i="1"/>
  <c r="R40" i="1" s="1"/>
  <c r="S40" i="1" l="1"/>
  <c r="R41" i="1"/>
  <c r="R44" i="1" s="1"/>
  <c r="S41" i="1" l="1"/>
  <c r="S44" i="1" s="1"/>
  <c r="T40" i="1"/>
  <c r="U40" i="1" l="1"/>
  <c r="T41" i="1"/>
  <c r="T44" i="1" s="1"/>
  <c r="V40" i="1" l="1"/>
  <c r="U41" i="1"/>
  <c r="U44" i="1" s="1"/>
  <c r="W40" i="1" l="1"/>
  <c r="V41" i="1"/>
  <c r="V44" i="1" s="1"/>
  <c r="X40" i="1" l="1"/>
  <c r="W41" i="1"/>
  <c r="W44" i="1" s="1"/>
  <c r="Y40" i="1" l="1"/>
  <c r="X41" i="1"/>
  <c r="X44" i="1" s="1"/>
  <c r="Z40" i="1" l="1"/>
  <c r="Z41" i="1" s="1"/>
  <c r="Z44" i="1" s="1"/>
  <c r="Y41" i="1"/>
  <c r="Y4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tc={82CEAF03-4798-074A-A34B-46BBDB9D5D7E}</author>
    <author>tc={DB60298C-E325-0643-AD0B-D6C2959945DE}</author>
  </authors>
  <commentList>
    <comment ref="T16" authorId="0" shapeId="0" xr:uid="{82CEAF03-4798-074A-A34B-46BBDB9D5D7E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Phase 3 Completion FY26
FY27 PDUFA/NDA</t>
      </text>
    </comment>
    <comment ref="T22" authorId="1" shapeId="0" xr:uid="{DB60298C-E325-0643-AD0B-D6C2959945DE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approval
25% NDA/Phase 3 Adjustment
40% Phase 2 Adjustment</t>
      </text>
    </comment>
  </commentList>
</comments>
</file>

<file path=xl/sharedStrings.xml><?xml version="1.0" encoding="utf-8"?>
<sst xmlns="http://schemas.openxmlformats.org/spreadsheetml/2006/main" count="65" uniqueCount="64">
  <si>
    <t>1Q22</t>
  </si>
  <si>
    <t>2Q22</t>
  </si>
  <si>
    <t>1Q21</t>
  </si>
  <si>
    <t>3Q22</t>
  </si>
  <si>
    <t>4Q22</t>
  </si>
  <si>
    <t>2Q21</t>
  </si>
  <si>
    <t>3Q21</t>
  </si>
  <si>
    <t>4Q21</t>
  </si>
  <si>
    <t>Research &amp; Development</t>
  </si>
  <si>
    <t>Selling, General, &amp; Administrative</t>
  </si>
  <si>
    <t>Interest Income</t>
  </si>
  <si>
    <t>Interest Expense</t>
  </si>
  <si>
    <t>Loss on Equity Investments</t>
  </si>
  <si>
    <t>Other Income</t>
  </si>
  <si>
    <t>Income Tax Expense</t>
  </si>
  <si>
    <t>Shares</t>
  </si>
  <si>
    <t>Noncontrolling Interest</t>
  </si>
  <si>
    <t>Total Revenue</t>
  </si>
  <si>
    <t>Total Operating Expenses</t>
  </si>
  <si>
    <t>EBIT</t>
  </si>
  <si>
    <t>Gross Profit</t>
  </si>
  <si>
    <t>Cost of Goods Sold</t>
  </si>
  <si>
    <t>Total Interest &amp; Other Income</t>
  </si>
  <si>
    <t>EBT</t>
  </si>
  <si>
    <t>Net Income to Common</t>
  </si>
  <si>
    <t>EPS</t>
  </si>
  <si>
    <t>FY21</t>
  </si>
  <si>
    <t>FY22</t>
  </si>
  <si>
    <t>FY23</t>
  </si>
  <si>
    <t>ANKTIVA</t>
  </si>
  <si>
    <t>NSCLC</t>
  </si>
  <si>
    <t>COVID-19</t>
  </si>
  <si>
    <t>hAd5 S+N Booster J&amp;J</t>
  </si>
  <si>
    <t>BCG Naïve NMIBC</t>
  </si>
  <si>
    <t>BCG Unresponsive NMIBC</t>
  </si>
  <si>
    <t>Annual Druggable Cases</t>
  </si>
  <si>
    <t>1Q23</t>
  </si>
  <si>
    <t>2Q23</t>
  </si>
  <si>
    <t>3Q23</t>
  </si>
  <si>
    <t>4Q23</t>
  </si>
  <si>
    <t>FY24</t>
  </si>
  <si>
    <t>FY25</t>
  </si>
  <si>
    <t>BCG NMIB Druggable Cases</t>
  </si>
  <si>
    <t>FY26</t>
  </si>
  <si>
    <t>FY27</t>
  </si>
  <si>
    <t>FY28</t>
  </si>
  <si>
    <t>FY29</t>
  </si>
  <si>
    <t>FY30</t>
  </si>
  <si>
    <t>FY31</t>
  </si>
  <si>
    <t>FY32</t>
  </si>
  <si>
    <t>BCG Naïve NMIBC Risk Premium</t>
  </si>
  <si>
    <t>had5 S+N Booster J&amp;J Risk Premium</t>
  </si>
  <si>
    <t xml:space="preserve">J&amp;J </t>
  </si>
  <si>
    <t>Other Revenue</t>
  </si>
  <si>
    <t>NASDAQ: (IBRX)</t>
  </si>
  <si>
    <t>ImmunityBio, Inc.</t>
  </si>
  <si>
    <t>Running Cash Less Earnings</t>
  </si>
  <si>
    <t>Valuation</t>
  </si>
  <si>
    <t>EV/Revenue Multiple</t>
  </si>
  <si>
    <t>FY27 Revenue</t>
  </si>
  <si>
    <t>Discount</t>
  </si>
  <si>
    <t>EV NPV</t>
  </si>
  <si>
    <t>Cash</t>
  </si>
  <si>
    <t>Fair Value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</si>
</sst>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0.000"/>
    <numFmt numFmtId="165" formatCode="0.0"/>
    <numFmt numFmtId="169" formatCode="0\x"/>
    <numFmt numFmtId="173" formatCode="_(&quot;$&quot;* #,##0.0_);_(&quot;$&quot;* \(#,##0.0\);_(&quot;$&quot;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169" fontId="0" fillId="0" borderId="0" xfId="0" applyNumberFormat="1"/>
    <xf numFmtId="9" fontId="0" fillId="0" borderId="0" xfId="2" applyFont="1"/>
    <xf numFmtId="0" fontId="2" fillId="0" borderId="0" xfId="0" applyFont="1"/>
    <xf numFmtId="0" fontId="3" fillId="0" borderId="0" xfId="0" applyFont="1"/>
    <xf numFmtId="173" fontId="2" fillId="0" borderId="0" xfId="1" applyNumberFormat="1" applyFont="1"/>
    <xf numFmtId="173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van domingos - 2023" id="{61D399C4-E518-C048-834F-5344BF1F406C}" userId="S::domingos_evan@wheatoncollege.edu::2746620b-88c1-4bef-8e72-f7c84af34e2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T16" dT="2022-11-14T18:16:41.50" personId="{61D399C4-E518-C048-834F-5344BF1F406C}" id="{82CEAF03-4798-074A-A34B-46BBDB9D5D7E}">
    <text>Estimated Phase 3 Completion FY26
FY27 PDUFA/NDA</text>
  </threadedComment>
  <threadedComment ref="T22" dT="2022-11-14T18:34:25.85" personId="{61D399C4-E518-C048-834F-5344BF1F406C}" id="{DB60298C-E325-0643-AD0B-D6C2959945DE}">
    <text>Estimated approval
25% NDA/Phase 3 Adjustment
40% Phase 2 Adjustment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568EA-D9DC-0F41-A97B-4C85B4324B9B}">
  <dimension ref="A1:Z46"/>
  <sheetViews>
    <sheetView tabSelected="1" workbookViewId="0">
      <pane xSplit="1" ySplit="11" topLeftCell="G12" activePane="bottomRight" state="frozen"/>
      <selection pane="topRight" activeCell="B1" sqref="B1"/>
      <selection pane="bottomLeft" activeCell="A3" sqref="A3"/>
      <selection pane="bottomRight" activeCell="L5" sqref="L5"/>
    </sheetView>
  </sheetViews>
  <sheetFormatPr baseColWidth="10" defaultRowHeight="16" x14ac:dyDescent="0.2"/>
  <cols>
    <col min="1" max="1" width="21.6640625" customWidth="1"/>
    <col min="4" max="4" width="16.83203125" customWidth="1"/>
    <col min="6" max="6" width="11.1640625" bestFit="1" customWidth="1"/>
    <col min="8" max="13" width="13.33203125" bestFit="1" customWidth="1"/>
  </cols>
  <sheetData>
    <row r="1" spans="1:26" x14ac:dyDescent="0.2">
      <c r="A1" s="9" t="s">
        <v>55</v>
      </c>
      <c r="D1" t="s">
        <v>57</v>
      </c>
    </row>
    <row r="2" spans="1:26" x14ac:dyDescent="0.2">
      <c r="A2" t="s">
        <v>54</v>
      </c>
      <c r="D2" t="s">
        <v>58</v>
      </c>
      <c r="E2" s="6">
        <v>4</v>
      </c>
    </row>
    <row r="3" spans="1:26" x14ac:dyDescent="0.2">
      <c r="D3" t="s">
        <v>59</v>
      </c>
      <c r="E3" s="4">
        <f>U26</f>
        <v>317154.6968807184</v>
      </c>
      <c r="I3" s="11">
        <f>E8</f>
        <v>2.3675971018013886</v>
      </c>
      <c r="J3">
        <v>0</v>
      </c>
      <c r="K3">
        <v>1</v>
      </c>
    </row>
    <row r="4" spans="1:26" x14ac:dyDescent="0.2">
      <c r="D4" t="s">
        <v>60</v>
      </c>
      <c r="E4" s="7">
        <f>(1-0.08)^5</f>
        <v>0.65908152320000013</v>
      </c>
      <c r="I4">
        <v>0</v>
      </c>
      <c r="J4">
        <f t="dataTable" ref="J4:K5" dt2D="1" dtr="1" r1="U17" r2="T23"/>
        <v>4.7803286016853415</v>
      </c>
      <c r="K4">
        <v>4.4779513074839459</v>
      </c>
    </row>
    <row r="5" spans="1:26" x14ac:dyDescent="0.2">
      <c r="D5" t="s">
        <v>61</v>
      </c>
      <c r="E5" s="4">
        <f>E2*E3*E4</f>
        <v>836123.20284071285</v>
      </c>
      <c r="I5">
        <v>1</v>
      </c>
      <c r="J5">
        <v>1.1847329457874902</v>
      </c>
      <c r="K5">
        <v>0.88235565158609397</v>
      </c>
    </row>
    <row r="6" spans="1:26" x14ac:dyDescent="0.2">
      <c r="D6" t="s">
        <v>62</v>
      </c>
      <c r="E6">
        <f>H46</f>
        <v>111057</v>
      </c>
    </row>
    <row r="7" spans="1:26" x14ac:dyDescent="0.2">
      <c r="D7" t="s">
        <v>15</v>
      </c>
      <c r="E7" s="4">
        <f>H43</f>
        <v>400.059707</v>
      </c>
    </row>
    <row r="8" spans="1:26" x14ac:dyDescent="0.2">
      <c r="D8" s="8" t="s">
        <v>63</v>
      </c>
      <c r="E8" s="10">
        <f>(E5+E6)/E7/1000</f>
        <v>2.3675971018013886</v>
      </c>
    </row>
    <row r="11" spans="1:26" x14ac:dyDescent="0.2">
      <c r="B11" t="s">
        <v>2</v>
      </c>
      <c r="C11" t="s">
        <v>5</v>
      </c>
      <c r="D11" t="s">
        <v>6</v>
      </c>
      <c r="E11" t="s">
        <v>7</v>
      </c>
      <c r="F11" t="s">
        <v>0</v>
      </c>
      <c r="G11" t="s">
        <v>1</v>
      </c>
      <c r="H11" t="s">
        <v>3</v>
      </c>
      <c r="I11" t="s">
        <v>4</v>
      </c>
      <c r="J11" t="s">
        <v>36</v>
      </c>
      <c r="K11" t="s">
        <v>37</v>
      </c>
      <c r="L11" t="s">
        <v>38</v>
      </c>
      <c r="M11" t="s">
        <v>39</v>
      </c>
      <c r="O11" t="s">
        <v>26</v>
      </c>
      <c r="P11" t="s">
        <v>27</v>
      </c>
      <c r="Q11" t="s">
        <v>28</v>
      </c>
      <c r="R11" t="s">
        <v>40</v>
      </c>
      <c r="S11" t="s">
        <v>41</v>
      </c>
      <c r="T11" t="s">
        <v>43</v>
      </c>
      <c r="U11" t="s">
        <v>44</v>
      </c>
      <c r="V11" t="s">
        <v>45</v>
      </c>
      <c r="W11" t="s">
        <v>46</v>
      </c>
      <c r="X11" t="s">
        <v>47</v>
      </c>
      <c r="Y11" t="s">
        <v>48</v>
      </c>
      <c r="Z11" t="s">
        <v>49</v>
      </c>
    </row>
    <row r="12" spans="1:26" x14ac:dyDescent="0.2">
      <c r="A12" t="s">
        <v>29</v>
      </c>
    </row>
    <row r="13" spans="1:26" x14ac:dyDescent="0.2">
      <c r="A13" t="s">
        <v>35</v>
      </c>
      <c r="O13">
        <v>81</v>
      </c>
      <c r="P13">
        <v>81</v>
      </c>
      <c r="Q13">
        <v>81</v>
      </c>
    </row>
    <row r="14" spans="1:26" x14ac:dyDescent="0.2">
      <c r="A14" t="s">
        <v>42</v>
      </c>
      <c r="J14">
        <v>4.7</v>
      </c>
      <c r="K14" s="3">
        <f>P14/15000</f>
        <v>4.666666666666667</v>
      </c>
      <c r="L14" s="2">
        <f>K14*1.01</f>
        <v>4.7133333333333338</v>
      </c>
      <c r="M14" s="4">
        <f>L14*1.01</f>
        <v>4.7604666666666668</v>
      </c>
      <c r="P14">
        <v>70000</v>
      </c>
      <c r="Q14" s="1">
        <f>SUM(J14:M14)</f>
        <v>18.840466666666668</v>
      </c>
      <c r="R14">
        <f>Q14*1.02</f>
        <v>19.217276000000002</v>
      </c>
      <c r="S14">
        <f t="shared" ref="S14:Z14" si="0">R14*1.02</f>
        <v>19.601621520000002</v>
      </c>
      <c r="T14">
        <f t="shared" si="0"/>
        <v>19.993653950400002</v>
      </c>
      <c r="U14">
        <f t="shared" si="0"/>
        <v>20.393527029408002</v>
      </c>
      <c r="V14">
        <f t="shared" si="0"/>
        <v>20.801397569996162</v>
      </c>
      <c r="W14">
        <f t="shared" si="0"/>
        <v>21.217425521396084</v>
      </c>
      <c r="X14">
        <f t="shared" si="0"/>
        <v>21.641774031824006</v>
      </c>
      <c r="Y14">
        <f t="shared" si="0"/>
        <v>22.074609512460487</v>
      </c>
      <c r="Z14">
        <f t="shared" si="0"/>
        <v>22.516101702709697</v>
      </c>
    </row>
    <row r="15" spans="1:26" x14ac:dyDescent="0.2">
      <c r="A15" t="s">
        <v>34</v>
      </c>
      <c r="K15" s="4">
        <f>K14*45000*0.1</f>
        <v>21000</v>
      </c>
      <c r="L15" s="4">
        <f t="shared" ref="L15:M15" si="1">L14*45000*0.1</f>
        <v>21210.000000000004</v>
      </c>
      <c r="M15" s="4">
        <f t="shared" si="1"/>
        <v>21422.100000000002</v>
      </c>
      <c r="Q15">
        <f>SUM(J15:M15)</f>
        <v>63632.100000000006</v>
      </c>
      <c r="R15" s="4">
        <f>R14*45000*0.1</f>
        <v>86477.742000000013</v>
      </c>
      <c r="S15" s="4">
        <f t="shared" ref="S15:Z15" si="2">S14*45000*0.1</f>
        <v>88207.296840000025</v>
      </c>
      <c r="T15" s="4">
        <f t="shared" si="2"/>
        <v>89971.442776800017</v>
      </c>
      <c r="U15" s="4">
        <f t="shared" si="2"/>
        <v>91770.871632336013</v>
      </c>
      <c r="V15" s="4">
        <f t="shared" si="2"/>
        <v>93606.289064982731</v>
      </c>
      <c r="W15" s="4">
        <f t="shared" si="2"/>
        <v>95478.414846282394</v>
      </c>
      <c r="X15" s="4">
        <f t="shared" si="2"/>
        <v>97387.983143208025</v>
      </c>
      <c r="Y15" s="4">
        <f t="shared" si="2"/>
        <v>99335.742806072201</v>
      </c>
      <c r="Z15" s="4">
        <f t="shared" si="2"/>
        <v>101322.45766219364</v>
      </c>
    </row>
    <row r="16" spans="1:26" x14ac:dyDescent="0.2">
      <c r="A16" t="s">
        <v>33</v>
      </c>
      <c r="K16" s="4"/>
      <c r="U16" s="4">
        <f>U15/2*(1-U17)</f>
        <v>34414.076862126007</v>
      </c>
      <c r="V16" s="4">
        <f t="shared" ref="V16:Z16" si="3">V15/2*(1-V17)</f>
        <v>35102.358399368524</v>
      </c>
      <c r="W16" s="4">
        <f t="shared" si="3"/>
        <v>35804.405567355898</v>
      </c>
      <c r="X16" s="4">
        <f t="shared" si="3"/>
        <v>36520.493678703009</v>
      </c>
      <c r="Y16" s="4">
        <f t="shared" si="3"/>
        <v>37250.903552277072</v>
      </c>
      <c r="Z16" s="4">
        <f t="shared" si="3"/>
        <v>37995.921623322618</v>
      </c>
    </row>
    <row r="17" spans="1:26" x14ac:dyDescent="0.2">
      <c r="A17" t="s">
        <v>50</v>
      </c>
      <c r="K17" s="4"/>
      <c r="U17" s="5">
        <v>0.25</v>
      </c>
      <c r="V17" s="5">
        <f>U17</f>
        <v>0.25</v>
      </c>
      <c r="W17" s="5">
        <f t="shared" ref="W17:Z17" si="4">V17</f>
        <v>0.25</v>
      </c>
      <c r="X17" s="5">
        <f t="shared" si="4"/>
        <v>0.25</v>
      </c>
      <c r="Y17" s="5">
        <f t="shared" si="4"/>
        <v>0.25</v>
      </c>
      <c r="Z17" s="5">
        <f t="shared" si="4"/>
        <v>0.25</v>
      </c>
    </row>
    <row r="18" spans="1:26" x14ac:dyDescent="0.2">
      <c r="A18" t="s">
        <v>30</v>
      </c>
    </row>
    <row r="20" spans="1:26" x14ac:dyDescent="0.2">
      <c r="A20" t="s">
        <v>31</v>
      </c>
    </row>
    <row r="21" spans="1:26" x14ac:dyDescent="0.2">
      <c r="A21" t="s">
        <v>52</v>
      </c>
      <c r="B21">
        <v>100000</v>
      </c>
      <c r="C21">
        <v>164000</v>
      </c>
      <c r="D21">
        <v>502000</v>
      </c>
      <c r="E21">
        <v>1619000</v>
      </c>
      <c r="F21">
        <v>457000</v>
      </c>
      <c r="G21">
        <v>544000</v>
      </c>
      <c r="H21">
        <v>489000</v>
      </c>
      <c r="I21" s="4">
        <f>(H21/D21)*E21*0.6</f>
        <v>946244.22310756973</v>
      </c>
      <c r="J21" s="4">
        <f t="shared" ref="J21:M21" si="5">(I21/E21)*F21</f>
        <v>267099.203187251</v>
      </c>
      <c r="K21" s="4">
        <f t="shared" si="5"/>
        <v>317947.41035856574</v>
      </c>
      <c r="L21" s="4">
        <f t="shared" si="5"/>
        <v>285801.99203187256</v>
      </c>
      <c r="M21" s="4">
        <f t="shared" si="5"/>
        <v>553043.93438199395</v>
      </c>
      <c r="O21" s="4">
        <f>SUM(B21:E21)</f>
        <v>2385000</v>
      </c>
      <c r="P21" s="4">
        <f>SUM(F21:I21)</f>
        <v>2436244.2231075699</v>
      </c>
      <c r="Q21" s="4">
        <f>SUM(J21:M21)</f>
        <v>1423892.5399596833</v>
      </c>
      <c r="R21" s="4">
        <f>Q21*(Q21/P21)</f>
        <v>832211.29725930502</v>
      </c>
      <c r="S21" s="4">
        <f>R21*1.03</f>
        <v>857177.63617708418</v>
      </c>
      <c r="T21" s="4">
        <f t="shared" ref="T21:Z21" si="6">S21*1.03</f>
        <v>882892.96526239673</v>
      </c>
      <c r="U21" s="4">
        <f t="shared" si="6"/>
        <v>909379.75422026869</v>
      </c>
      <c r="V21" s="4">
        <f t="shared" si="6"/>
        <v>936661.14684687683</v>
      </c>
      <c r="W21" s="4">
        <f t="shared" si="6"/>
        <v>964760.98125228321</v>
      </c>
      <c r="X21" s="4">
        <f t="shared" si="6"/>
        <v>993703.81068985176</v>
      </c>
      <c r="Y21" s="4">
        <f t="shared" si="6"/>
        <v>1023514.9250105474</v>
      </c>
      <c r="Z21" s="4">
        <f t="shared" si="6"/>
        <v>1054220.3727608637</v>
      </c>
    </row>
    <row r="22" spans="1:26" x14ac:dyDescent="0.2">
      <c r="A22" t="s">
        <v>32</v>
      </c>
      <c r="T22" s="4">
        <f>T21*(1-T23)*0.6</f>
        <v>185407.5227051033</v>
      </c>
      <c r="U22" s="4">
        <f t="shared" ref="U22:Z22" si="7">U21*(1-U23)*0.6</f>
        <v>190969.7483862564</v>
      </c>
      <c r="V22" s="4">
        <f t="shared" si="7"/>
        <v>196698.84083784412</v>
      </c>
      <c r="W22" s="4">
        <f t="shared" si="7"/>
        <v>202599.80606297945</v>
      </c>
      <c r="X22" s="4">
        <f t="shared" si="7"/>
        <v>208677.80024486888</v>
      </c>
      <c r="Y22" s="4">
        <f t="shared" si="7"/>
        <v>214938.13425221495</v>
      </c>
      <c r="Z22" s="4">
        <f t="shared" si="7"/>
        <v>221386.27827978137</v>
      </c>
    </row>
    <row r="23" spans="1:26" x14ac:dyDescent="0.2">
      <c r="A23" t="s">
        <v>51</v>
      </c>
      <c r="T23" s="5">
        <v>0.65</v>
      </c>
      <c r="U23" s="5">
        <f>T23</f>
        <v>0.65</v>
      </c>
      <c r="V23" s="5">
        <f t="shared" ref="V23:Z23" si="8">U23</f>
        <v>0.65</v>
      </c>
      <c r="W23" s="5">
        <f t="shared" si="8"/>
        <v>0.65</v>
      </c>
      <c r="X23" s="5">
        <f t="shared" si="8"/>
        <v>0.65</v>
      </c>
      <c r="Y23" s="5">
        <f t="shared" si="8"/>
        <v>0.65</v>
      </c>
      <c r="Z23" s="5">
        <f t="shared" si="8"/>
        <v>0.65</v>
      </c>
    </row>
    <row r="25" spans="1:26" x14ac:dyDescent="0.2">
      <c r="A25" t="s">
        <v>53</v>
      </c>
      <c r="B25">
        <v>139</v>
      </c>
      <c r="C25">
        <v>339</v>
      </c>
      <c r="D25">
        <v>66</v>
      </c>
      <c r="E25">
        <f>934-D25-C25-B25</f>
        <v>390</v>
      </c>
      <c r="F25">
        <v>14</v>
      </c>
      <c r="G25">
        <v>35</v>
      </c>
      <c r="H25">
        <v>118</v>
      </c>
      <c r="I25">
        <v>100</v>
      </c>
      <c r="J25">
        <v>100</v>
      </c>
      <c r="K25">
        <v>100</v>
      </c>
      <c r="L25">
        <v>100</v>
      </c>
      <c r="M25">
        <v>100</v>
      </c>
      <c r="O25" s="4">
        <f t="shared" ref="O25:O31" si="9">SUM(B25:E25)</f>
        <v>934</v>
      </c>
      <c r="P25" s="4">
        <f t="shared" ref="P25:P31" si="10">SUM(F25:I25)</f>
        <v>267</v>
      </c>
      <c r="Q25" s="4">
        <f t="shared" ref="Q25:Q31" si="11">SUM(J25:M25)</f>
        <v>400</v>
      </c>
    </row>
    <row r="26" spans="1:26" x14ac:dyDescent="0.2">
      <c r="A26" t="s">
        <v>17</v>
      </c>
      <c r="B26">
        <f>B25</f>
        <v>139</v>
      </c>
      <c r="C26">
        <f t="shared" ref="C26:H26" si="12">C25</f>
        <v>339</v>
      </c>
      <c r="D26">
        <f t="shared" si="12"/>
        <v>66</v>
      </c>
      <c r="E26">
        <f t="shared" si="12"/>
        <v>390</v>
      </c>
      <c r="F26">
        <f t="shared" si="12"/>
        <v>14</v>
      </c>
      <c r="G26">
        <f t="shared" si="12"/>
        <v>35</v>
      </c>
      <c r="H26">
        <f t="shared" si="12"/>
        <v>118</v>
      </c>
      <c r="I26">
        <f>I25+I15+I16</f>
        <v>100</v>
      </c>
      <c r="J26">
        <f>J25+J15+J16</f>
        <v>100</v>
      </c>
      <c r="K26">
        <f>K25+K15+K16</f>
        <v>21100</v>
      </c>
      <c r="L26">
        <f>L25+L15+L16</f>
        <v>21310.000000000004</v>
      </c>
      <c r="M26" s="4">
        <f>M25+M15+M16</f>
        <v>21522.100000000002</v>
      </c>
      <c r="O26" s="4">
        <f t="shared" si="9"/>
        <v>934</v>
      </c>
      <c r="P26" s="4">
        <f t="shared" si="10"/>
        <v>267</v>
      </c>
      <c r="Q26" s="4">
        <f t="shared" si="11"/>
        <v>64032.100000000006</v>
      </c>
      <c r="R26" s="4">
        <f>R22+R15+R16</f>
        <v>86477.742000000013</v>
      </c>
      <c r="S26" s="4">
        <f t="shared" ref="S26:Z26" si="13">S22+S15+S16</f>
        <v>88207.296840000025</v>
      </c>
      <c r="T26" s="4">
        <f>T22+T15+T16</f>
        <v>275378.96548190329</v>
      </c>
      <c r="U26" s="4">
        <f t="shared" si="13"/>
        <v>317154.6968807184</v>
      </c>
      <c r="V26" s="4">
        <f t="shared" si="13"/>
        <v>325407.48830219539</v>
      </c>
      <c r="W26" s="4">
        <f t="shared" si="13"/>
        <v>333882.62647661776</v>
      </c>
      <c r="X26" s="4">
        <f t="shared" si="13"/>
        <v>342586.27706677996</v>
      </c>
      <c r="Y26" s="4">
        <f t="shared" si="13"/>
        <v>351524.78061056422</v>
      </c>
      <c r="Z26" s="4">
        <f t="shared" si="13"/>
        <v>360704.65756529768</v>
      </c>
    </row>
    <row r="27" spans="1:26" x14ac:dyDescent="0.2">
      <c r="A27" t="s">
        <v>21</v>
      </c>
      <c r="K27">
        <f>K15*0.1</f>
        <v>2100</v>
      </c>
      <c r="L27">
        <f>L15*0.1</f>
        <v>2121.0000000000005</v>
      </c>
      <c r="M27" s="4">
        <f>M15*0.1</f>
        <v>2142.2100000000005</v>
      </c>
      <c r="O27" s="4">
        <f t="shared" si="9"/>
        <v>0</v>
      </c>
      <c r="P27" s="4">
        <f t="shared" si="10"/>
        <v>0</v>
      </c>
      <c r="Q27" s="4">
        <f t="shared" si="11"/>
        <v>6363.2100000000009</v>
      </c>
      <c r="R27" s="4">
        <f>R26*0.1</f>
        <v>8647.7742000000017</v>
      </c>
      <c r="S27" s="4">
        <f t="shared" ref="S27:Z27" si="14">S26*0.1</f>
        <v>8820.7296840000035</v>
      </c>
      <c r="T27" s="4">
        <f t="shared" si="14"/>
        <v>27537.896548190329</v>
      </c>
      <c r="U27" s="4">
        <f t="shared" si="14"/>
        <v>31715.46968807184</v>
      </c>
      <c r="V27" s="4">
        <f t="shared" si="14"/>
        <v>32540.748830219542</v>
      </c>
      <c r="W27" s="4">
        <f t="shared" si="14"/>
        <v>33388.262647661781</v>
      </c>
      <c r="X27" s="4">
        <f t="shared" si="14"/>
        <v>34258.627706677995</v>
      </c>
      <c r="Y27" s="4">
        <f t="shared" si="14"/>
        <v>35152.478061056427</v>
      </c>
      <c r="Z27" s="4">
        <f t="shared" si="14"/>
        <v>36070.465756529768</v>
      </c>
    </row>
    <row r="28" spans="1:26" x14ac:dyDescent="0.2">
      <c r="A28" t="s">
        <v>20</v>
      </c>
      <c r="B28">
        <f>B26-B27</f>
        <v>139</v>
      </c>
      <c r="C28">
        <f t="shared" ref="C28:H28" si="15">C26-C27</f>
        <v>339</v>
      </c>
      <c r="D28">
        <f t="shared" si="15"/>
        <v>66</v>
      </c>
      <c r="E28">
        <f t="shared" si="15"/>
        <v>390</v>
      </c>
      <c r="F28">
        <f t="shared" si="15"/>
        <v>14</v>
      </c>
      <c r="G28">
        <f t="shared" si="15"/>
        <v>35</v>
      </c>
      <c r="H28">
        <f t="shared" si="15"/>
        <v>118</v>
      </c>
      <c r="I28">
        <f t="shared" ref="I28" si="16">I26-I27</f>
        <v>100</v>
      </c>
      <c r="J28">
        <f t="shared" ref="J28" si="17">J26-J27</f>
        <v>100</v>
      </c>
      <c r="K28">
        <f t="shared" ref="K28" si="18">K26-K27</f>
        <v>19000</v>
      </c>
      <c r="L28">
        <f t="shared" ref="L28" si="19">L26-L27</f>
        <v>19189.000000000004</v>
      </c>
      <c r="M28" s="4">
        <f t="shared" ref="M28" si="20">M26-M27</f>
        <v>19379.890000000003</v>
      </c>
      <c r="O28" s="4">
        <f t="shared" si="9"/>
        <v>934</v>
      </c>
      <c r="P28" s="4">
        <f t="shared" si="10"/>
        <v>267</v>
      </c>
      <c r="Q28" s="4">
        <f t="shared" si="11"/>
        <v>57668.89</v>
      </c>
      <c r="R28" s="4">
        <f>R26-R27</f>
        <v>77829.967800000013</v>
      </c>
      <c r="S28" s="4">
        <f t="shared" ref="S28:Z28" si="21">S26-S27</f>
        <v>79386.567156000019</v>
      </c>
      <c r="T28" s="4">
        <f t="shared" si="21"/>
        <v>247841.06893371296</v>
      </c>
      <c r="U28" s="4">
        <f t="shared" si="21"/>
        <v>285439.22719264659</v>
      </c>
      <c r="V28" s="4">
        <f t="shared" si="21"/>
        <v>292866.73947197583</v>
      </c>
      <c r="W28" s="4">
        <f t="shared" si="21"/>
        <v>300494.36382895597</v>
      </c>
      <c r="X28" s="4">
        <f t="shared" si="21"/>
        <v>308327.64936010196</v>
      </c>
      <c r="Y28" s="4">
        <f t="shared" si="21"/>
        <v>316372.30254950782</v>
      </c>
      <c r="Z28" s="4">
        <f t="shared" si="21"/>
        <v>324634.19180876791</v>
      </c>
    </row>
    <row r="29" spans="1:26" x14ac:dyDescent="0.2">
      <c r="A29" t="s">
        <v>8</v>
      </c>
      <c r="B29">
        <v>41128</v>
      </c>
      <c r="C29">
        <v>53800</v>
      </c>
      <c r="D29">
        <v>49277</v>
      </c>
      <c r="E29">
        <f>195958-D29-C29-B29</f>
        <v>51753</v>
      </c>
      <c r="F29">
        <v>55378</v>
      </c>
      <c r="G29">
        <v>62082</v>
      </c>
      <c r="H29">
        <v>71612</v>
      </c>
      <c r="I29" s="4">
        <f>H29*0.9</f>
        <v>64450.8</v>
      </c>
      <c r="J29" s="4">
        <f t="shared" ref="J29:M29" si="22">I29*1.01</f>
        <v>65095.308000000005</v>
      </c>
      <c r="K29" s="4">
        <f t="shared" si="22"/>
        <v>65746.261080000011</v>
      </c>
      <c r="L29" s="4">
        <f t="shared" si="22"/>
        <v>66403.723690800005</v>
      </c>
      <c r="M29" s="4">
        <f t="shared" si="22"/>
        <v>67067.760927708005</v>
      </c>
      <c r="O29" s="4">
        <f t="shared" si="9"/>
        <v>195958</v>
      </c>
      <c r="P29" s="4">
        <f t="shared" si="10"/>
        <v>253522.8</v>
      </c>
      <c r="Q29" s="4">
        <f t="shared" si="11"/>
        <v>264313.05369850801</v>
      </c>
      <c r="R29" s="4">
        <f>Q29*1.03</f>
        <v>272242.44530946325</v>
      </c>
      <c r="S29" s="4">
        <f t="shared" ref="S29:U29" si="23">R29*1.03</f>
        <v>280409.71866874717</v>
      </c>
      <c r="T29" s="4">
        <f t="shared" si="23"/>
        <v>288822.01022880961</v>
      </c>
      <c r="U29" s="4">
        <f t="shared" si="23"/>
        <v>297486.67053567391</v>
      </c>
      <c r="V29" s="4">
        <f>U29*0.95</f>
        <v>282612.33700889023</v>
      </c>
      <c r="W29" s="4">
        <f t="shared" ref="W29:Z29" si="24">V29*0.95</f>
        <v>268481.72015844571</v>
      </c>
      <c r="X29" s="4">
        <f t="shared" si="24"/>
        <v>255057.6341505234</v>
      </c>
      <c r="Y29" s="4">
        <f t="shared" si="24"/>
        <v>242304.75244299721</v>
      </c>
      <c r="Z29" s="4">
        <f t="shared" si="24"/>
        <v>230189.51482084734</v>
      </c>
    </row>
    <row r="30" spans="1:26" x14ac:dyDescent="0.2">
      <c r="A30" t="s">
        <v>9</v>
      </c>
      <c r="B30">
        <v>45275</v>
      </c>
      <c r="C30">
        <v>32445</v>
      </c>
      <c r="D30">
        <v>29625</v>
      </c>
      <c r="E30">
        <f>135256-D30-C30-B30</f>
        <v>27911</v>
      </c>
      <c r="F30">
        <v>40608</v>
      </c>
      <c r="G30">
        <v>16575</v>
      </c>
      <c r="H30">
        <v>19310</v>
      </c>
      <c r="I30" s="4">
        <f>AVERAGE(F30:H30)</f>
        <v>25497.666666666668</v>
      </c>
      <c r="J30" s="4">
        <f>I30*1.01</f>
        <v>25752.643333333333</v>
      </c>
      <c r="K30" s="4">
        <f t="shared" ref="K30:M30" si="25">J30*1.01</f>
        <v>26010.169766666666</v>
      </c>
      <c r="L30" s="4">
        <f t="shared" si="25"/>
        <v>26270.271464333331</v>
      </c>
      <c r="M30" s="4">
        <f t="shared" si="25"/>
        <v>26532.974178976663</v>
      </c>
      <c r="O30" s="4">
        <f t="shared" si="9"/>
        <v>135256</v>
      </c>
      <c r="P30" s="4">
        <f t="shared" si="10"/>
        <v>101990.66666666667</v>
      </c>
      <c r="Q30" s="4">
        <f t="shared" si="11"/>
        <v>104566.05874330999</v>
      </c>
      <c r="R30" s="4">
        <f>Q30*1.01</f>
        <v>105611.71933074309</v>
      </c>
      <c r="S30" s="4">
        <f t="shared" ref="S30:Z30" si="26">R30*1.01</f>
        <v>106667.83652405052</v>
      </c>
      <c r="T30" s="4">
        <f t="shared" si="26"/>
        <v>107734.51488929102</v>
      </c>
      <c r="U30" s="4">
        <f t="shared" si="26"/>
        <v>108811.86003818394</v>
      </c>
      <c r="V30" s="4">
        <f t="shared" si="26"/>
        <v>109899.97863856578</v>
      </c>
      <c r="W30" s="4">
        <f t="shared" si="26"/>
        <v>110998.97842495143</v>
      </c>
      <c r="X30" s="4">
        <f t="shared" si="26"/>
        <v>112108.96820920095</v>
      </c>
      <c r="Y30" s="4">
        <f t="shared" si="26"/>
        <v>113230.05789129296</v>
      </c>
      <c r="Z30" s="4">
        <f t="shared" si="26"/>
        <v>114362.35847020589</v>
      </c>
    </row>
    <row r="31" spans="1:26" x14ac:dyDescent="0.2">
      <c r="A31" t="s">
        <v>18</v>
      </c>
      <c r="B31">
        <f>B29+B30</f>
        <v>86403</v>
      </c>
      <c r="C31">
        <f t="shared" ref="C31:H31" si="27">C29+C30</f>
        <v>86245</v>
      </c>
      <c r="D31">
        <f t="shared" si="27"/>
        <v>78902</v>
      </c>
      <c r="E31">
        <f t="shared" si="27"/>
        <v>79664</v>
      </c>
      <c r="F31">
        <f t="shared" si="27"/>
        <v>95986</v>
      </c>
      <c r="G31">
        <f t="shared" si="27"/>
        <v>78657</v>
      </c>
      <c r="H31">
        <f t="shared" si="27"/>
        <v>90922</v>
      </c>
      <c r="I31" s="4">
        <f t="shared" ref="I31" si="28">I29+I30</f>
        <v>89948.466666666674</v>
      </c>
      <c r="J31" s="4">
        <f t="shared" ref="J31" si="29">J29+J30</f>
        <v>90847.951333333331</v>
      </c>
      <c r="K31" s="4">
        <f t="shared" ref="K31" si="30">K29+K30</f>
        <v>91756.430846666684</v>
      </c>
      <c r="L31" s="4">
        <f t="shared" ref="L31" si="31">L29+L30</f>
        <v>92673.995155133336</v>
      </c>
      <c r="M31" s="4">
        <f t="shared" ref="M31" si="32">M29+M30</f>
        <v>93600.735106684675</v>
      </c>
      <c r="O31" s="4">
        <f t="shared" si="9"/>
        <v>331214</v>
      </c>
      <c r="P31" s="4">
        <f t="shared" si="10"/>
        <v>355513.46666666667</v>
      </c>
      <c r="Q31" s="4">
        <f t="shared" si="11"/>
        <v>368879.11244181806</v>
      </c>
      <c r="R31" s="4">
        <f>R29+R30</f>
        <v>377854.16464020632</v>
      </c>
      <c r="S31" s="4">
        <f t="shared" ref="S31:Z31" si="33">S29+S30</f>
        <v>387077.55519279768</v>
      </c>
      <c r="T31" s="4">
        <f t="shared" si="33"/>
        <v>396556.52511810063</v>
      </c>
      <c r="U31" s="4">
        <f t="shared" si="33"/>
        <v>406298.53057385783</v>
      </c>
      <c r="V31" s="4">
        <f t="shared" si="33"/>
        <v>392512.31564745598</v>
      </c>
      <c r="W31" s="4">
        <f t="shared" si="33"/>
        <v>379480.69858339714</v>
      </c>
      <c r="X31" s="4">
        <f t="shared" si="33"/>
        <v>367166.60235972435</v>
      </c>
      <c r="Y31" s="4">
        <f t="shared" si="33"/>
        <v>355534.81033429014</v>
      </c>
      <c r="Z31" s="4">
        <f t="shared" si="33"/>
        <v>344551.87329105323</v>
      </c>
    </row>
    <row r="32" spans="1:26" x14ac:dyDescent="0.2">
      <c r="A32" t="s">
        <v>19</v>
      </c>
      <c r="B32">
        <f>B28-B31</f>
        <v>-86264</v>
      </c>
      <c r="C32">
        <f t="shared" ref="C32:H32" si="34">C28-C31</f>
        <v>-85906</v>
      </c>
      <c r="D32">
        <f t="shared" si="34"/>
        <v>-78836</v>
      </c>
      <c r="E32">
        <f t="shared" si="34"/>
        <v>-79274</v>
      </c>
      <c r="F32">
        <f t="shared" si="34"/>
        <v>-95972</v>
      </c>
      <c r="G32">
        <f t="shared" si="34"/>
        <v>-78622</v>
      </c>
      <c r="H32" s="4">
        <f t="shared" si="34"/>
        <v>-90804</v>
      </c>
      <c r="I32" s="4">
        <f t="shared" ref="I32" si="35">I28-I31</f>
        <v>-89848.466666666674</v>
      </c>
      <c r="J32" s="4">
        <f t="shared" ref="J32" si="36">J28-J31</f>
        <v>-90747.951333333331</v>
      </c>
      <c r="K32" s="4">
        <f t="shared" ref="K32" si="37">K28-K31</f>
        <v>-72756.430846666684</v>
      </c>
      <c r="L32" s="4">
        <f t="shared" ref="L32" si="38">L28-L31</f>
        <v>-73484.995155133336</v>
      </c>
      <c r="M32" s="4">
        <f t="shared" ref="M32" si="39">M28-M31</f>
        <v>-74220.845106684676</v>
      </c>
      <c r="O32" s="4">
        <f t="shared" ref="O32" si="40">O28-O31</f>
        <v>-330280</v>
      </c>
      <c r="P32" s="4">
        <f t="shared" ref="P32" si="41">P28-P31</f>
        <v>-355246.46666666667</v>
      </c>
      <c r="Q32" s="4">
        <f t="shared" ref="Q32" si="42">Q28-Q31</f>
        <v>-311210.22244181804</v>
      </c>
      <c r="R32" s="4">
        <f>R28-R31</f>
        <v>-300024.19684020628</v>
      </c>
      <c r="S32" s="4">
        <f t="shared" ref="S32:Z32" si="43">S28-S31</f>
        <v>-307690.98803679767</v>
      </c>
      <c r="T32" s="4">
        <f t="shared" si="43"/>
        <v>-148715.45618438767</v>
      </c>
      <c r="U32" s="4">
        <f t="shared" si="43"/>
        <v>-120859.30338121124</v>
      </c>
      <c r="V32" s="4">
        <f t="shared" si="43"/>
        <v>-99645.57617548015</v>
      </c>
      <c r="W32" s="4">
        <f t="shared" si="43"/>
        <v>-78986.334754441166</v>
      </c>
      <c r="X32" s="4">
        <f t="shared" si="43"/>
        <v>-58838.952999622386</v>
      </c>
      <c r="Y32" s="4">
        <f t="shared" si="43"/>
        <v>-39162.507784782327</v>
      </c>
      <c r="Z32" s="4">
        <f t="shared" si="43"/>
        <v>-19917.681482285319</v>
      </c>
    </row>
    <row r="33" spans="1:26" x14ac:dyDescent="0.2">
      <c r="A33" t="s">
        <v>10</v>
      </c>
      <c r="B33">
        <v>8944</v>
      </c>
      <c r="C33">
        <v>-177</v>
      </c>
      <c r="D33">
        <v>-5941</v>
      </c>
      <c r="E33">
        <f>-4100-D33-C33-B33</f>
        <v>-6926</v>
      </c>
      <c r="F33">
        <v>1666</v>
      </c>
      <c r="G33">
        <v>-1800</v>
      </c>
      <c r="H33">
        <v>857</v>
      </c>
      <c r="I33">
        <f>H33</f>
        <v>857</v>
      </c>
      <c r="J33">
        <f t="shared" ref="J33:K34" si="44">I33</f>
        <v>857</v>
      </c>
      <c r="K33">
        <f t="shared" si="44"/>
        <v>857</v>
      </c>
      <c r="L33" s="4">
        <f>K33*0.75</f>
        <v>642.75</v>
      </c>
      <c r="M33" s="4">
        <f>L33*0.75</f>
        <v>482.0625</v>
      </c>
      <c r="O33" s="4">
        <f>SUM(B33:E33)</f>
        <v>-4100</v>
      </c>
      <c r="P33" s="4">
        <f t="shared" ref="P33:P38" si="45">SUM(F33:I33)</f>
        <v>1580</v>
      </c>
      <c r="Q33" s="4">
        <f t="shared" ref="Q33:Q38" si="46">SUM(J33:M33)</f>
        <v>2838.8125</v>
      </c>
      <c r="R33" s="4">
        <f>Q33*0.95</f>
        <v>2696.8718749999998</v>
      </c>
      <c r="S33" s="4">
        <f t="shared" ref="S33:Z33" si="47">R33*0.95</f>
        <v>2562.0282812499995</v>
      </c>
      <c r="T33" s="4">
        <f t="shared" si="47"/>
        <v>2433.9268671874993</v>
      </c>
      <c r="U33" s="4">
        <f t="shared" si="47"/>
        <v>2312.2305238281242</v>
      </c>
      <c r="V33" s="4">
        <f t="shared" si="47"/>
        <v>2196.6189976367177</v>
      </c>
      <c r="W33" s="4">
        <f t="shared" si="47"/>
        <v>2086.7880477548815</v>
      </c>
      <c r="X33" s="4">
        <f t="shared" si="47"/>
        <v>1982.4486453671373</v>
      </c>
      <c r="Y33" s="4">
        <f t="shared" si="47"/>
        <v>1883.3262130987803</v>
      </c>
      <c r="Z33" s="4">
        <f t="shared" si="47"/>
        <v>1789.1599024438412</v>
      </c>
    </row>
    <row r="34" spans="1:26" x14ac:dyDescent="0.2">
      <c r="A34" t="s">
        <v>11</v>
      </c>
      <c r="B34">
        <v>-3168</v>
      </c>
      <c r="C34">
        <v>-3577</v>
      </c>
      <c r="D34">
        <v>-3614</v>
      </c>
      <c r="E34">
        <f>-14849-D34-C34-B34</f>
        <v>-4490</v>
      </c>
      <c r="F34">
        <v>-8491</v>
      </c>
      <c r="G34">
        <v>-9698</v>
      </c>
      <c r="H34">
        <v>-16764</v>
      </c>
      <c r="I34">
        <f>H34</f>
        <v>-16764</v>
      </c>
      <c r="J34">
        <f t="shared" si="44"/>
        <v>-16764</v>
      </c>
      <c r="K34">
        <f t="shared" si="44"/>
        <v>-16764</v>
      </c>
      <c r="L34">
        <f>K34*0.75</f>
        <v>-12573</v>
      </c>
      <c r="M34" s="4">
        <f>L34*0.75</f>
        <v>-9429.75</v>
      </c>
      <c r="O34" s="4">
        <f>SUM(B34:E34)</f>
        <v>-14849</v>
      </c>
      <c r="P34" s="4">
        <f t="shared" si="45"/>
        <v>-51717</v>
      </c>
      <c r="Q34" s="4">
        <f t="shared" si="46"/>
        <v>-55530.75</v>
      </c>
      <c r="R34" s="4">
        <f>Q34*0.95</f>
        <v>-52754.212499999994</v>
      </c>
      <c r="S34" s="4">
        <f t="shared" ref="S34:Z34" si="48">R34*0.95</f>
        <v>-50116.501874999994</v>
      </c>
      <c r="T34" s="4">
        <f t="shared" si="48"/>
        <v>-47610.676781249989</v>
      </c>
      <c r="U34" s="4">
        <f t="shared" si="48"/>
        <v>-45230.142942187485</v>
      </c>
      <c r="V34" s="4">
        <f t="shared" si="48"/>
        <v>-42968.635795078109</v>
      </c>
      <c r="W34" s="4">
        <f t="shared" si="48"/>
        <v>-40820.204005324202</v>
      </c>
      <c r="X34" s="4">
        <f t="shared" si="48"/>
        <v>-38779.193805057992</v>
      </c>
      <c r="Y34" s="4">
        <f t="shared" si="48"/>
        <v>-36840.234114805091</v>
      </c>
      <c r="Z34" s="4">
        <f t="shared" si="48"/>
        <v>-34998.222409064838</v>
      </c>
    </row>
    <row r="35" spans="1:26" x14ac:dyDescent="0.2">
      <c r="A35" t="s">
        <v>12</v>
      </c>
      <c r="E35">
        <v>-803</v>
      </c>
      <c r="F35">
        <v>-197</v>
      </c>
      <c r="G35">
        <v>-3900</v>
      </c>
      <c r="H35">
        <v>-4456</v>
      </c>
      <c r="I35" s="4">
        <f>AVERAGE(E35:H35)</f>
        <v>-2339</v>
      </c>
      <c r="J35" s="4">
        <f t="shared" ref="J35:M35" si="49">AVERAGE(F35:I35)</f>
        <v>-2723</v>
      </c>
      <c r="K35" s="4">
        <f t="shared" si="49"/>
        <v>-3354.5</v>
      </c>
      <c r="L35" s="4">
        <f t="shared" si="49"/>
        <v>-3218.125</v>
      </c>
      <c r="M35" s="4">
        <f t="shared" si="49"/>
        <v>-2908.65625</v>
      </c>
      <c r="O35" s="4">
        <f>SUM(B35:E35)</f>
        <v>-803</v>
      </c>
      <c r="P35" s="4">
        <f t="shared" si="45"/>
        <v>-10892</v>
      </c>
      <c r="Q35" s="4">
        <f t="shared" si="46"/>
        <v>-12204.28125</v>
      </c>
      <c r="R35">
        <v>5000</v>
      </c>
      <c r="S35">
        <v>5000</v>
      </c>
      <c r="T35">
        <v>5000</v>
      </c>
      <c r="U35">
        <v>5000</v>
      </c>
      <c r="V35">
        <v>5000</v>
      </c>
      <c r="W35">
        <v>5000</v>
      </c>
      <c r="X35">
        <v>5000</v>
      </c>
      <c r="Y35">
        <v>5000</v>
      </c>
      <c r="Z35">
        <v>5000</v>
      </c>
    </row>
    <row r="36" spans="1:26" x14ac:dyDescent="0.2">
      <c r="A36" t="s">
        <v>13</v>
      </c>
      <c r="B36">
        <v>13</v>
      </c>
      <c r="C36">
        <v>277</v>
      </c>
      <c r="D36">
        <v>-38</v>
      </c>
      <c r="E36">
        <f>193-C36-B36-D36</f>
        <v>-59</v>
      </c>
      <c r="F36">
        <v>-4</v>
      </c>
      <c r="G36">
        <v>185</v>
      </c>
      <c r="H36">
        <v>6</v>
      </c>
      <c r="O36" s="4">
        <f>SUM(B36:E36)</f>
        <v>193</v>
      </c>
      <c r="P36" s="4">
        <f t="shared" si="45"/>
        <v>187</v>
      </c>
      <c r="Q36" s="4">
        <f t="shared" si="46"/>
        <v>0</v>
      </c>
    </row>
    <row r="37" spans="1:26" x14ac:dyDescent="0.2">
      <c r="A37" t="s">
        <v>22</v>
      </c>
      <c r="B37">
        <f>B36+B35+B34+B33</f>
        <v>5789</v>
      </c>
      <c r="C37">
        <f t="shared" ref="C37:H37" si="50">C36+C35+C34+C33</f>
        <v>-3477</v>
      </c>
      <c r="D37">
        <f t="shared" si="50"/>
        <v>-9593</v>
      </c>
      <c r="E37">
        <f t="shared" si="50"/>
        <v>-12278</v>
      </c>
      <c r="F37">
        <f t="shared" si="50"/>
        <v>-7026</v>
      </c>
      <c r="G37">
        <f t="shared" si="50"/>
        <v>-15213</v>
      </c>
      <c r="H37" s="4">
        <f t="shared" si="50"/>
        <v>-20357</v>
      </c>
      <c r="I37" s="4">
        <f t="shared" ref="I37" si="51">I36+I35+I34+I33</f>
        <v>-18246</v>
      </c>
      <c r="J37" s="4">
        <f t="shared" ref="J37" si="52">J36+J35+J34+J33</f>
        <v>-18630</v>
      </c>
      <c r="K37" s="4">
        <f t="shared" ref="K37" si="53">K36+K35+K34+K33</f>
        <v>-19261.5</v>
      </c>
      <c r="L37" s="4">
        <f t="shared" ref="L37" si="54">L36+L35+L34+L33</f>
        <v>-15148.375</v>
      </c>
      <c r="M37" s="4">
        <f t="shared" ref="M37" si="55">M36+M35+M34+M33</f>
        <v>-11856.34375</v>
      </c>
      <c r="O37">
        <f t="shared" ref="O37" si="56">O36+O35+O34+O33</f>
        <v>-19559</v>
      </c>
      <c r="P37" s="4">
        <f t="shared" si="45"/>
        <v>-60842</v>
      </c>
      <c r="Q37" s="4">
        <f t="shared" si="46"/>
        <v>-64896.21875</v>
      </c>
      <c r="R37" s="4">
        <f t="shared" ref="R37" si="57">R36+R35+R34+R33</f>
        <v>-45057.340624999997</v>
      </c>
      <c r="S37" s="4">
        <f t="shared" ref="S37" si="58">S36+S35+S34+S33</f>
        <v>-42554.473593749994</v>
      </c>
      <c r="T37" s="4">
        <f t="shared" ref="T37" si="59">T36+T35+T34+T33</f>
        <v>-40176.749914062493</v>
      </c>
      <c r="U37" s="4">
        <f t="shared" ref="U37" si="60">U36+U35+U34+U33</f>
        <v>-37917.912418359359</v>
      </c>
      <c r="V37" s="4">
        <f t="shared" ref="V37" si="61">V36+V35+V34+V33</f>
        <v>-35772.016797441393</v>
      </c>
      <c r="W37" s="4">
        <f t="shared" ref="W37" si="62">W36+W35+W34+W33</f>
        <v>-33733.415957569319</v>
      </c>
      <c r="X37" s="4">
        <f t="shared" ref="X37" si="63">X36+X35+X34+X33</f>
        <v>-31796.745159690854</v>
      </c>
      <c r="Y37" s="4">
        <f t="shared" ref="Y37" si="64">Y36+Y35+Y34+Y33</f>
        <v>-29956.907901706312</v>
      </c>
      <c r="Z37" s="4">
        <f t="shared" ref="Z37" si="65">Z36+Z35+Z34+Z33</f>
        <v>-28209.062506620998</v>
      </c>
    </row>
    <row r="38" spans="1:26" x14ac:dyDescent="0.2">
      <c r="A38" t="s">
        <v>23</v>
      </c>
      <c r="B38">
        <f>B32+B37</f>
        <v>-80475</v>
      </c>
      <c r="C38">
        <f t="shared" ref="C38:H38" si="66">C32+C37</f>
        <v>-89383</v>
      </c>
      <c r="D38">
        <f t="shared" si="66"/>
        <v>-88429</v>
      </c>
      <c r="E38">
        <f t="shared" si="66"/>
        <v>-91552</v>
      </c>
      <c r="F38">
        <f t="shared" si="66"/>
        <v>-102998</v>
      </c>
      <c r="G38">
        <f t="shared" si="66"/>
        <v>-93835</v>
      </c>
      <c r="H38" s="4">
        <f t="shared" si="66"/>
        <v>-111161</v>
      </c>
      <c r="I38" s="4">
        <f t="shared" ref="I38" si="67">I32+I37</f>
        <v>-108094.46666666667</v>
      </c>
      <c r="J38" s="4">
        <f t="shared" ref="J38" si="68">J32+J37</f>
        <v>-109377.95133333333</v>
      </c>
      <c r="K38" s="4">
        <f t="shared" ref="K38" si="69">K32+K37</f>
        <v>-92017.930846666684</v>
      </c>
      <c r="L38" s="4">
        <f t="shared" ref="L38" si="70">L32+L37</f>
        <v>-88633.370155133336</v>
      </c>
      <c r="M38" s="4">
        <f t="shared" ref="M38" si="71">M32+M37</f>
        <v>-86077.188856684676</v>
      </c>
      <c r="O38">
        <f t="shared" ref="O38" si="72">O32+O37</f>
        <v>-349839</v>
      </c>
      <c r="P38" s="4">
        <f t="shared" si="45"/>
        <v>-416088.46666666667</v>
      </c>
      <c r="Q38" s="4">
        <f t="shared" si="46"/>
        <v>-376106.44119181804</v>
      </c>
      <c r="R38" s="4">
        <f t="shared" ref="R38" si="73">R32+R37</f>
        <v>-345081.53746520629</v>
      </c>
      <c r="S38" s="4">
        <f t="shared" ref="S38" si="74">S32+S37</f>
        <v>-350245.46163054765</v>
      </c>
      <c r="T38" s="4">
        <f t="shared" ref="T38" si="75">T32+T37</f>
        <v>-188892.20609845017</v>
      </c>
      <c r="U38" s="4">
        <f t="shared" ref="U38" si="76">U32+U37</f>
        <v>-158777.21579957061</v>
      </c>
      <c r="V38" s="4">
        <f t="shared" ref="V38" si="77">V32+V37</f>
        <v>-135417.59297292156</v>
      </c>
      <c r="W38" s="4">
        <f t="shared" ref="W38" si="78">W32+W37</f>
        <v>-112719.75071201049</v>
      </c>
      <c r="X38" s="4">
        <f t="shared" ref="X38" si="79">X32+X37</f>
        <v>-90635.698159313237</v>
      </c>
      <c r="Y38" s="4">
        <f t="shared" ref="Y38" si="80">Y32+Y37</f>
        <v>-69119.415686488646</v>
      </c>
      <c r="Z38" s="4">
        <f t="shared" ref="Z38" si="81">Z32+Z37</f>
        <v>-48126.743988906317</v>
      </c>
    </row>
    <row r="39" spans="1:26" x14ac:dyDescent="0.2">
      <c r="A39" t="s">
        <v>14</v>
      </c>
      <c r="B39">
        <v>-6</v>
      </c>
      <c r="C39">
        <v>-2</v>
      </c>
      <c r="E39">
        <v>-1</v>
      </c>
    </row>
    <row r="40" spans="1:26" x14ac:dyDescent="0.2">
      <c r="A40" t="s">
        <v>16</v>
      </c>
      <c r="B40">
        <v>-867</v>
      </c>
      <c r="C40">
        <v>-1097</v>
      </c>
      <c r="D40">
        <v>-800</v>
      </c>
      <c r="E40">
        <f>-3058-D40-B40-C40</f>
        <v>-294</v>
      </c>
      <c r="F40">
        <v>-172</v>
      </c>
      <c r="G40">
        <v>-247</v>
      </c>
      <c r="H40">
        <v>-223</v>
      </c>
      <c r="I40" s="4">
        <f>H40/H38*I38</f>
        <v>-216.84822974484459</v>
      </c>
      <c r="J40" s="4">
        <f t="shared" ref="J40:M40" si="82">I40/I38*J38</f>
        <v>-219.42302738670335</v>
      </c>
      <c r="K40" s="4">
        <f t="shared" si="82"/>
        <v>-184.59710310996365</v>
      </c>
      <c r="L40" s="4">
        <f t="shared" si="82"/>
        <v>-177.80733840640812</v>
      </c>
      <c r="M40" s="4">
        <f t="shared" si="82"/>
        <v>-172.67938499150495</v>
      </c>
      <c r="O40" s="4">
        <f>SUM(B40:E40)</f>
        <v>-3058</v>
      </c>
      <c r="P40" s="4">
        <f>SUM(F40:I40)</f>
        <v>-858.84822974484462</v>
      </c>
      <c r="Q40" s="4">
        <f>SUM(J40:M40)</f>
        <v>-754.50685389457999</v>
      </c>
      <c r="R40" s="4">
        <f>Q40/Q38*R38</f>
        <v>-692.26781744263712</v>
      </c>
      <c r="S40" s="4">
        <f t="shared" ref="S40:Z40" si="83">R40/R38*S38</f>
        <v>-702.62716189681726</v>
      </c>
      <c r="T40" s="4">
        <f t="shared" si="83"/>
        <v>-378.93651514428961</v>
      </c>
      <c r="U40" s="4">
        <f t="shared" si="83"/>
        <v>-318.52285534768703</v>
      </c>
      <c r="V40" s="4">
        <f t="shared" si="83"/>
        <v>-271.66113324782521</v>
      </c>
      <c r="W40" s="4">
        <f t="shared" si="83"/>
        <v>-226.1270086521202</v>
      </c>
      <c r="X40" s="4">
        <f t="shared" si="83"/>
        <v>-181.82420713673721</v>
      </c>
      <c r="Y40" s="4">
        <f t="shared" si="83"/>
        <v>-138.66040875924978</v>
      </c>
      <c r="Z40" s="4">
        <f t="shared" si="83"/>
        <v>-96.547025571253457</v>
      </c>
    </row>
    <row r="41" spans="1:26" x14ac:dyDescent="0.2">
      <c r="A41" t="s">
        <v>24</v>
      </c>
      <c r="B41">
        <f>B38+B39-B40</f>
        <v>-79614</v>
      </c>
      <c r="C41">
        <f t="shared" ref="C41:H41" si="84">C38+C39-C40</f>
        <v>-88288</v>
      </c>
      <c r="D41">
        <f t="shared" si="84"/>
        <v>-87629</v>
      </c>
      <c r="E41">
        <f t="shared" si="84"/>
        <v>-91259</v>
      </c>
      <c r="F41">
        <f t="shared" si="84"/>
        <v>-102826</v>
      </c>
      <c r="G41">
        <f t="shared" si="84"/>
        <v>-93588</v>
      </c>
      <c r="H41">
        <f t="shared" si="84"/>
        <v>-110938</v>
      </c>
      <c r="I41" s="4">
        <f t="shared" ref="I41" si="85">I38+I39-I40</f>
        <v>-107877.61843692182</v>
      </c>
      <c r="J41" s="4">
        <f t="shared" ref="J41" si="86">J38+J39-J40</f>
        <v>-109158.52830594663</v>
      </c>
      <c r="K41" s="4">
        <f t="shared" ref="K41" si="87">K38+K39-K40</f>
        <v>-91833.333743556723</v>
      </c>
      <c r="L41" s="4">
        <f t="shared" ref="L41" si="88">L38+L39-L40</f>
        <v>-88455.562816726931</v>
      </c>
      <c r="M41" s="4">
        <f t="shared" ref="M41" si="89">M38+M39-M40</f>
        <v>-85904.509471693164</v>
      </c>
      <c r="O41" s="4">
        <f>SUM(B41:E41)</f>
        <v>-346790</v>
      </c>
      <c r="P41" s="4">
        <f>SUM(F41:I41)</f>
        <v>-415229.61843692185</v>
      </c>
      <c r="Q41" s="4">
        <f>SUM(J41:M41)</f>
        <v>-375351.93433792342</v>
      </c>
      <c r="R41" s="4">
        <f t="shared" ref="R41" si="90">R38+R39-R40</f>
        <v>-344389.26964776363</v>
      </c>
      <c r="S41" s="4">
        <f t="shared" ref="S41" si="91">S38+S39-S40</f>
        <v>-349542.83446865081</v>
      </c>
      <c r="T41" s="4">
        <f t="shared" ref="T41" si="92">T38+T39-T40</f>
        <v>-188513.2695833059</v>
      </c>
      <c r="U41" s="4">
        <f t="shared" ref="U41" si="93">U38+U39-U40</f>
        <v>-158458.69294422292</v>
      </c>
      <c r="V41" s="4">
        <f t="shared" ref="V41" si="94">V38+V39-V40</f>
        <v>-135145.93183967372</v>
      </c>
      <c r="W41" s="4">
        <f t="shared" ref="W41" si="95">W38+W39-W40</f>
        <v>-112493.62370335836</v>
      </c>
      <c r="X41" s="4">
        <f t="shared" ref="X41" si="96">X38+X39-X40</f>
        <v>-90453.873952176495</v>
      </c>
      <c r="Y41" s="4">
        <f t="shared" ref="Y41" si="97">Y38+Y39-Y40</f>
        <v>-68980.755277729389</v>
      </c>
      <c r="Z41" s="4">
        <f t="shared" ref="Z41" si="98">Z38+Z39-Z40</f>
        <v>-48030.196963335067</v>
      </c>
    </row>
    <row r="43" spans="1:26" x14ac:dyDescent="0.2">
      <c r="A43" t="s">
        <v>15</v>
      </c>
      <c r="B43" s="3">
        <v>382.74146400000001</v>
      </c>
      <c r="C43" s="3">
        <v>384.82048600000002</v>
      </c>
      <c r="D43" s="3">
        <v>391.85362300000003</v>
      </c>
      <c r="E43" s="3">
        <f>389.234156*4-D43-C43-B43</f>
        <v>397.52105099999989</v>
      </c>
      <c r="F43" s="3">
        <v>397.88244099999997</v>
      </c>
      <c r="G43" s="3">
        <v>397.99162999999999</v>
      </c>
      <c r="H43" s="3">
        <v>400.059707</v>
      </c>
      <c r="I43" s="3">
        <f>H43*1.004</f>
        <v>401.65994582799999</v>
      </c>
      <c r="J43" s="3">
        <f t="shared" ref="J43:M43" si="99">I43*1.004</f>
        <v>403.266585611312</v>
      </c>
      <c r="K43" s="3">
        <f t="shared" si="99"/>
        <v>404.87965195375722</v>
      </c>
      <c r="L43" s="3">
        <f t="shared" si="99"/>
        <v>406.49917056157227</v>
      </c>
      <c r="M43" s="3">
        <f t="shared" si="99"/>
        <v>408.12516724381857</v>
      </c>
      <c r="O43" s="3">
        <f>AVERAGE(B43:E43)</f>
        <v>389.23415599999998</v>
      </c>
      <c r="P43" s="3">
        <f>AVERAGE(F43:I43)</f>
        <v>399.39843095700002</v>
      </c>
      <c r="Q43" s="3">
        <f>AVERAGE(J43:M43)</f>
        <v>405.69264384261504</v>
      </c>
      <c r="R43" s="3">
        <f>Q43*1.01</f>
        <v>409.7495702810412</v>
      </c>
      <c r="S43" s="3">
        <f t="shared" ref="S43:Z43" si="100">R43*1.01</f>
        <v>413.84706598385162</v>
      </c>
      <c r="T43" s="3">
        <f t="shared" si="100"/>
        <v>417.98553664369012</v>
      </c>
      <c r="U43" s="3">
        <f t="shared" si="100"/>
        <v>422.16539201012705</v>
      </c>
      <c r="V43" s="3">
        <f t="shared" si="100"/>
        <v>426.38704593022834</v>
      </c>
      <c r="W43" s="3">
        <f t="shared" si="100"/>
        <v>430.65091638953061</v>
      </c>
      <c r="X43" s="3">
        <f t="shared" si="100"/>
        <v>434.95742555342594</v>
      </c>
      <c r="Y43" s="3">
        <f t="shared" si="100"/>
        <v>439.3069998089602</v>
      </c>
      <c r="Z43" s="3">
        <f t="shared" si="100"/>
        <v>443.70006980704983</v>
      </c>
    </row>
    <row r="44" spans="1:26" x14ac:dyDescent="0.2">
      <c r="A44" t="s">
        <v>25</v>
      </c>
      <c r="B44" s="2">
        <f t="shared" ref="B44:M44" si="101">B41/B43/1000</f>
        <v>-0.20800986432972413</v>
      </c>
      <c r="C44" s="2">
        <f t="shared" si="101"/>
        <v>-0.22942645522255276</v>
      </c>
      <c r="D44" s="2">
        <f t="shared" si="101"/>
        <v>-0.22362687201695208</v>
      </c>
      <c r="E44" s="2">
        <f t="shared" si="101"/>
        <v>-0.22957023224412845</v>
      </c>
      <c r="F44" s="2">
        <f t="shared" si="101"/>
        <v>-0.25843311843962474</v>
      </c>
      <c r="G44" s="2">
        <f t="shared" si="101"/>
        <v>-0.23515067389733801</v>
      </c>
      <c r="H44" s="2">
        <f t="shared" si="101"/>
        <v>-0.27730360758375494</v>
      </c>
      <c r="I44" s="2">
        <f t="shared" si="101"/>
        <v>-0.26857947763384277</v>
      </c>
      <c r="J44" s="2">
        <f t="shared" si="101"/>
        <v>-0.27068577511938702</v>
      </c>
      <c r="K44" s="2">
        <f t="shared" si="101"/>
        <v>-0.22681637197723473</v>
      </c>
      <c r="L44" s="2">
        <f t="shared" si="101"/>
        <v>-0.2176033045640092</v>
      </c>
      <c r="M44" s="2">
        <f t="shared" si="101"/>
        <v>-0.21048569499359701</v>
      </c>
      <c r="O44" s="2">
        <f>O41/O43/1000</f>
        <v>-0.89095469823054285</v>
      </c>
      <c r="P44" s="2">
        <f t="shared" ref="P44:R44" si="102">P41/P43/1000</f>
        <v>-1.0396375805533054</v>
      </c>
      <c r="Q44" s="2">
        <f t="shared" si="102"/>
        <v>-0.92521257172101445</v>
      </c>
      <c r="R44" s="2">
        <f t="shared" si="102"/>
        <v>-0.84048720151567724</v>
      </c>
      <c r="S44" s="2">
        <f t="shared" ref="S44" si="103">S41/S43/1000</f>
        <v>-0.84461837040615872</v>
      </c>
      <c r="T44" s="2">
        <f t="shared" ref="T44" si="104">T41/T43/1000</f>
        <v>-0.45100428856226948</v>
      </c>
      <c r="U44" s="2">
        <f t="shared" ref="U44" si="105">U41/U43/1000</f>
        <v>-0.37534742530581888</v>
      </c>
      <c r="V44" s="2">
        <f t="shared" ref="V44" si="106">V41/V43/1000</f>
        <v>-0.31695599838131172</v>
      </c>
      <c r="W44" s="2">
        <f t="shared" ref="W44" si="107">W41/W43/1000</f>
        <v>-0.26121765778760375</v>
      </c>
      <c r="X44" s="2">
        <f t="shared" ref="X44" si="108">X41/X43/1000</f>
        <v>-0.20796029367031929</v>
      </c>
      <c r="Y44" s="2">
        <f t="shared" ref="Y44" si="109">Y41/Y43/1000</f>
        <v>-0.15702175314239653</v>
      </c>
      <c r="Z44" s="2">
        <f t="shared" ref="Z44" si="110">Z41/Z43/1000</f>
        <v>-0.10824924364835413</v>
      </c>
    </row>
    <row r="46" spans="1:26" x14ac:dyDescent="0.2">
      <c r="A46" t="s">
        <v>56</v>
      </c>
      <c r="H46">
        <f>104161+6896</f>
        <v>111057</v>
      </c>
      <c r="I46" s="4">
        <f>H46+I41</f>
        <v>3179.3815630781755</v>
      </c>
      <c r="J46" s="4">
        <f t="shared" ref="J46:M46" si="111">I46+J41</f>
        <v>-105979.14674286846</v>
      </c>
      <c r="K46" s="4">
        <f t="shared" si="111"/>
        <v>-197812.48048642516</v>
      </c>
      <c r="L46" s="4">
        <f t="shared" si="111"/>
        <v>-286268.04330315208</v>
      </c>
      <c r="M46" s="4">
        <f t="shared" si="111"/>
        <v>-372172.55277484527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domingos - 2023</dc:creator>
  <cp:lastModifiedBy>evan domingos - 2023</cp:lastModifiedBy>
  <dcterms:created xsi:type="dcterms:W3CDTF">2022-11-14T16:20:15Z</dcterms:created>
  <dcterms:modified xsi:type="dcterms:W3CDTF">2022-11-15T01:39:56Z</dcterms:modified>
</cp:coreProperties>
</file>