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49FC926E-ADB1-D545-BBAE-D3A160859565}" xr6:coauthVersionLast="47" xr6:coauthVersionMax="47" xr10:uidLastSave="{00000000-0000-0000-0000-000000000000}"/>
  <bookViews>
    <workbookView xWindow="0" yWindow="760" windowWidth="29040" windowHeight="15720" firstSheet="1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55" i="2" l="1"/>
  <c r="CG4" i="2"/>
  <c r="BA62" i="2"/>
  <c r="BA19" i="2"/>
  <c r="BA17" i="2"/>
  <c r="BB17" i="2" s="1"/>
  <c r="BC17" i="2" s="1"/>
  <c r="BD17" i="2" s="1"/>
  <c r="BE17" i="2" s="1"/>
  <c r="BF17" i="2" s="1"/>
  <c r="BG17" i="2" s="1"/>
  <c r="BB25" i="2"/>
  <c r="BA104" i="2"/>
  <c r="BA96" i="2"/>
  <c r="BA107" i="2" s="1"/>
  <c r="BA89" i="2"/>
  <c r="BA83" i="2"/>
  <c r="BA81" i="2" s="1"/>
  <c r="CA32" i="2"/>
  <c r="CC21" i="2"/>
  <c r="CB21" i="2"/>
  <c r="CA21" i="2"/>
  <c r="CC26" i="2"/>
  <c r="CB26" i="2"/>
  <c r="CA26" i="2"/>
  <c r="CC19" i="2"/>
  <c r="CB19" i="2"/>
  <c r="CA19" i="2"/>
  <c r="CA17" i="2"/>
  <c r="CB17" i="2"/>
  <c r="CC17" i="2"/>
  <c r="CF4" i="2"/>
  <c r="BZ55" i="2"/>
  <c r="CE67" i="2"/>
  <c r="CL4" i="2"/>
  <c r="CM4" i="2" s="1"/>
  <c r="CN4" i="2" s="1"/>
  <c r="CE59" i="2"/>
  <c r="CD59" i="2"/>
  <c r="CE58" i="2"/>
  <c r="CD58" i="2"/>
  <c r="CE56" i="2"/>
  <c r="CD56" i="2"/>
  <c r="CG43" i="2"/>
  <c r="CF43" i="2"/>
  <c r="CE43" i="2"/>
  <c r="CD4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D29" i="2"/>
  <c r="CE28" i="2"/>
  <c r="CD28" i="2"/>
  <c r="CE27" i="2"/>
  <c r="CD27" i="2"/>
  <c r="CE26" i="2"/>
  <c r="CD26" i="2"/>
  <c r="CE25" i="2"/>
  <c r="CD25" i="2"/>
  <c r="CE23" i="2"/>
  <c r="CD23" i="2"/>
  <c r="CE21" i="2"/>
  <c r="CD21" i="2"/>
  <c r="CE20" i="2"/>
  <c r="CD20" i="2"/>
  <c r="CE19" i="2"/>
  <c r="CD19" i="2"/>
  <c r="CE17" i="2"/>
  <c r="CD17" i="2"/>
  <c r="CE16" i="2"/>
  <c r="CD16" i="2"/>
  <c r="CE15" i="2"/>
  <c r="CD15" i="2"/>
  <c r="CE13" i="2"/>
  <c r="CD13" i="2"/>
  <c r="CE12" i="2"/>
  <c r="CD12" i="2"/>
  <c r="CD11" i="2"/>
  <c r="CE10" i="2"/>
  <c r="CD10" i="2"/>
  <c r="CE8" i="2"/>
  <c r="CD8" i="2"/>
  <c r="CE7" i="2"/>
  <c r="CD7" i="2"/>
  <c r="CE6" i="2"/>
  <c r="CD6" i="2"/>
  <c r="CD9" i="2"/>
  <c r="CG5" i="2"/>
  <c r="CF5" i="2"/>
  <c r="CE5" i="2"/>
  <c r="CD5" i="2"/>
  <c r="CD3" i="2"/>
  <c r="BB67" i="2"/>
  <c r="BC67" i="2" s="1"/>
  <c r="BD67" i="2" s="1"/>
  <c r="BE67" i="2" s="1"/>
  <c r="BF67" i="2" s="1"/>
  <c r="BG67" i="2" s="1"/>
  <c r="BD59" i="2"/>
  <c r="BC59" i="2"/>
  <c r="BG59" i="2" s="1"/>
  <c r="BB59" i="2"/>
  <c r="BF59" i="2" s="1"/>
  <c r="BE59" i="2"/>
  <c r="BD58" i="2"/>
  <c r="BC58" i="2"/>
  <c r="BG58" i="2" s="1"/>
  <c r="BB58" i="2"/>
  <c r="BF58" i="2" s="1"/>
  <c r="BF60" i="2" s="1"/>
  <c r="BA60" i="2"/>
  <c r="BB29" i="2"/>
  <c r="BC29" i="2" s="1"/>
  <c r="BD29" i="2" s="1"/>
  <c r="BA28" i="2"/>
  <c r="BB28" i="2" s="1"/>
  <c r="BC28" i="2" s="1"/>
  <c r="BD28" i="2" s="1"/>
  <c r="BB27" i="2"/>
  <c r="BC27" i="2" s="1"/>
  <c r="BD27" i="2" s="1"/>
  <c r="BB26" i="2"/>
  <c r="BB21" i="2"/>
  <c r="BC21" i="2" s="1"/>
  <c r="BD21" i="2" s="1"/>
  <c r="BB20" i="2"/>
  <c r="BC20" i="2" s="1"/>
  <c r="BD20" i="2" s="1"/>
  <c r="BE20" i="2" s="1"/>
  <c r="BF20" i="2" s="1"/>
  <c r="BG20" i="2" s="1"/>
  <c r="BB18" i="2"/>
  <c r="BC18" i="2" s="1"/>
  <c r="BD18" i="2" s="1"/>
  <c r="BE18" i="2" s="1"/>
  <c r="BF18" i="2" s="1"/>
  <c r="BG18" i="2" s="1"/>
  <c r="AR55" i="2"/>
  <c r="AT55" i="2"/>
  <c r="AS55" i="2"/>
  <c r="BG60" i="2" l="1"/>
  <c r="BC25" i="2"/>
  <c r="BD25" i="2" s="1"/>
  <c r="BA94" i="2"/>
  <c r="CB55" i="2"/>
  <c r="CB57" i="2" s="1"/>
  <c r="CC55" i="2"/>
  <c r="CC57" i="2" s="1"/>
  <c r="CF20" i="2"/>
  <c r="CG20" i="2"/>
  <c r="CH20" i="2" s="1"/>
  <c r="CI20" i="2" s="1"/>
  <c r="CJ20" i="2" s="1"/>
  <c r="CK20" i="2" s="1"/>
  <c r="CL20" i="2" s="1"/>
  <c r="CM20" i="2" s="1"/>
  <c r="CN20" i="2" s="1"/>
  <c r="BE58" i="2"/>
  <c r="BE60" i="2" s="1"/>
  <c r="CF67" i="2"/>
  <c r="CG67" i="2"/>
  <c r="CH67" i="2" s="1"/>
  <c r="CI67" i="2" s="1"/>
  <c r="CJ67" i="2" s="1"/>
  <c r="CK67" i="2" s="1"/>
  <c r="CL67" i="2" s="1"/>
  <c r="CM67" i="2" s="1"/>
  <c r="CN67" i="2" s="1"/>
  <c r="CF17" i="2"/>
  <c r="CF18" i="2"/>
  <c r="CE60" i="2"/>
  <c r="CD60" i="2"/>
  <c r="CG18" i="2"/>
  <c r="CH18" i="2" s="1"/>
  <c r="CI18" i="2" s="1"/>
  <c r="CJ18" i="2" s="1"/>
  <c r="CK18" i="2" s="1"/>
  <c r="CL18" i="2" s="1"/>
  <c r="CM18" i="2" s="1"/>
  <c r="CN18" i="2" s="1"/>
  <c r="CG59" i="2"/>
  <c r="BD60" i="2"/>
  <c r="BE28" i="2"/>
  <c r="BF28" i="2" s="1"/>
  <c r="BG28" i="2" s="1"/>
  <c r="CG28" i="2"/>
  <c r="BE29" i="2"/>
  <c r="BF29" i="2" s="1"/>
  <c r="BG29" i="2" s="1"/>
  <c r="CG29" i="2"/>
  <c r="CH29" i="2" s="1"/>
  <c r="CI29" i="2" s="1"/>
  <c r="CJ29" i="2" s="1"/>
  <c r="CK29" i="2" s="1"/>
  <c r="CL29" i="2" s="1"/>
  <c r="CM29" i="2" s="1"/>
  <c r="CN29" i="2" s="1"/>
  <c r="BE21" i="2"/>
  <c r="BF21" i="2" s="1"/>
  <c r="BG21" i="2" s="1"/>
  <c r="CG21" i="2"/>
  <c r="CH21" i="2" s="1"/>
  <c r="CI21" i="2" s="1"/>
  <c r="CJ21" i="2" s="1"/>
  <c r="CK21" i="2" s="1"/>
  <c r="CL21" i="2" s="1"/>
  <c r="CM21" i="2" s="1"/>
  <c r="CN21" i="2" s="1"/>
  <c r="BC26" i="2"/>
  <c r="BD26" i="2" s="1"/>
  <c r="BE27" i="2"/>
  <c r="BF27" i="2" s="1"/>
  <c r="BG27" i="2" s="1"/>
  <c r="CG27" i="2"/>
  <c r="CH27" i="2" s="1"/>
  <c r="CI27" i="2" s="1"/>
  <c r="CJ27" i="2" s="1"/>
  <c r="CK27" i="2" s="1"/>
  <c r="CL27" i="2" s="1"/>
  <c r="CM27" i="2" s="1"/>
  <c r="CN27" i="2" s="1"/>
  <c r="CF21" i="2"/>
  <c r="CF58" i="2"/>
  <c r="BB22" i="2"/>
  <c r="BC22" i="2" s="1"/>
  <c r="BD22" i="2" s="1"/>
  <c r="BB23" i="2"/>
  <c r="BC23" i="2" s="1"/>
  <c r="BD23" i="2" s="1"/>
  <c r="CF28" i="2"/>
  <c r="CF59" i="2"/>
  <c r="CF27" i="2"/>
  <c r="BB24" i="2"/>
  <c r="BC24" i="2" s="1"/>
  <c r="BD24" i="2" s="1"/>
  <c r="CF29" i="2"/>
  <c r="BB60" i="2"/>
  <c r="CG17" i="2"/>
  <c r="CH17" i="2" s="1"/>
  <c r="CI17" i="2" s="1"/>
  <c r="CJ17" i="2" s="1"/>
  <c r="CK17" i="2" s="1"/>
  <c r="CL17" i="2" s="1"/>
  <c r="CM17" i="2" s="1"/>
  <c r="CN17" i="2" s="1"/>
  <c r="BC60" i="2"/>
  <c r="BD16" i="2"/>
  <c r="BC16" i="2"/>
  <c r="BG16" i="2" s="1"/>
  <c r="BB16" i="2"/>
  <c r="BF16" i="2" s="1"/>
  <c r="BD15" i="2"/>
  <c r="BC15" i="2"/>
  <c r="BG15" i="2" s="1"/>
  <c r="BB15" i="2"/>
  <c r="BF15" i="2" s="1"/>
  <c r="CF15" i="2"/>
  <c r="AX55" i="2"/>
  <c r="AW55" i="2"/>
  <c r="AU24" i="2"/>
  <c r="CD24" i="2" s="1"/>
  <c r="AU22" i="2"/>
  <c r="CD22" i="2" s="1"/>
  <c r="AU18" i="2"/>
  <c r="CD18" i="2" s="1"/>
  <c r="AU14" i="2"/>
  <c r="AV130" i="2"/>
  <c r="AV122" i="2"/>
  <c r="AV121" i="2"/>
  <c r="AV124" i="2" s="1"/>
  <c r="AV118" i="2"/>
  <c r="AV104" i="2"/>
  <c r="AV96" i="2"/>
  <c r="AV89" i="2"/>
  <c r="AV83" i="2"/>
  <c r="AW104" i="2"/>
  <c r="AW96" i="2"/>
  <c r="AW107" i="2" s="1"/>
  <c r="AW89" i="2"/>
  <c r="AW83" i="2"/>
  <c r="AX104" i="2"/>
  <c r="AX96" i="2"/>
  <c r="AX89" i="2"/>
  <c r="AX83" i="2"/>
  <c r="AZ19" i="2"/>
  <c r="AY29" i="2"/>
  <c r="CE29" i="2" s="1"/>
  <c r="AY104" i="2"/>
  <c r="AY96" i="2"/>
  <c r="AY89" i="2"/>
  <c r="AY83" i="2"/>
  <c r="AY24" i="2"/>
  <c r="CE24" i="2" s="1"/>
  <c r="AY22" i="2"/>
  <c r="CE22" i="2" s="1"/>
  <c r="AY18" i="2"/>
  <c r="CE18" i="2" s="1"/>
  <c r="AY14" i="2"/>
  <c r="CE14" i="2" s="1"/>
  <c r="CE3" i="2"/>
  <c r="BE13" i="2"/>
  <c r="BD13" i="2"/>
  <c r="BC13" i="2"/>
  <c r="BB13" i="2"/>
  <c r="BG13" i="2" s="1"/>
  <c r="BD12" i="2"/>
  <c r="BC12" i="2"/>
  <c r="BG12" i="2" s="1"/>
  <c r="BB12" i="2"/>
  <c r="BF12" i="2" s="1"/>
  <c r="BD8" i="2"/>
  <c r="BD73" i="2" s="1"/>
  <c r="BC8" i="2"/>
  <c r="BG8" i="2" s="1"/>
  <c r="BG73" i="2" s="1"/>
  <c r="BB8" i="2"/>
  <c r="BB73" i="2" s="1"/>
  <c r="BD7" i="2"/>
  <c r="BC7" i="2"/>
  <c r="BG7" i="2" s="1"/>
  <c r="BG72" i="2" s="1"/>
  <c r="BB7" i="2"/>
  <c r="BF7" i="2" s="1"/>
  <c r="BF72" i="2" s="1"/>
  <c r="AZ73" i="2"/>
  <c r="AY73" i="2"/>
  <c r="AX73" i="2"/>
  <c r="AW73" i="2"/>
  <c r="AV73" i="2"/>
  <c r="AU73" i="2"/>
  <c r="AT73" i="2"/>
  <c r="AS73" i="2"/>
  <c r="AR73" i="2"/>
  <c r="AZ72" i="2"/>
  <c r="AY72" i="2"/>
  <c r="AX72" i="2"/>
  <c r="AW72" i="2"/>
  <c r="AV72" i="2"/>
  <c r="AU72" i="2"/>
  <c r="AT72" i="2"/>
  <c r="AS72" i="2"/>
  <c r="AR72" i="2"/>
  <c r="BD6" i="2"/>
  <c r="BC6" i="2"/>
  <c r="BG6" i="2" s="1"/>
  <c r="BG71" i="2" s="1"/>
  <c r="BB6" i="2"/>
  <c r="BF6" i="2" s="1"/>
  <c r="BF71" i="2" s="1"/>
  <c r="AY71" i="2"/>
  <c r="AX71" i="2"/>
  <c r="AW71" i="2"/>
  <c r="AV71" i="2"/>
  <c r="AU71" i="2"/>
  <c r="AT71" i="2"/>
  <c r="AS71" i="2"/>
  <c r="AR71" i="2"/>
  <c r="AZ71" i="2"/>
  <c r="BE25" i="2" l="1"/>
  <c r="BF25" i="2" s="1"/>
  <c r="BG25" i="2" s="1"/>
  <c r="CG25" i="2"/>
  <c r="CH25" i="2" s="1"/>
  <c r="CI25" i="2" s="1"/>
  <c r="CJ25" i="2" s="1"/>
  <c r="CK25" i="2" s="1"/>
  <c r="CL25" i="2" s="1"/>
  <c r="CM25" i="2" s="1"/>
  <c r="CN25" i="2" s="1"/>
  <c r="CF25" i="2"/>
  <c r="CF26" i="2"/>
  <c r="CF24" i="2"/>
  <c r="BE15" i="2"/>
  <c r="CG58" i="2"/>
  <c r="CF16" i="2"/>
  <c r="BE22" i="2"/>
  <c r="BF22" i="2" s="1"/>
  <c r="BG22" i="2" s="1"/>
  <c r="CG22" i="2"/>
  <c r="CH22" i="2" s="1"/>
  <c r="CI22" i="2" s="1"/>
  <c r="CJ22" i="2" s="1"/>
  <c r="CK22" i="2" s="1"/>
  <c r="CL22" i="2" s="1"/>
  <c r="CM22" i="2" s="1"/>
  <c r="CN22" i="2" s="1"/>
  <c r="CF23" i="2"/>
  <c r="BE23" i="2"/>
  <c r="BF23" i="2" s="1"/>
  <c r="BG23" i="2" s="1"/>
  <c r="CG23" i="2"/>
  <c r="CH23" i="2" s="1"/>
  <c r="CI23" i="2" s="1"/>
  <c r="CJ23" i="2" s="1"/>
  <c r="CK23" i="2" s="1"/>
  <c r="CL23" i="2" s="1"/>
  <c r="CM23" i="2" s="1"/>
  <c r="CN23" i="2" s="1"/>
  <c r="BE16" i="2"/>
  <c r="CG16" i="2" s="1"/>
  <c r="CH16" i="2" s="1"/>
  <c r="CI16" i="2" s="1"/>
  <c r="CJ16" i="2" s="1"/>
  <c r="CK16" i="2" s="1"/>
  <c r="CL16" i="2" s="1"/>
  <c r="CM16" i="2" s="1"/>
  <c r="CN16" i="2" s="1"/>
  <c r="BB10" i="2"/>
  <c r="BC10" i="2" s="1"/>
  <c r="BD10" i="2" s="1"/>
  <c r="BB14" i="2"/>
  <c r="BC14" i="2" s="1"/>
  <c r="CF22" i="2"/>
  <c r="BE26" i="2"/>
  <c r="BF26" i="2" s="1"/>
  <c r="BG26" i="2" s="1"/>
  <c r="BE6" i="2"/>
  <c r="BE71" i="2" s="1"/>
  <c r="CF6" i="2"/>
  <c r="BD71" i="2"/>
  <c r="BE24" i="2"/>
  <c r="BF24" i="2" s="1"/>
  <c r="BG24" i="2" s="1"/>
  <c r="CF60" i="2"/>
  <c r="BA72" i="2"/>
  <c r="CF7" i="2"/>
  <c r="BB19" i="2"/>
  <c r="BC19" i="2" s="1"/>
  <c r="BD19" i="2" s="1"/>
  <c r="BE8" i="2"/>
  <c r="BE73" i="2" s="1"/>
  <c r="CF8" i="2"/>
  <c r="AX81" i="2"/>
  <c r="AU55" i="2"/>
  <c r="CD14" i="2"/>
  <c r="BD72" i="2"/>
  <c r="BE12" i="2"/>
  <c r="CG12" i="2" s="1"/>
  <c r="CH12" i="2" s="1"/>
  <c r="CI12" i="2" s="1"/>
  <c r="CJ12" i="2" s="1"/>
  <c r="CK12" i="2" s="1"/>
  <c r="CL12" i="2" s="1"/>
  <c r="CM12" i="2" s="1"/>
  <c r="CN12" i="2" s="1"/>
  <c r="CF12" i="2"/>
  <c r="AW81" i="2"/>
  <c r="BF13" i="2"/>
  <c r="CG13" i="2" s="1"/>
  <c r="CH13" i="2" s="1"/>
  <c r="CI13" i="2" s="1"/>
  <c r="CJ13" i="2" s="1"/>
  <c r="CK13" i="2" s="1"/>
  <c r="CL13" i="2" s="1"/>
  <c r="CM13" i="2" s="1"/>
  <c r="CN13" i="2" s="1"/>
  <c r="CF13" i="2"/>
  <c r="CG15" i="2"/>
  <c r="CH15" i="2" s="1"/>
  <c r="CI15" i="2" s="1"/>
  <c r="CJ15" i="2" s="1"/>
  <c r="CK15" i="2" s="1"/>
  <c r="CL15" i="2" s="1"/>
  <c r="CM15" i="2" s="1"/>
  <c r="CN15" i="2" s="1"/>
  <c r="AY81" i="2"/>
  <c r="BC73" i="2"/>
  <c r="AY94" i="2"/>
  <c r="AV133" i="2"/>
  <c r="AY107" i="2"/>
  <c r="AX94" i="2"/>
  <c r="BC72" i="2"/>
  <c r="AW94" i="2"/>
  <c r="BA73" i="2"/>
  <c r="BF8" i="2"/>
  <c r="BF73" i="2" s="1"/>
  <c r="AX107" i="2"/>
  <c r="BB71" i="2"/>
  <c r="BB72" i="2"/>
  <c r="AV107" i="2"/>
  <c r="AV81" i="2"/>
  <c r="AV94" i="2"/>
  <c r="BE7" i="2"/>
  <c r="BE72" i="2" s="1"/>
  <c r="BA71" i="2"/>
  <c r="BC71" i="2"/>
  <c r="CG26" i="2" l="1"/>
  <c r="CH26" i="2" s="1"/>
  <c r="CI26" i="2" s="1"/>
  <c r="CJ26" i="2" s="1"/>
  <c r="CK26" i="2" s="1"/>
  <c r="CL26" i="2" s="1"/>
  <c r="CM26" i="2" s="1"/>
  <c r="CN26" i="2" s="1"/>
  <c r="CD55" i="2"/>
  <c r="CD57" i="2" s="1"/>
  <c r="CF19" i="2"/>
  <c r="CG6" i="2"/>
  <c r="CH6" i="2" s="1"/>
  <c r="CI6" i="2" s="1"/>
  <c r="CJ6" i="2" s="1"/>
  <c r="CK6" i="2" s="1"/>
  <c r="CL6" i="2" s="1"/>
  <c r="CM6" i="2" s="1"/>
  <c r="CN6" i="2" s="1"/>
  <c r="CG60" i="2"/>
  <c r="BE10" i="2"/>
  <c r="BF10" i="2" s="1"/>
  <c r="BG10" i="2" s="1"/>
  <c r="CF14" i="2"/>
  <c r="CG7" i="2"/>
  <c r="CH7" i="2" s="1"/>
  <c r="CI7" i="2" s="1"/>
  <c r="CJ7" i="2" s="1"/>
  <c r="CK7" i="2" s="1"/>
  <c r="CL7" i="2" s="1"/>
  <c r="CM7" i="2" s="1"/>
  <c r="CN7" i="2" s="1"/>
  <c r="CG8" i="2"/>
  <c r="CH8" i="2" s="1"/>
  <c r="CI8" i="2" s="1"/>
  <c r="CJ8" i="2" s="1"/>
  <c r="CK8" i="2" s="1"/>
  <c r="CL8" i="2" s="1"/>
  <c r="CM8" i="2" s="1"/>
  <c r="CN8" i="2" s="1"/>
  <c r="CF10" i="2"/>
  <c r="BE19" i="2"/>
  <c r="BF19" i="2" s="1"/>
  <c r="BG19" i="2" s="1"/>
  <c r="CG19" i="2" s="1"/>
  <c r="CH19" i="2" s="1"/>
  <c r="CI19" i="2" s="1"/>
  <c r="CJ19" i="2" s="1"/>
  <c r="CK19" i="2" s="1"/>
  <c r="CL19" i="2" s="1"/>
  <c r="CM19" i="2" s="1"/>
  <c r="CN19" i="2" s="1"/>
  <c r="BD14" i="2"/>
  <c r="CG24" i="2"/>
  <c r="CH24" i="2" s="1"/>
  <c r="CI24" i="2" s="1"/>
  <c r="CJ24" i="2" s="1"/>
  <c r="CK24" i="2" s="1"/>
  <c r="CL24" i="2" s="1"/>
  <c r="CM24" i="2" s="1"/>
  <c r="CN24" i="2" s="1"/>
  <c r="BC11" i="2"/>
  <c r="BB11" i="2"/>
  <c r="BF11" i="2" s="1"/>
  <c r="BE11" i="2"/>
  <c r="BC9" i="2"/>
  <c r="BG9" i="2" s="1"/>
  <c r="BB9" i="2"/>
  <c r="BF9" i="2" s="1"/>
  <c r="BD3" i="2"/>
  <c r="BC3" i="2"/>
  <c r="BB3" i="2"/>
  <c r="AZ127" i="2"/>
  <c r="AZ130" i="2" s="1"/>
  <c r="AZ121" i="2"/>
  <c r="AZ124" i="2" s="1"/>
  <c r="AZ118" i="2"/>
  <c r="AZ104" i="2"/>
  <c r="AZ96" i="2"/>
  <c r="AZ89" i="2"/>
  <c r="AZ83" i="2"/>
  <c r="AZ81" i="2" s="1"/>
  <c r="AY70" i="2"/>
  <c r="AX70" i="2"/>
  <c r="AW70" i="2"/>
  <c r="AV70" i="2"/>
  <c r="AU70" i="2"/>
  <c r="AT70" i="2"/>
  <c r="AS70" i="2"/>
  <c r="AR70" i="2"/>
  <c r="AZ70" i="2"/>
  <c r="AN60" i="2"/>
  <c r="AO60" i="2"/>
  <c r="AP60" i="2"/>
  <c r="AQ60" i="2"/>
  <c r="AR60" i="2"/>
  <c r="CF3" i="2" l="1"/>
  <c r="CD61" i="2"/>
  <c r="CD76" i="2"/>
  <c r="CG10" i="2"/>
  <c r="CH10" i="2" s="1"/>
  <c r="CI10" i="2" s="1"/>
  <c r="CJ10" i="2" s="1"/>
  <c r="CK10" i="2" s="1"/>
  <c r="CL10" i="2" s="1"/>
  <c r="CM10" i="2" s="1"/>
  <c r="CN10" i="2" s="1"/>
  <c r="BE9" i="2"/>
  <c r="BA55" i="2"/>
  <c r="BA57" i="2" s="1"/>
  <c r="BE14" i="2"/>
  <c r="BF14" i="2" s="1"/>
  <c r="BG14" i="2" s="1"/>
  <c r="AZ94" i="2"/>
  <c r="BC55" i="2"/>
  <c r="BB55" i="2"/>
  <c r="BD70" i="2"/>
  <c r="BG11" i="2"/>
  <c r="BF3" i="2"/>
  <c r="BB70" i="2"/>
  <c r="BA70" i="2"/>
  <c r="BG3" i="2"/>
  <c r="BC70" i="2"/>
  <c r="AZ133" i="2"/>
  <c r="BE3" i="2"/>
  <c r="AZ107" i="2"/>
  <c r="AS60" i="2"/>
  <c r="AW60" i="2"/>
  <c r="AX77" i="2"/>
  <c r="AW77" i="2"/>
  <c r="AQ55" i="2"/>
  <c r="AP55" i="2"/>
  <c r="AO55" i="2"/>
  <c r="AN55" i="2"/>
  <c r="AE54" i="2"/>
  <c r="AE55" i="2" s="1"/>
  <c r="Z54" i="2"/>
  <c r="Z55" i="2" s="1"/>
  <c r="AA54" i="2"/>
  <c r="AA55" i="2" s="1"/>
  <c r="V54" i="2"/>
  <c r="V55" i="2" s="1"/>
  <c r="AT60" i="2"/>
  <c r="AX60" i="2"/>
  <c r="AU60" i="2"/>
  <c r="AY60" i="2"/>
  <c r="AV60" i="2"/>
  <c r="AZ60" i="2"/>
  <c r="AY77" i="2"/>
  <c r="AV9" i="2"/>
  <c r="AZ9" i="2"/>
  <c r="CF9" i="2" s="1"/>
  <c r="AV11" i="2"/>
  <c r="CE11" i="2" s="1"/>
  <c r="AZ11" i="2"/>
  <c r="CG3" i="2" l="1"/>
  <c r="CH3" i="2" s="1"/>
  <c r="CI3" i="2" s="1"/>
  <c r="CG14" i="2"/>
  <c r="CH14" i="2" s="1"/>
  <c r="CI14" i="2" s="1"/>
  <c r="CJ14" i="2" s="1"/>
  <c r="CK14" i="2" s="1"/>
  <c r="CL14" i="2" s="1"/>
  <c r="CM14" i="2" s="1"/>
  <c r="CN14" i="2" s="1"/>
  <c r="BD11" i="2"/>
  <c r="CG11" i="2" s="1"/>
  <c r="CH11" i="2" s="1"/>
  <c r="CI11" i="2" s="1"/>
  <c r="CJ11" i="2" s="1"/>
  <c r="CK11" i="2" s="1"/>
  <c r="CL11" i="2" s="1"/>
  <c r="CM11" i="2" s="1"/>
  <c r="CN11" i="2" s="1"/>
  <c r="CF11" i="2"/>
  <c r="CF55" i="2" s="1"/>
  <c r="BB57" i="2"/>
  <c r="BB56" i="2" s="1"/>
  <c r="BB78" i="2"/>
  <c r="BB77" i="2"/>
  <c r="BA78" i="2"/>
  <c r="BA77" i="2"/>
  <c r="CE9" i="2"/>
  <c r="AV55" i="2"/>
  <c r="BC78" i="2"/>
  <c r="BC57" i="2"/>
  <c r="BC77" i="2"/>
  <c r="BG55" i="2"/>
  <c r="BG70" i="2"/>
  <c r="BE55" i="2"/>
  <c r="BE70" i="2"/>
  <c r="BC69" i="2"/>
  <c r="BA69" i="2"/>
  <c r="BB69" i="2"/>
  <c r="BF55" i="2"/>
  <c r="BF70" i="2"/>
  <c r="AZ55" i="2"/>
  <c r="BD9" i="2"/>
  <c r="AP78" i="2"/>
  <c r="AP77" i="2"/>
  <c r="AP57" i="2"/>
  <c r="AR69" i="2"/>
  <c r="AY78" i="2"/>
  <c r="AS57" i="2"/>
  <c r="AS76" i="2" s="1"/>
  <c r="AS69" i="2"/>
  <c r="AN78" i="2"/>
  <c r="AN57" i="2"/>
  <c r="AN77" i="2"/>
  <c r="AO78" i="2"/>
  <c r="AO77" i="2"/>
  <c r="AO57" i="2"/>
  <c r="AT57" i="2"/>
  <c r="AT61" i="2" s="1"/>
  <c r="AT63" i="2" s="1"/>
  <c r="AT65" i="2" s="1"/>
  <c r="AT66" i="2" s="1"/>
  <c r="AT69" i="2"/>
  <c r="AS78" i="2"/>
  <c r="AR77" i="2"/>
  <c r="AR57" i="2"/>
  <c r="AR78" i="2"/>
  <c r="AW69" i="2"/>
  <c r="AS77" i="2"/>
  <c r="AU69" i="2"/>
  <c r="AX69" i="2"/>
  <c r="AX78" i="2"/>
  <c r="AY69" i="2"/>
  <c r="AU57" i="2"/>
  <c r="AU76" i="2" s="1"/>
  <c r="AT77" i="2"/>
  <c r="AQ57" i="2"/>
  <c r="AQ78" i="2"/>
  <c r="AQ77" i="2"/>
  <c r="AT78" i="2"/>
  <c r="AU78" i="2"/>
  <c r="AW78" i="2"/>
  <c r="AU77" i="2"/>
  <c r="AY57" i="2"/>
  <c r="AY76" i="2" s="1"/>
  <c r="AX57" i="2"/>
  <c r="AX76" i="2" s="1"/>
  <c r="AW57" i="2"/>
  <c r="AW76" i="2" s="1"/>
  <c r="CB2" i="2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BT67" i="2"/>
  <c r="BT64" i="2"/>
  <c r="BT59" i="2"/>
  <c r="BT58" i="2"/>
  <c r="BT56" i="2"/>
  <c r="BU56" i="2"/>
  <c r="BU64" i="2"/>
  <c r="BS64" i="2"/>
  <c r="BR64" i="2"/>
  <c r="BU59" i="2"/>
  <c r="BU58" i="2"/>
  <c r="AM56" i="2"/>
  <c r="AM59" i="2"/>
  <c r="AM58" i="2"/>
  <c r="AL58" i="2"/>
  <c r="AL59" i="2"/>
  <c r="BV59" i="2" s="1"/>
  <c r="AH55" i="2"/>
  <c r="AH78" i="2" s="1"/>
  <c r="AL67" i="2"/>
  <c r="BV67" i="2" s="1"/>
  <c r="AL62" i="2"/>
  <c r="AL56" i="2"/>
  <c r="BU18" i="2"/>
  <c r="BT18" i="2"/>
  <c r="AM21" i="2"/>
  <c r="AL21" i="2"/>
  <c r="BV36" i="2"/>
  <c r="BU35" i="2"/>
  <c r="BU36" i="2"/>
  <c r="BU34" i="2"/>
  <c r="BU33" i="2"/>
  <c r="BU20" i="2"/>
  <c r="BU32" i="2"/>
  <c r="BU10" i="2"/>
  <c r="BU11" i="2"/>
  <c r="BU49" i="2"/>
  <c r="BU14" i="2"/>
  <c r="BU9" i="2"/>
  <c r="BU22" i="2"/>
  <c r="BU24" i="2"/>
  <c r="AL34" i="2"/>
  <c r="AM34" i="2" s="1"/>
  <c r="AL35" i="2"/>
  <c r="AM35" i="2" s="1"/>
  <c r="AL18" i="2"/>
  <c r="AM18" i="2" s="1"/>
  <c r="AL33" i="2"/>
  <c r="AM33" i="2" s="1"/>
  <c r="AL20" i="2"/>
  <c r="AM20" i="2" s="1"/>
  <c r="AL32" i="2"/>
  <c r="AM32" i="2" s="1"/>
  <c r="AL10" i="2"/>
  <c r="AM10" i="2" s="1"/>
  <c r="AL11" i="2"/>
  <c r="AM11" i="2" s="1"/>
  <c r="AL49" i="2"/>
  <c r="AM49" i="2" s="1"/>
  <c r="AL14" i="2"/>
  <c r="BV14" i="2" s="1"/>
  <c r="AL9" i="2"/>
  <c r="AM9" i="2" s="1"/>
  <c r="AL22" i="2"/>
  <c r="AM22" i="2" s="1"/>
  <c r="AL24" i="2"/>
  <c r="AM24" i="2" s="1"/>
  <c r="AF118" i="2"/>
  <c r="AG118" i="2" s="1"/>
  <c r="AH118" i="2" s="1"/>
  <c r="AF96" i="2"/>
  <c r="AF107" i="2" s="1"/>
  <c r="AF83" i="2"/>
  <c r="AF60" i="2"/>
  <c r="AF55" i="2"/>
  <c r="AF57" i="2" s="1"/>
  <c r="AG96" i="2"/>
  <c r="AG107" i="2" s="1"/>
  <c r="AG83" i="2"/>
  <c r="AG94" i="2" s="1"/>
  <c r="AH96" i="2"/>
  <c r="AH107" i="2" s="1"/>
  <c r="AH83" i="2"/>
  <c r="AH94" i="2" s="1"/>
  <c r="AH60" i="2"/>
  <c r="AJ55" i="2"/>
  <c r="AJ57" i="2" s="1"/>
  <c r="AJ76" i="2" s="1"/>
  <c r="AI55" i="2"/>
  <c r="AI77" i="2" s="1"/>
  <c r="AI96" i="2"/>
  <c r="AI107" i="2" s="1"/>
  <c r="AI83" i="2"/>
  <c r="AI94" i="2" s="1"/>
  <c r="AJ118" i="2"/>
  <c r="AK118" i="2" s="1"/>
  <c r="AJ96" i="2"/>
  <c r="AJ107" i="2" s="1"/>
  <c r="AJ83" i="2"/>
  <c r="AJ94" i="2" s="1"/>
  <c r="AK96" i="2"/>
  <c r="AK107" i="2" s="1"/>
  <c r="AK83" i="2"/>
  <c r="AI62" i="2"/>
  <c r="AI60" i="2"/>
  <c r="AJ62" i="2"/>
  <c r="AJ60" i="2"/>
  <c r="AG62" i="2"/>
  <c r="BU62" i="2" s="1"/>
  <c r="AG60" i="2"/>
  <c r="P55" i="2"/>
  <c r="AD55" i="2"/>
  <c r="AK62" i="2"/>
  <c r="AK60" i="2"/>
  <c r="AK21" i="2"/>
  <c r="AK55" i="2" s="1"/>
  <c r="CE55" i="2" l="1"/>
  <c r="CE77" i="2" s="1"/>
  <c r="CF77" i="2"/>
  <c r="CJ3" i="2"/>
  <c r="BG69" i="2"/>
  <c r="BG78" i="2"/>
  <c r="BG57" i="2"/>
  <c r="BG56" i="2" s="1"/>
  <c r="BG77" i="2"/>
  <c r="BE69" i="2"/>
  <c r="BE57" i="2"/>
  <c r="BE56" i="2" s="1"/>
  <c r="BE78" i="2"/>
  <c r="BE77" i="2"/>
  <c r="BC76" i="2"/>
  <c r="BC61" i="2"/>
  <c r="BC63" i="2" s="1"/>
  <c r="BC56" i="2"/>
  <c r="CF56" i="2" s="1"/>
  <c r="CF57" i="2" s="1"/>
  <c r="BD55" i="2"/>
  <c r="CG9" i="2"/>
  <c r="BB76" i="2"/>
  <c r="BB61" i="2"/>
  <c r="BB63" i="2" s="1"/>
  <c r="CE69" i="2"/>
  <c r="CE57" i="2"/>
  <c r="CE61" i="2" s="1"/>
  <c r="BF69" i="2"/>
  <c r="BF78" i="2"/>
  <c r="BF57" i="2"/>
  <c r="BF56" i="2" s="1"/>
  <c r="BF77" i="2"/>
  <c r="BA76" i="2"/>
  <c r="BA61" i="2"/>
  <c r="BA63" i="2" s="1"/>
  <c r="AX61" i="2"/>
  <c r="AX63" i="2" s="1"/>
  <c r="AX65" i="2" s="1"/>
  <c r="AX66" i="2" s="1"/>
  <c r="AW61" i="2"/>
  <c r="AW63" i="2" s="1"/>
  <c r="AW65" i="2" s="1"/>
  <c r="AW66" i="2" s="1"/>
  <c r="AS61" i="2"/>
  <c r="AS63" i="2" s="1"/>
  <c r="AS79" i="2" s="1"/>
  <c r="AT79" i="2"/>
  <c r="AO76" i="2"/>
  <c r="AO61" i="2"/>
  <c r="AO63" i="2" s="1"/>
  <c r="AN76" i="2"/>
  <c r="AN61" i="2"/>
  <c r="AN63" i="2" s="1"/>
  <c r="AP76" i="2"/>
  <c r="AP61" i="2"/>
  <c r="AP63" i="2" s="1"/>
  <c r="AT76" i="2"/>
  <c r="AY61" i="2"/>
  <c r="AY63" i="2" s="1"/>
  <c r="AY65" i="2" s="1"/>
  <c r="AY66" i="2" s="1"/>
  <c r="AQ76" i="2"/>
  <c r="AQ61" i="2"/>
  <c r="AQ63" i="2" s="1"/>
  <c r="AU61" i="2"/>
  <c r="AU63" i="2" s="1"/>
  <c r="AZ78" i="2"/>
  <c r="AZ77" i="2"/>
  <c r="AR76" i="2"/>
  <c r="AR61" i="2"/>
  <c r="AR63" i="2" s="1"/>
  <c r="AV57" i="2"/>
  <c r="AV69" i="2"/>
  <c r="AV77" i="2"/>
  <c r="AV78" i="2"/>
  <c r="AZ57" i="2"/>
  <c r="AZ69" i="2"/>
  <c r="BT60" i="2"/>
  <c r="BU60" i="2"/>
  <c r="BV58" i="2"/>
  <c r="BV60" i="2" s="1"/>
  <c r="BV62" i="2"/>
  <c r="BV22" i="2"/>
  <c r="BW22" i="2" s="1"/>
  <c r="BV18" i="2"/>
  <c r="AJ81" i="2"/>
  <c r="AH57" i="2"/>
  <c r="AH61" i="2" s="1"/>
  <c r="AM14" i="2"/>
  <c r="BV49" i="2"/>
  <c r="BV33" i="2"/>
  <c r="AM62" i="2"/>
  <c r="AK81" i="2"/>
  <c r="BV24" i="2"/>
  <c r="BW24" i="2" s="1"/>
  <c r="BV10" i="2"/>
  <c r="BV34" i="2"/>
  <c r="AL60" i="2"/>
  <c r="AM67" i="2"/>
  <c r="AM60" i="2"/>
  <c r="BV32" i="2"/>
  <c r="BV21" i="2"/>
  <c r="BV11" i="2"/>
  <c r="BW11" i="2" s="1"/>
  <c r="BX11" i="2" s="1"/>
  <c r="AF81" i="2"/>
  <c r="BV20" i="2"/>
  <c r="BV9" i="2"/>
  <c r="BW9" i="2" s="1"/>
  <c r="AL55" i="2"/>
  <c r="AL57" i="2" s="1"/>
  <c r="AL76" i="2" s="1"/>
  <c r="BV56" i="2"/>
  <c r="BV35" i="2"/>
  <c r="AH77" i="2"/>
  <c r="AH69" i="2"/>
  <c r="AF77" i="2"/>
  <c r="AJ77" i="2"/>
  <c r="AF76" i="2"/>
  <c r="AF61" i="2"/>
  <c r="AF63" i="2" s="1"/>
  <c r="AK77" i="2"/>
  <c r="AK78" i="2"/>
  <c r="AI78" i="2"/>
  <c r="AH81" i="2"/>
  <c r="AF78" i="2"/>
  <c r="AJ78" i="2"/>
  <c r="AK94" i="2"/>
  <c r="AF94" i="2"/>
  <c r="AG81" i="2"/>
  <c r="AI81" i="2"/>
  <c r="AI57" i="2"/>
  <c r="AI76" i="2" s="1"/>
  <c r="AJ61" i="2"/>
  <c r="AJ63" i="2" s="1"/>
  <c r="AJ79" i="2" s="1"/>
  <c r="AE96" i="2"/>
  <c r="AE107" i="2" s="1"/>
  <c r="AE83" i="2"/>
  <c r="AE94" i="2" s="1"/>
  <c r="AE60" i="2"/>
  <c r="CF69" i="2" l="1"/>
  <c r="CF61" i="2"/>
  <c r="CF63" i="2" s="1"/>
  <c r="CF76" i="2"/>
  <c r="CG55" i="2"/>
  <c r="CG57" i="2" s="1"/>
  <c r="CH9" i="2"/>
  <c r="CE76" i="2"/>
  <c r="CK3" i="2"/>
  <c r="BB64" i="2"/>
  <c r="BD77" i="2"/>
  <c r="BD57" i="2"/>
  <c r="BD56" i="2"/>
  <c r="CG56" i="2" s="1"/>
  <c r="BD78" i="2"/>
  <c r="BC64" i="2"/>
  <c r="BC79" i="2" s="1"/>
  <c r="AX79" i="2"/>
  <c r="BG76" i="2"/>
  <c r="BG61" i="2"/>
  <c r="BG63" i="2" s="1"/>
  <c r="BF76" i="2"/>
  <c r="BF61" i="2"/>
  <c r="BF63" i="2" s="1"/>
  <c r="BE76" i="2"/>
  <c r="BE61" i="2"/>
  <c r="BE63" i="2" s="1"/>
  <c r="BD69" i="2"/>
  <c r="BA79" i="2"/>
  <c r="AX74" i="2"/>
  <c r="AY79" i="2"/>
  <c r="AS65" i="2"/>
  <c r="AS66" i="2" s="1"/>
  <c r="AW74" i="2" s="1"/>
  <c r="AW79" i="2"/>
  <c r="AO65" i="2"/>
  <c r="AO66" i="2" s="1"/>
  <c r="AO79" i="2"/>
  <c r="AP79" i="2"/>
  <c r="AP65" i="2"/>
  <c r="AP66" i="2" s="1"/>
  <c r="AT74" i="2" s="1"/>
  <c r="AN65" i="2"/>
  <c r="AN66" i="2" s="1"/>
  <c r="AN79" i="2"/>
  <c r="AV76" i="2"/>
  <c r="AV61" i="2"/>
  <c r="AV63" i="2" s="1"/>
  <c r="AR79" i="2"/>
  <c r="AR65" i="2"/>
  <c r="AR66" i="2" s="1"/>
  <c r="AU65" i="2"/>
  <c r="AU66" i="2" s="1"/>
  <c r="AY74" i="2" s="1"/>
  <c r="AU79" i="2"/>
  <c r="AQ79" i="2"/>
  <c r="AQ65" i="2"/>
  <c r="AQ66" i="2" s="1"/>
  <c r="AZ61" i="2"/>
  <c r="AZ63" i="2" s="1"/>
  <c r="AZ76" i="2"/>
  <c r="AM55" i="2"/>
  <c r="AM69" i="2" s="1"/>
  <c r="AH76" i="2"/>
  <c r="BX9" i="2"/>
  <c r="AL77" i="2"/>
  <c r="AL78" i="2"/>
  <c r="AL69" i="2"/>
  <c r="AL61" i="2"/>
  <c r="AL63" i="2" s="1"/>
  <c r="AF65" i="2"/>
  <c r="AF66" i="2" s="1"/>
  <c r="AF79" i="2"/>
  <c r="AI61" i="2"/>
  <c r="AI63" i="2" s="1"/>
  <c r="AI79" i="2" s="1"/>
  <c r="AJ65" i="2"/>
  <c r="AJ66" i="2" s="1"/>
  <c r="AE81" i="2"/>
  <c r="BT34" i="2"/>
  <c r="BS34" i="2"/>
  <c r="BB79" i="2" l="1"/>
  <c r="CF64" i="2"/>
  <c r="CF79" i="2" s="1"/>
  <c r="AR74" i="2"/>
  <c r="CG61" i="2"/>
  <c r="CG63" i="2" s="1"/>
  <c r="BA65" i="2"/>
  <c r="BA66" i="2" s="1"/>
  <c r="BA74" i="2" s="1"/>
  <c r="CL3" i="2"/>
  <c r="CI9" i="2"/>
  <c r="CH55" i="2"/>
  <c r="CG69" i="2"/>
  <c r="CG77" i="2"/>
  <c r="BF64" i="2"/>
  <c r="BF79" i="2" s="1"/>
  <c r="BG64" i="2"/>
  <c r="BG79" i="2" s="1"/>
  <c r="BD76" i="2"/>
  <c r="BD61" i="2"/>
  <c r="BD63" i="2" s="1"/>
  <c r="BE64" i="2"/>
  <c r="BE79" i="2" s="1"/>
  <c r="BC65" i="2"/>
  <c r="BC66" i="2" s="1"/>
  <c r="BC74" i="2" s="1"/>
  <c r="BB65" i="2"/>
  <c r="BB66" i="2" s="1"/>
  <c r="BB74" i="2" s="1"/>
  <c r="AU74" i="2"/>
  <c r="AS74" i="2"/>
  <c r="AZ65" i="2"/>
  <c r="AZ79" i="2"/>
  <c r="AV65" i="2"/>
  <c r="AV79" i="2"/>
  <c r="AM78" i="2"/>
  <c r="AM77" i="2"/>
  <c r="AM57" i="2"/>
  <c r="AM61" i="2" s="1"/>
  <c r="AM63" i="2" s="1"/>
  <c r="AL64" i="2"/>
  <c r="AL65" i="2" s="1"/>
  <c r="AI65" i="2"/>
  <c r="AI66" i="2" s="1"/>
  <c r="BK77" i="2"/>
  <c r="BG65" i="2" l="1"/>
  <c r="BG66" i="2" s="1"/>
  <c r="CH57" i="2"/>
  <c r="CH76" i="2" s="1"/>
  <c r="CH56" i="2"/>
  <c r="CG76" i="2"/>
  <c r="CF65" i="2"/>
  <c r="CF66" i="2" s="1"/>
  <c r="CH58" i="2"/>
  <c r="CH69" i="2"/>
  <c r="CJ9" i="2"/>
  <c r="CI55" i="2"/>
  <c r="CM3" i="2"/>
  <c r="AM76" i="2"/>
  <c r="BD64" i="2"/>
  <c r="BB81" i="2"/>
  <c r="BC81" i="2" s="1"/>
  <c r="CF81" i="2" s="1"/>
  <c r="BE65" i="2"/>
  <c r="BE66" i="2" s="1"/>
  <c r="BE74" i="2" s="1"/>
  <c r="BG74" i="2"/>
  <c r="BF65" i="2"/>
  <c r="BF66" i="2" s="1"/>
  <c r="BF74" i="2" s="1"/>
  <c r="AV66" i="2"/>
  <c r="AV74" i="2" s="1"/>
  <c r="AV109" i="2"/>
  <c r="AZ66" i="2"/>
  <c r="AZ109" i="2"/>
  <c r="AM64" i="2"/>
  <c r="AM79" i="2" s="1"/>
  <c r="AL66" i="2"/>
  <c r="AL81" i="2"/>
  <c r="AL79" i="2"/>
  <c r="BV64" i="2"/>
  <c r="BR67" i="2"/>
  <c r="BR62" i="2"/>
  <c r="BR59" i="2"/>
  <c r="BR58" i="2"/>
  <c r="BS67" i="2"/>
  <c r="AD96" i="2"/>
  <c r="AD107" i="2" s="1"/>
  <c r="AD83" i="2"/>
  <c r="AD94" i="2" s="1"/>
  <c r="BT24" i="2"/>
  <c r="AD57" i="2"/>
  <c r="AD60" i="2"/>
  <c r="BT36" i="2"/>
  <c r="BW36" i="2" s="1"/>
  <c r="BX36" i="2" s="1"/>
  <c r="BY36" i="2" s="1"/>
  <c r="BW58" i="2"/>
  <c r="BW60" i="2" s="1"/>
  <c r="BW18" i="2"/>
  <c r="BX18" i="2" s="1"/>
  <c r="BT33" i="2"/>
  <c r="BW33" i="2" s="1"/>
  <c r="BX33" i="2" s="1"/>
  <c r="BY33" i="2" s="1"/>
  <c r="BT20" i="2"/>
  <c r="BW20" i="2" s="1"/>
  <c r="BX20" i="2" s="1"/>
  <c r="BT32" i="2"/>
  <c r="BW32" i="2" s="1"/>
  <c r="BX32" i="2" s="1"/>
  <c r="BY32" i="2" s="1"/>
  <c r="BT10" i="2"/>
  <c r="BW10" i="2" s="1"/>
  <c r="BX10" i="2" s="1"/>
  <c r="BT11" i="2"/>
  <c r="BT49" i="2"/>
  <c r="BW49" i="2" s="1"/>
  <c r="BT14" i="2"/>
  <c r="BW14" i="2" s="1"/>
  <c r="BT9" i="2"/>
  <c r="BT35" i="2"/>
  <c r="BT22" i="2"/>
  <c r="AC62" i="2"/>
  <c r="AC60" i="2"/>
  <c r="AB62" i="2"/>
  <c r="BW34" i="2"/>
  <c r="BX34" i="2" s="1"/>
  <c r="BY34" i="2" s="1"/>
  <c r="AB60" i="2"/>
  <c r="Z81" i="2"/>
  <c r="BQ21" i="2"/>
  <c r="BP21" i="2"/>
  <c r="BO21" i="2"/>
  <c r="BO55" i="2" s="1"/>
  <c r="BN21" i="2"/>
  <c r="BM21" i="2"/>
  <c r="BM55" i="2" s="1"/>
  <c r="BL21" i="2"/>
  <c r="Z60" i="2"/>
  <c r="BP60" i="2"/>
  <c r="BO60" i="2"/>
  <c r="BN60" i="2"/>
  <c r="BM60" i="2"/>
  <c r="BL60" i="2"/>
  <c r="BK60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BS36" i="2"/>
  <c r="BR36" i="2"/>
  <c r="BS59" i="2"/>
  <c r="BS58" i="2"/>
  <c r="BS18" i="2"/>
  <c r="BS33" i="2"/>
  <c r="BS20" i="2"/>
  <c r="BS32" i="2"/>
  <c r="BS10" i="2"/>
  <c r="BS11" i="2"/>
  <c r="BS49" i="2"/>
  <c r="BS14" i="2"/>
  <c r="BS9" i="2"/>
  <c r="BS35" i="2"/>
  <c r="BS24" i="2"/>
  <c r="Y62" i="2"/>
  <c r="BS62" i="2" s="1"/>
  <c r="Y60" i="2"/>
  <c r="X60" i="2"/>
  <c r="BS22" i="2"/>
  <c r="BR10" i="2"/>
  <c r="BQ10" i="2"/>
  <c r="BR33" i="2"/>
  <c r="BR20" i="2"/>
  <c r="BR47" i="2"/>
  <c r="BR32" i="2"/>
  <c r="BR11" i="2"/>
  <c r="BR49" i="2"/>
  <c r="BR14" i="2"/>
  <c r="BR9" i="2"/>
  <c r="BQ47" i="2"/>
  <c r="BQ32" i="2"/>
  <c r="BQ11" i="2"/>
  <c r="BQ49" i="2"/>
  <c r="BQ14" i="2"/>
  <c r="BP49" i="2"/>
  <c r="BP9" i="2"/>
  <c r="BP35" i="2"/>
  <c r="BQ9" i="2"/>
  <c r="BR35" i="2"/>
  <c r="BR24" i="2"/>
  <c r="BQ35" i="2"/>
  <c r="BP22" i="2"/>
  <c r="BQ22" i="2"/>
  <c r="BR22" i="2"/>
  <c r="V60" i="2"/>
  <c r="W60" i="2"/>
  <c r="BQ24" i="2"/>
  <c r="BQ20" i="2"/>
  <c r="BQ33" i="2"/>
  <c r="BQ37" i="2"/>
  <c r="BQ38" i="2"/>
  <c r="BR38" i="2" s="1"/>
  <c r="BQ43" i="2"/>
  <c r="BR43" i="2" s="1"/>
  <c r="BS43" i="2" s="1"/>
  <c r="BQ36" i="2"/>
  <c r="BQ45" i="2"/>
  <c r="BR45" i="2" s="1"/>
  <c r="BS45" i="2" s="1"/>
  <c r="BQ58" i="2"/>
  <c r="BQ59" i="2"/>
  <c r="BQ40" i="2"/>
  <c r="BR40" i="2" s="1"/>
  <c r="BQ42" i="2"/>
  <c r="BR42" i="2" s="1"/>
  <c r="BS42" i="2" s="1"/>
  <c r="BQ48" i="2"/>
  <c r="BR48" i="2" s="1"/>
  <c r="BS48" i="2" s="1"/>
  <c r="O37" i="2"/>
  <c r="P57" i="2"/>
  <c r="P61" i="2" s="1"/>
  <c r="P63" i="2" s="1"/>
  <c r="P79" i="2" s="1"/>
  <c r="N47" i="2"/>
  <c r="N36" i="2"/>
  <c r="P78" i="2"/>
  <c r="P77" i="2"/>
  <c r="BP24" i="2"/>
  <c r="J4" i="1"/>
  <c r="J7" i="1" s="1"/>
  <c r="C23" i="3"/>
  <c r="C22" i="3"/>
  <c r="C26" i="5"/>
  <c r="P67" i="2"/>
  <c r="BQ67" i="2" s="1"/>
  <c r="BK57" i="2"/>
  <c r="BK61" i="2" s="1"/>
  <c r="BK63" i="2" s="1"/>
  <c r="BK65" i="2" s="1"/>
  <c r="BK66" i="2" s="1"/>
  <c r="F48" i="2"/>
  <c r="G33" i="2"/>
  <c r="I9" i="2"/>
  <c r="I47" i="2"/>
  <c r="AA60" i="2"/>
  <c r="BD79" i="2" l="1"/>
  <c r="CG64" i="2"/>
  <c r="CG79" i="2" s="1"/>
  <c r="CI57" i="2"/>
  <c r="CI56" i="2"/>
  <c r="CN3" i="2"/>
  <c r="CK9" i="2"/>
  <c r="CJ55" i="2"/>
  <c r="CG65" i="2"/>
  <c r="CH77" i="2"/>
  <c r="CH60" i="2"/>
  <c r="CH61" i="2" s="1"/>
  <c r="CI58" i="2"/>
  <c r="CI69" i="2"/>
  <c r="BD65" i="2"/>
  <c r="BD66" i="2" s="1"/>
  <c r="BD74" i="2" s="1"/>
  <c r="AZ74" i="2"/>
  <c r="AM65" i="2"/>
  <c r="AM66" i="2" s="1"/>
  <c r="AM74" i="2" s="1"/>
  <c r="BQ60" i="2"/>
  <c r="BT62" i="2"/>
  <c r="BS55" i="2"/>
  <c r="BS77" i="2" s="1"/>
  <c r="BX14" i="2"/>
  <c r="BY14" i="2" s="1"/>
  <c r="BQ55" i="2"/>
  <c r="BQ77" i="2" s="1"/>
  <c r="BN55" i="2"/>
  <c r="BN77" i="2" s="1"/>
  <c r="BL55" i="2"/>
  <c r="BL77" i="2" s="1"/>
  <c r="BP55" i="2"/>
  <c r="BR55" i="2"/>
  <c r="AG55" i="2"/>
  <c r="O55" i="2"/>
  <c r="O78" i="2" s="1"/>
  <c r="BS60" i="2"/>
  <c r="AD76" i="2"/>
  <c r="AD61" i="2"/>
  <c r="AD63" i="2" s="1"/>
  <c r="P76" i="2"/>
  <c r="BM77" i="2"/>
  <c r="BM57" i="2"/>
  <c r="BM61" i="2" s="1"/>
  <c r="BM63" i="2" s="1"/>
  <c r="BM65" i="2" s="1"/>
  <c r="BM66" i="2" s="1"/>
  <c r="P65" i="2"/>
  <c r="P66" i="2" s="1"/>
  <c r="BO77" i="2"/>
  <c r="BO57" i="2"/>
  <c r="AD78" i="2"/>
  <c r="AD77" i="2"/>
  <c r="BX58" i="2"/>
  <c r="BR60" i="2"/>
  <c r="BU67" i="2"/>
  <c r="BW35" i="2"/>
  <c r="BX35" i="2" s="1"/>
  <c r="CJ57" i="2" l="1"/>
  <c r="CJ56" i="2"/>
  <c r="CI76" i="2"/>
  <c r="CG81" i="2"/>
  <c r="CG66" i="2"/>
  <c r="CL9" i="2"/>
  <c r="CK55" i="2"/>
  <c r="CI60" i="2"/>
  <c r="CI61" i="2" s="1"/>
  <c r="CI77" i="2"/>
  <c r="CJ58" i="2"/>
  <c r="CJ69" i="2"/>
  <c r="BD81" i="2"/>
  <c r="BE81" i="2" s="1"/>
  <c r="BF81" i="2" s="1"/>
  <c r="BG81" i="2" s="1"/>
  <c r="AM81" i="2"/>
  <c r="BL57" i="2"/>
  <c r="BL61" i="2" s="1"/>
  <c r="BL63" i="2" s="1"/>
  <c r="BL65" i="2" s="1"/>
  <c r="BL66" i="2" s="1"/>
  <c r="BL74" i="2" s="1"/>
  <c r="BO69" i="2"/>
  <c r="BN57" i="2"/>
  <c r="BN61" i="2" s="1"/>
  <c r="BN63" i="2" s="1"/>
  <c r="BN65" i="2" s="1"/>
  <c r="BN66" i="2" s="1"/>
  <c r="BN74" i="2" s="1"/>
  <c r="BW67" i="2"/>
  <c r="BX67" i="2" s="1"/>
  <c r="BY67" i="2" s="1"/>
  <c r="BZ67" i="2" s="1"/>
  <c r="BW21" i="2"/>
  <c r="BW55" i="2" s="1"/>
  <c r="BW77" i="2" s="1"/>
  <c r="BV55" i="2"/>
  <c r="BV57" i="2" s="1"/>
  <c r="BS69" i="2"/>
  <c r="AG78" i="2"/>
  <c r="AG57" i="2"/>
  <c r="AG76" i="2" s="1"/>
  <c r="AG77" i="2"/>
  <c r="O57" i="2"/>
  <c r="O61" i="2" s="1"/>
  <c r="O63" i="2" s="1"/>
  <c r="AH63" i="2"/>
  <c r="AH79" i="2" s="1"/>
  <c r="O77" i="2"/>
  <c r="AJ69" i="2"/>
  <c r="BP77" i="2"/>
  <c r="BP69" i="2"/>
  <c r="BP57" i="2"/>
  <c r="AD79" i="2"/>
  <c r="AD65" i="2"/>
  <c r="AD66" i="2" s="1"/>
  <c r="BQ69" i="2"/>
  <c r="BX24" i="2"/>
  <c r="BX60" i="2"/>
  <c r="BO76" i="2"/>
  <c r="BO61" i="2"/>
  <c r="BO63" i="2" s="1"/>
  <c r="BO65" i="2" s="1"/>
  <c r="BO66" i="2" s="1"/>
  <c r="BR77" i="2"/>
  <c r="BQ57" i="2"/>
  <c r="BR69" i="2"/>
  <c r="BX22" i="2"/>
  <c r="CK57" i="2" l="1"/>
  <c r="CK56" i="2" s="1"/>
  <c r="CJ77" i="2"/>
  <c r="CJ60" i="2"/>
  <c r="CJ61" i="2" s="1"/>
  <c r="CM9" i="2"/>
  <c r="CL55" i="2"/>
  <c r="CJ76" i="2"/>
  <c r="CK58" i="2"/>
  <c r="CK69" i="2"/>
  <c r="CH62" i="2"/>
  <c r="CH63" i="2" s="1"/>
  <c r="CH64" i="2" s="1"/>
  <c r="BO74" i="2"/>
  <c r="BM74" i="2"/>
  <c r="BV76" i="2"/>
  <c r="BV61" i="2"/>
  <c r="BV63" i="2" s="1"/>
  <c r="BX21" i="2"/>
  <c r="AG61" i="2"/>
  <c r="AG63" i="2" s="1"/>
  <c r="O76" i="2"/>
  <c r="O65" i="2"/>
  <c r="O66" i="2" s="1"/>
  <c r="O79" i="2"/>
  <c r="BY60" i="2"/>
  <c r="BP61" i="2"/>
  <c r="BP63" i="2" s="1"/>
  <c r="BP65" i="2" s="1"/>
  <c r="BP66" i="2" s="1"/>
  <c r="BP74" i="2" s="1"/>
  <c r="BP76" i="2"/>
  <c r="BV77" i="2"/>
  <c r="BQ61" i="2"/>
  <c r="BQ63" i="2" s="1"/>
  <c r="BQ64" i="2" s="1"/>
  <c r="BQ65" i="2" s="1"/>
  <c r="BQ66" i="2" s="1"/>
  <c r="BQ56" i="2"/>
  <c r="AH65" i="2"/>
  <c r="AH66" i="2" s="1"/>
  <c r="BW69" i="2"/>
  <c r="CL57" i="2" l="1"/>
  <c r="CL56" i="2" s="1"/>
  <c r="CH79" i="2"/>
  <c r="CK76" i="2"/>
  <c r="CK60" i="2"/>
  <c r="CK61" i="2" s="1"/>
  <c r="CK77" i="2"/>
  <c r="CL58" i="2"/>
  <c r="CL69" i="2"/>
  <c r="CN9" i="2"/>
  <c r="CN55" i="2" s="1"/>
  <c r="CM55" i="2"/>
  <c r="AH74" i="2"/>
  <c r="AL74" i="2"/>
  <c r="BX55" i="2"/>
  <c r="BX77" i="2" s="1"/>
  <c r="AG79" i="2"/>
  <c r="AG65" i="2"/>
  <c r="AG66" i="2" s="1"/>
  <c r="BV65" i="2"/>
  <c r="BQ74" i="2"/>
  <c r="CM57" i="2" l="1"/>
  <c r="CM56" i="2" s="1"/>
  <c r="CN57" i="2"/>
  <c r="CN56" i="2"/>
  <c r="CH65" i="2"/>
  <c r="CH66" i="2" s="1"/>
  <c r="CM58" i="2"/>
  <c r="CM69" i="2"/>
  <c r="CN58" i="2"/>
  <c r="CN69" i="2"/>
  <c r="CL76" i="2"/>
  <c r="CL60" i="2"/>
  <c r="CL61" i="2" s="1"/>
  <c r="CL77" i="2"/>
  <c r="CA60" i="2"/>
  <c r="BX57" i="2"/>
  <c r="BX61" i="2" s="1"/>
  <c r="BX63" i="2" s="1"/>
  <c r="BX69" i="2"/>
  <c r="BY55" i="2"/>
  <c r="BY77" i="2" s="1"/>
  <c r="AJ74" i="2"/>
  <c r="BV66" i="2"/>
  <c r="CH81" i="2" l="1"/>
  <c r="CI62" i="2" s="1"/>
  <c r="CI63" i="2" s="1"/>
  <c r="CI64" i="2" s="1"/>
  <c r="CN76" i="2"/>
  <c r="CN77" i="2"/>
  <c r="CN60" i="2"/>
  <c r="CN61" i="2" s="1"/>
  <c r="CM76" i="2"/>
  <c r="CM60" i="2"/>
  <c r="CM61" i="2" s="1"/>
  <c r="CM77" i="2"/>
  <c r="CB60" i="2"/>
  <c r="CB61" i="2" s="1"/>
  <c r="BX56" i="2"/>
  <c r="BY61" i="2"/>
  <c r="BY63" i="2" s="1"/>
  <c r="CA55" i="2"/>
  <c r="CA57" i="2" s="1"/>
  <c r="CA61" i="2" s="1"/>
  <c r="BZ77" i="2"/>
  <c r="BY69" i="2"/>
  <c r="CI79" i="2" l="1"/>
  <c r="CI65" i="2"/>
  <c r="CA77" i="2"/>
  <c r="CC60" i="2"/>
  <c r="CC61" i="2" s="1"/>
  <c r="BZ63" i="2"/>
  <c r="BZ69" i="2"/>
  <c r="BX64" i="2"/>
  <c r="BX65" i="2" s="1"/>
  <c r="CI66" i="2" l="1"/>
  <c r="CI81" i="2"/>
  <c r="CA69" i="2"/>
  <c r="BX66" i="2"/>
  <c r="CJ62" i="2" l="1"/>
  <c r="CJ63" i="2" s="1"/>
  <c r="CJ64" i="2" s="1"/>
  <c r="CA63" i="2"/>
  <c r="CB63" i="2"/>
  <c r="CB69" i="2"/>
  <c r="CB77" i="2"/>
  <c r="BY64" i="2"/>
  <c r="BY65" i="2" s="1"/>
  <c r="CJ79" i="2" l="1"/>
  <c r="CJ65" i="2"/>
  <c r="CB65" i="2"/>
  <c r="CB66" i="2" s="1"/>
  <c r="CC63" i="2"/>
  <c r="CC65" i="2" s="1"/>
  <c r="CC66" i="2" s="1"/>
  <c r="CC69" i="2"/>
  <c r="CC77" i="2"/>
  <c r="BY66" i="2"/>
  <c r="BY74" i="2" s="1"/>
  <c r="CJ66" i="2" l="1"/>
  <c r="CJ81" i="2"/>
  <c r="CC74" i="2"/>
  <c r="CE63" i="2"/>
  <c r="CE65" i="2" s="1"/>
  <c r="CE66" i="2" s="1"/>
  <c r="CD63" i="2"/>
  <c r="CD65" i="2" s="1"/>
  <c r="CD66" i="2" s="1"/>
  <c r="CD74" i="2" s="1"/>
  <c r="CD69" i="2"/>
  <c r="CD77" i="2"/>
  <c r="BZ65" i="2"/>
  <c r="CK62" i="2" l="1"/>
  <c r="CK63" i="2" s="1"/>
  <c r="CK64" i="2" s="1"/>
  <c r="CE74" i="2"/>
  <c r="BZ66" i="2"/>
  <c r="BZ74" i="2" s="1"/>
  <c r="CK79" i="2" l="1"/>
  <c r="CK65" i="2"/>
  <c r="CA65" i="2"/>
  <c r="CK66" i="2" l="1"/>
  <c r="CK81" i="2"/>
  <c r="CA66" i="2"/>
  <c r="CL62" i="2" l="1"/>
  <c r="CL63" i="2" s="1"/>
  <c r="CL64" i="2" s="1"/>
  <c r="CA74" i="2"/>
  <c r="CB74" i="2"/>
  <c r="CL79" i="2" l="1"/>
  <c r="CL65" i="2"/>
  <c r="L55" i="2"/>
  <c r="L78" i="2" s="1"/>
  <c r="CL66" i="2" l="1"/>
  <c r="CL81" i="2"/>
  <c r="L77" i="2"/>
  <c r="AK69" i="2"/>
  <c r="AK57" i="2"/>
  <c r="L57" i="2"/>
  <c r="CM62" i="2" l="1"/>
  <c r="CM63" i="2" s="1"/>
  <c r="CM64" i="2" s="1"/>
  <c r="AK76" i="2"/>
  <c r="AK61" i="2"/>
  <c r="AK63" i="2" s="1"/>
  <c r="AK79" i="2" s="1"/>
  <c r="L61" i="2"/>
  <c r="L63" i="2" s="1"/>
  <c r="L76" i="2"/>
  <c r="H55" i="2"/>
  <c r="H78" i="2" s="1"/>
  <c r="CM79" i="2" l="1"/>
  <c r="L65" i="2"/>
  <c r="L66" i="2" s="1"/>
  <c r="P74" i="2" s="1"/>
  <c r="L79" i="2"/>
  <c r="AK65" i="2"/>
  <c r="AK66" i="2" s="1"/>
  <c r="H77" i="2"/>
  <c r="H57" i="2"/>
  <c r="CM65" i="2" l="1"/>
  <c r="AK74" i="2"/>
  <c r="H61" i="2"/>
  <c r="H63" i="2" s="1"/>
  <c r="H76" i="2"/>
  <c r="CM66" i="2" l="1"/>
  <c r="CM81" i="2"/>
  <c r="H65" i="2"/>
  <c r="H66" i="2" s="1"/>
  <c r="L74" i="2" s="1"/>
  <c r="H79" i="2"/>
  <c r="I55" i="2"/>
  <c r="I77" i="2" s="1"/>
  <c r="CN62" i="2" l="1"/>
  <c r="CN63" i="2" s="1"/>
  <c r="CN64" i="2" s="1"/>
  <c r="I78" i="2"/>
  <c r="I57" i="2"/>
  <c r="CN79" i="2" l="1"/>
  <c r="I76" i="2"/>
  <c r="I61" i="2"/>
  <c r="I63" i="2" s="1"/>
  <c r="CN65" i="2" l="1"/>
  <c r="I79" i="2"/>
  <c r="I65" i="2"/>
  <c r="I66" i="2" s="1"/>
  <c r="G55" i="2"/>
  <c r="G78" i="2" s="1"/>
  <c r="CO65" i="2" l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CN66" i="2"/>
  <c r="CN81" i="2"/>
  <c r="G57" i="2"/>
  <c r="G77" i="2"/>
  <c r="CP82" i="2" l="1"/>
  <c r="CP83" i="2" s="1"/>
  <c r="G61" i="2"/>
  <c r="G63" i="2" s="1"/>
  <c r="G76" i="2"/>
  <c r="G79" i="2" l="1"/>
  <c r="G65" i="2"/>
  <c r="G66" i="2" s="1"/>
  <c r="K55" i="2"/>
  <c r="K78" i="2" s="1"/>
  <c r="K77" i="2" l="1"/>
  <c r="K57" i="2"/>
  <c r="K76" i="2" l="1"/>
  <c r="K61" i="2"/>
  <c r="K63" i="2" s="1"/>
  <c r="M55" i="2"/>
  <c r="M77" i="2" s="1"/>
  <c r="M57" i="2" l="1"/>
  <c r="M76" i="2" s="1"/>
  <c r="K65" i="2"/>
  <c r="K66" i="2" s="1"/>
  <c r="K79" i="2"/>
  <c r="M78" i="2"/>
  <c r="M61" i="2" l="1"/>
  <c r="M63" i="2" s="1"/>
  <c r="K74" i="2"/>
  <c r="O74" i="2"/>
  <c r="F55" i="2"/>
  <c r="F78" i="2" s="1"/>
  <c r="M79" i="2" l="1"/>
  <c r="M65" i="2"/>
  <c r="M66" i="2" s="1"/>
  <c r="F77" i="2"/>
  <c r="F57" i="2"/>
  <c r="M74" i="2" l="1"/>
  <c r="F61" i="2"/>
  <c r="F63" i="2" s="1"/>
  <c r="F76" i="2"/>
  <c r="F79" i="2" l="1"/>
  <c r="F65" i="2"/>
  <c r="F66" i="2" s="1"/>
  <c r="J55" i="2"/>
  <c r="J77" i="2" s="1"/>
  <c r="J78" i="2" l="1"/>
  <c r="J57" i="2"/>
  <c r="J76" i="2" l="1"/>
  <c r="J61" i="2"/>
  <c r="J63" i="2" s="1"/>
  <c r="J79" i="2" l="1"/>
  <c r="J65" i="2"/>
  <c r="J66" i="2" s="1"/>
  <c r="BW57" i="2"/>
  <c r="BW61" i="2" s="1"/>
  <c r="BW63" i="2" s="1"/>
  <c r="BW64" i="2" l="1"/>
  <c r="BW65" i="2" s="1"/>
  <c r="BW56" i="2"/>
  <c r="BW66" i="2" l="1"/>
  <c r="BX74" i="2" l="1"/>
  <c r="BW74" i="2"/>
  <c r="S21" i="2" l="1"/>
  <c r="S55" i="2" s="1"/>
  <c r="S57" i="2" s="1"/>
  <c r="U21" i="2"/>
  <c r="U55" i="2" s="1"/>
  <c r="T21" i="2"/>
  <c r="T55" i="2" s="1"/>
  <c r="T78" i="2" s="1"/>
  <c r="N21" i="2"/>
  <c r="N55" i="2" s="1"/>
  <c r="R21" i="2"/>
  <c r="R55" i="2" s="1"/>
  <c r="R78" i="2" s="1"/>
  <c r="Q21" i="2"/>
  <c r="Q55" i="2" s="1"/>
  <c r="Q57" i="2" s="1"/>
  <c r="Q78" i="2" l="1"/>
  <c r="Q77" i="2"/>
  <c r="R57" i="2"/>
  <c r="R76" i="2" s="1"/>
  <c r="N77" i="2"/>
  <c r="N78" i="2"/>
  <c r="N57" i="2"/>
  <c r="U57" i="2"/>
  <c r="U61" i="2" s="1"/>
  <c r="U63" i="2" s="1"/>
  <c r="U65" i="2" s="1"/>
  <c r="U66" i="2" s="1"/>
  <c r="U69" i="2"/>
  <c r="U77" i="2"/>
  <c r="U78" i="2"/>
  <c r="S61" i="2"/>
  <c r="S63" i="2" s="1"/>
  <c r="S65" i="2" s="1"/>
  <c r="S66" i="2" s="1"/>
  <c r="S74" i="2" s="1"/>
  <c r="Q61" i="2"/>
  <c r="Q63" i="2" s="1"/>
  <c r="Q76" i="2"/>
  <c r="T69" i="2"/>
  <c r="S77" i="2"/>
  <c r="R77" i="2"/>
  <c r="T77" i="2"/>
  <c r="S78" i="2"/>
  <c r="T57" i="2"/>
  <c r="T61" i="2" s="1"/>
  <c r="T63" i="2" s="1"/>
  <c r="T65" i="2" s="1"/>
  <c r="T66" i="2" s="1"/>
  <c r="T74" i="2" s="1"/>
  <c r="R61" i="2" l="1"/>
  <c r="R63" i="2" s="1"/>
  <c r="R79" i="2" s="1"/>
  <c r="Q65" i="2"/>
  <c r="Q66" i="2" s="1"/>
  <c r="Q74" i="2" s="1"/>
  <c r="Q79" i="2"/>
  <c r="N76" i="2"/>
  <c r="N61" i="2"/>
  <c r="N63" i="2" s="1"/>
  <c r="U74" i="2" l="1"/>
  <c r="R65" i="2"/>
  <c r="R66" i="2" s="1"/>
  <c r="N79" i="2"/>
  <c r="N65" i="2"/>
  <c r="N66" i="2" s="1"/>
  <c r="N74" i="2" s="1"/>
  <c r="R74" i="2" l="1"/>
  <c r="V69" i="2" l="1"/>
  <c r="V78" i="2"/>
  <c r="V77" i="2"/>
  <c r="V57" i="2"/>
  <c r="V61" i="2" s="1"/>
  <c r="V63" i="2" s="1"/>
  <c r="V65" i="2" s="1"/>
  <c r="V66" i="2" s="1"/>
  <c r="V74" i="2" s="1"/>
  <c r="BR57" i="2" l="1"/>
  <c r="BR76" i="2" s="1"/>
  <c r="BR56" i="2" l="1"/>
  <c r="BR61" i="2"/>
  <c r="BR63" i="2" s="1"/>
  <c r="BR65" i="2" s="1"/>
  <c r="BR66" i="2" s="1"/>
  <c r="BR74" i="2" s="1"/>
  <c r="AA78" i="2" l="1"/>
  <c r="AA77" i="2"/>
  <c r="AA57" i="2"/>
  <c r="AA76" i="2" l="1"/>
  <c r="AA61" i="2"/>
  <c r="AA63" i="2" s="1"/>
  <c r="AA65" i="2" l="1"/>
  <c r="AA79" i="2"/>
  <c r="AA81" i="2" l="1"/>
  <c r="AA66" i="2"/>
  <c r="Y54" i="2"/>
  <c r="Y55" i="2" s="1"/>
  <c r="Y78" i="2" s="1"/>
  <c r="Y57" i="2" l="1"/>
  <c r="Y77" i="2"/>
  <c r="Y69" i="2"/>
  <c r="Y61" i="2" l="1"/>
  <c r="Y63" i="2" s="1"/>
  <c r="Y76" i="2"/>
  <c r="Y65" i="2" l="1"/>
  <c r="Y66" i="2" s="1"/>
  <c r="Y74" i="2" s="1"/>
  <c r="Y79" i="2"/>
  <c r="Z57" i="2"/>
  <c r="Z61" i="2" s="1"/>
  <c r="Z63" i="2" s="1"/>
  <c r="Z69" i="2"/>
  <c r="AD69" i="2"/>
  <c r="Z77" i="2"/>
  <c r="Z78" i="2"/>
  <c r="Z65" i="2" l="1"/>
  <c r="Z66" i="2" s="1"/>
  <c r="Z79" i="2"/>
  <c r="Z76" i="2"/>
  <c r="Z74" i="2" l="1"/>
  <c r="AD74" i="2"/>
  <c r="BU21" i="2"/>
  <c r="BU55" i="2" s="1"/>
  <c r="BV69" i="2" l="1"/>
  <c r="BU57" i="2"/>
  <c r="BU77" i="2"/>
  <c r="AE78" i="2"/>
  <c r="AE77" i="2"/>
  <c r="AE69" i="2"/>
  <c r="AI69" i="2"/>
  <c r="AE57" i="2"/>
  <c r="AE76" i="2" l="1"/>
  <c r="AE61" i="2"/>
  <c r="AE63" i="2" s="1"/>
  <c r="BU76" i="2"/>
  <c r="BU61" i="2"/>
  <c r="BU63" i="2" s="1"/>
  <c r="BU65" i="2" s="1"/>
  <c r="BU66" i="2" l="1"/>
  <c r="AE79" i="2"/>
  <c r="AE65" i="2"/>
  <c r="AE66" i="2" s="1"/>
  <c r="BV74" i="2" l="1"/>
  <c r="AE74" i="2"/>
  <c r="AI74" i="2"/>
  <c r="W54" i="2"/>
  <c r="W55" i="2" s="1"/>
  <c r="W78" i="2" s="1"/>
  <c r="W57" i="2" l="1"/>
  <c r="W76" i="2" s="1"/>
  <c r="AA69" i="2"/>
  <c r="W77" i="2"/>
  <c r="W69" i="2"/>
  <c r="W61" i="2" l="1"/>
  <c r="W63" i="2" s="1"/>
  <c r="W79" i="2" s="1"/>
  <c r="W65" i="2" l="1"/>
  <c r="W66" i="2" s="1"/>
  <c r="W74" i="2" s="1"/>
  <c r="X54" i="2"/>
  <c r="X55" i="2" s="1"/>
  <c r="X78" i="2" s="1"/>
  <c r="AA74" i="2" l="1"/>
  <c r="X57" i="2"/>
  <c r="X76" i="2" s="1"/>
  <c r="X77" i="2"/>
  <c r="X69" i="2"/>
  <c r="BS57" i="2" l="1"/>
  <c r="BS76" i="2" s="1"/>
  <c r="X61" i="2"/>
  <c r="X63" i="2" s="1"/>
  <c r="BS56" i="2"/>
  <c r="BS61" i="2"/>
  <c r="BS63" i="2" s="1"/>
  <c r="BS65" i="2" s="1"/>
  <c r="BS66" i="2" s="1"/>
  <c r="BS74" i="2" s="1"/>
  <c r="AC54" i="2"/>
  <c r="AC55" i="2" s="1"/>
  <c r="AC69" i="2" s="1"/>
  <c r="X65" i="2" l="1"/>
  <c r="X66" i="2" s="1"/>
  <c r="X74" i="2" s="1"/>
  <c r="X79" i="2"/>
  <c r="AG69" i="2"/>
  <c r="AC57" i="2"/>
  <c r="AC77" i="2"/>
  <c r="AC78" i="2"/>
  <c r="AC61" i="2" l="1"/>
  <c r="AC63" i="2" s="1"/>
  <c r="AC76" i="2"/>
  <c r="AC65" i="2" l="1"/>
  <c r="AC66" i="2" s="1"/>
  <c r="AC79" i="2"/>
  <c r="AG74" i="2" l="1"/>
  <c r="AC74" i="2"/>
  <c r="BT21" i="2"/>
  <c r="BT55" i="2"/>
  <c r="BT57" i="2" s="1"/>
  <c r="AB54" i="2"/>
  <c r="AB55" i="2" s="1"/>
  <c r="AB57" i="2" s="1"/>
  <c r="AB76" i="2" l="1"/>
  <c r="AB61" i="2"/>
  <c r="AB63" i="2" s="1"/>
  <c r="AB65" i="2" s="1"/>
  <c r="AB66" i="2" s="1"/>
  <c r="AB78" i="2"/>
  <c r="BT61" i="2"/>
  <c r="BT63" i="2" s="1"/>
  <c r="BT65" i="2" s="1"/>
  <c r="BT66" i="2" s="1"/>
  <c r="BT76" i="2"/>
  <c r="AF74" i="2"/>
  <c r="AB74" i="2"/>
  <c r="BT69" i="2"/>
  <c r="BT77" i="2"/>
  <c r="BU69" i="2"/>
  <c r="AB69" i="2"/>
  <c r="AF69" i="2"/>
  <c r="AB77" i="2"/>
  <c r="AB79" i="2" l="1"/>
  <c r="BT74" i="2"/>
  <c r="BU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sharedStrings.xml><?xml version="1.0" encoding="utf-8"?>
<sst xmlns="http://schemas.openxmlformats.org/spreadsheetml/2006/main" count="686" uniqueCount="496">
  <si>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</si>
  <si>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</si>
  <si>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</si>
  <si>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</si>
  <si>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</si>
  <si>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</si>
  <si>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</si>
  <si>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</si>
  <si>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</si>
  <si>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</si>
  <si>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</si>
  <si>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</si>
  <si>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</si>
  <si>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</si>
  <si>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</si>
  <si>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</si>
  <si>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</si>
  <si>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</si>
  <si>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</si>
  <si>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</si>
  <si>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</si>
  <si>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</si>
  <si>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</si>
  <si>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</si>
  <si>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</si>
  <si>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</si>
  <si>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</si>
  <si>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</si>
  <si>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</si>
  <si>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</si>
  <si>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</si>
  <si>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</si>
  <si>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</si>
  <si>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</si>
  <si>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</si>
  <si>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</si>
  <si>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</si>
  <si>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</si>
  <si>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</si>
  <si>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</si>
  <si>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</si>
  <si>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</si>
  <si>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</si>
  <si>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</si>
  <si>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</si>
  <si>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</si>
  <si>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</si>
  <si>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</si>
  <si>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</si>
  <si>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</si>
  <si>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</si>
  <si>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</si>
  <si>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</si>
  <si>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</si>
  <si>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</si>
  <si>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</si>
  <si>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</si>
  <si>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</si>
  <si>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</si>
  <si>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</si>
  <si>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</si>
  <si>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</si>
  <si>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</si>
  <si>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</si>
  <si>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</si>
  <si>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</si>
  <si>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</si>
  <si>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</si>
  <si>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</si>
  <si>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</si>
  <si>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</si>
  <si>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</si>
  <si>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</si>
  <si>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</si>
  <si>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</si>
  <si>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</si>
  <si>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</si>
  <si>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</si>
  <si>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</si>
  <si>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</si>
  <si>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</si>
  <si>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</si>
  <si>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</si>
  <si>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</si>
  <si>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</si>
  <si>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</si>
  <si>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</si>
  <si>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</si>
  <si>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</si>
  <si>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</si>
  <si>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</si>
  <si>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</si>
  <si>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</si>
  <si>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</si>
  <si>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</si>
  <si>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</si>
  <si>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</si>
  <si>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</si>
  <si>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</si>
  <si>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</si>
  <si>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</si>
  <si>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</si>
  <si>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</si>
  <si>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</si>
  <si>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</si>
  <si>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</si>
  <si>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</si>
  <si>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</si>
  <si>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</si>
  <si>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</si>
  <si>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</si>
  <si>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</si>
  <si>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</si>
  <si>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</si>
  <si>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</si>
  <si>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</si>
  <si>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</si>
  <si>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</si>
  <si>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</si>
  <si>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</si>
  <si>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</si>
  <si>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</si>
  <si>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</si>
  <si>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</si>
  <si>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</si>
  <si>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</si>
  <si>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</si>
  <si>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</si>
  <si>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</si>
  <si>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</si>
  <si>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</si>
  <si>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</si>
  <si>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</si>
  <si>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</si>
  <si>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</si>
  <si>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</si>
  <si>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</si>
  <si>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</si>
  <si>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</si>
  <si>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</si>
  <si>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</si>
  <si>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</si>
  <si>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</si>
  <si>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</si>
  <si>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</si>
  <si>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</si>
  <si>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</si>
  <si>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</si>
  <si>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</si>
  <si>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</si>
  <si>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</si>
  <si>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</si>
  <si>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</si>
  <si>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</si>
  <si>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</si>
  <si>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</si>
  <si>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</si>
  <si>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</si>
  <si>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</si>
  <si>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</si>
  <si>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</si>
  <si>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</si>
  <si>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</si>
  <si>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</si>
  <si>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</si>
  <si>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</si>
  <si>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</si>
  <si>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</si>
  <si>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</si>
  <si>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</si>
  <si>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</si>
  <si>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</si>
  <si>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</si>
  <si>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</si>
  <si>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</si>
  <si>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</si>
  <si>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</si>
  <si>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</si>
  <si>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</si>
  <si>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</si>
  <si>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</si>
  <si>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</si>
  <si>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</si>
  <si>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</si>
  <si>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</si>
  <si>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</si>
  <si>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</si>
  <si>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</si>
  <si>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</si>
  <si>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</si>
  <si>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</si>
  <si>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</si>
  <si>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</si>
  <si>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</si>
  <si>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</si>
  <si>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</si>
  <si>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</si>
  <si>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</si>
  <si>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</si>
  <si>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</si>
  <si>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</si>
  <si>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</si>
  <si>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</si>
  <si>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</si>
  <si>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</si>
  <si>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</si>
  <si>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</si>
  <si>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</si>
  <si>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</si>
  <si>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</si>
  <si>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</si>
  <si>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</si>
  <si>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</si>
  <si>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</si>
  <si>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</si>
  <si>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</si>
  <si>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</si>
  <si>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</si>
  <si>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</si>
  <si>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</si>
  <si>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</si>
  <si>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</si>
  <si>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</si>
  <si>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</si>
  <si>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</si>
  <si>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</si>
  <si>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</si>
  <si>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</si>
  <si>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</si>
  <si>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</si>
  <si>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</si>
  <si>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</si>
  <si>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</si>
  <si>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</si>
  <si>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</si>
  <si>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</si>
  <si>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</si>
  <si>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</si>
  <si>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</si>
  <si>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</si>
  <si>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</si>
  <si>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</si>
  <si>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</si>
  <si>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</si>
  <si>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</si>
  <si>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</si>
  <si>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</si>
  <si>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</si>
  <si>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</si>
  <si>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</si>
  <si>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</si>
  <si>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</si>
  <si>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</si>
  <si>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</si>
  <si>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</si>
  <si>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</si>
  <si>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</si>
  <si>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</si>
  <si>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</si>
  <si>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</si>
  <si>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</si>
  <si>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</si>
  <si>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</si>
  <si>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</si>
  <si>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</si>
  <si>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</si>
  <si>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</si>
  <si>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</si>
  <si>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</si>
  <si>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</si>
  <si>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</si>
  <si>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</si>
  <si>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</si>
  <si>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</si>
  <si>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</si>
  <si>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</si>
  <si>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</si>
  <si>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</si>
  <si>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</si>
  <si>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</si>
  <si>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</si>
  <si>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</si>
  <si>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</si>
  <si>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</si>
  <si>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</si>
  <si>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</si>
  <si>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</si>
  <si>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</si>
  <si>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</si>
  <si>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</si>
  <si>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</si>
  <si>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</si>
  <si>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</si>
  <si>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</si>
  <si>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</si>
  <si>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</si>
  <si>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</si>
  <si>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</si>
  <si>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</si>
  <si>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</si>
  <si>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</si>
  <si>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</si>
  <si>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</si>
  <si>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</si>
  <si>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</si>
  <si>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</si>
  <si>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</si>
  <si>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</si>
  <si>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</si>
  <si>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</si>
  <si>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</si>
  <si>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</si>
  <si>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</si>
  <si>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</si>
  <si>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</si>
  <si>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</si>
  <si>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</si>
  <si>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</si>
  <si>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</si>
  <si>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</si>
  <si>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</si>
  <si>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</si>
  <si>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</si>
  <si>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</si>
  <si>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</si>
  <si>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</si>
  <si>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</si>
  <si>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</si>
  <si>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</si>
  <si>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Q122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</si>
  <si>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</si>
  <si>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</si>
  <si>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</si>
  <si>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</si>
  <si>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</si>
  <si>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</si>
  <si>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</si>
  <si>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</si>
  <si>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</si>
  <si>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</si>
  <si>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</si>
  <si>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</si>
  <si>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</si>
  <si>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</si>
  <si>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</si>
  <si>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</si>
  <si>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</si>
  <si>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</si>
  <si>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</si>
  <si>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</si>
  <si>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</si>
  <si>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</si>
  <si>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</si>
  <si>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</si>
  <si>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</si>
  <si>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</si>
  <si>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</si>
  <si>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</si>
  <si>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</si>
  <si>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</si>
  <si>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</si>
  <si>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</si>
  <si>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</si>
  <si>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</si>
  <si>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</si>
  <si>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</si>
  <si>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</si>
  <si>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</si>
  <si>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</si>
  <si>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</si>
  <si>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</si>
  <si>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</si>
  <si>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</si>
  <si>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</si>
  <si>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</si>
  <si>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</si>
  <si>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</si>
  <si>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</si>
  <si>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</si>
  <si>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</si>
  <si>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</si>
  <si>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</si>
  <si>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</si>
  <si>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</si>
  <si>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</si>
  <si>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</si>
  <si>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</si>
  <si>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</si>
  <si>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</si>
  <si>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</si>
  <si>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</si>
  <si>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</si>
  <si>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</si>
  <si>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</si>
  <si>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</si>
  <si>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</si>
  <si>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</si>
  <si>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</si>
  <si>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</si>
  <si>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</si>
  <si>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</si>
  <si>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</si>
  <si>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</si>
  <si>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</si>
  <si>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</si>
  <si>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</si>
  <si>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</si>
  <si>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</si>
  <si>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</si>
  <si>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</si>
  <si>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</si>
  <si>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</si>
  <si>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</si>
  <si>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</si>
  <si>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</si>
  <si>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</si>
  <si>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</si>
  <si>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</si>
  <si>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</si>
  <si>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</si>
  <si>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</si>
  <si>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</si>
  <si>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</si>
  <si>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</si>
  <si>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</si>
  <si>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</si>
  <si>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</si>
  <si>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</si>
  <si>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</si>
  <si>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</si>
  <si>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</si>
  <si>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</si>
  <si>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</si>
  <si>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</si>
  <si>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</si>
  <si>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</si>
  <si>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</si>
  <si>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tirzepatide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</si>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</sst>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9525</xdr:colOff>
      <xdr:row>0</xdr:row>
      <xdr:rowOff>0</xdr:rowOff>
    </xdr:from>
    <xdr:to>
      <xdr:col>53</xdr:col>
      <xdr:colOff>9525</xdr:colOff>
      <xdr:row>142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6079509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19050</xdr:colOff>
      <xdr:row>0</xdr:row>
      <xdr:rowOff>0</xdr:rowOff>
    </xdr:from>
    <xdr:to>
      <xdr:col>83</xdr:col>
      <xdr:colOff>19050</xdr:colOff>
      <xdr:row>101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B60" sqref="B60:D60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</cols>
  <sheetData>
    <row r="1" spans="1:8" x14ac:dyDescent="0.15">
      <c r="A1" s="13" t="s">
        <v>6</v>
      </c>
    </row>
    <row r="2" spans="1:8" x14ac:dyDescent="0.15">
      <c r="B2" s="38" t="s">
        <v>382</v>
      </c>
      <c r="C2" s="38" t="s">
        <v>383</v>
      </c>
      <c r="D2" s="38" t="s">
        <v>1</v>
      </c>
      <c r="E2" s="38" t="s">
        <v>385</v>
      </c>
      <c r="F2" s="38" t="s">
        <v>2</v>
      </c>
      <c r="G2" s="38" t="s">
        <v>359</v>
      </c>
      <c r="H2" s="38" t="s">
        <v>484</v>
      </c>
    </row>
    <row r="3" spans="1:8" x14ac:dyDescent="0.15">
      <c r="B3" s="38" t="s">
        <v>19</v>
      </c>
      <c r="C3" s="38" t="s">
        <v>229</v>
      </c>
      <c r="D3" s="38"/>
      <c r="E3" s="38"/>
      <c r="F3" s="38"/>
      <c r="G3" s="38"/>
    </row>
    <row r="4" spans="1:8" x14ac:dyDescent="0.15">
      <c r="B4" s="38" t="s">
        <v>280</v>
      </c>
      <c r="C4" s="38"/>
      <c r="D4" s="38"/>
      <c r="E4" s="38"/>
    </row>
    <row r="5" spans="1:8" x14ac:dyDescent="0.15">
      <c r="B5" s="38" t="s">
        <v>434</v>
      </c>
      <c r="C5" s="38" t="s">
        <v>453</v>
      </c>
      <c r="D5" s="38"/>
      <c r="E5" s="38"/>
    </row>
    <row r="6" spans="1:8" x14ac:dyDescent="0.15">
      <c r="B6" s="38" t="s">
        <v>461</v>
      </c>
      <c r="C6" s="38" t="s">
        <v>462</v>
      </c>
      <c r="D6" s="38"/>
      <c r="E6" s="38"/>
      <c r="F6" t="s">
        <v>277</v>
      </c>
    </row>
    <row r="7" spans="1:8" x14ac:dyDescent="0.15">
      <c r="B7" s="38" t="s">
        <v>14</v>
      </c>
      <c r="C7" s="38" t="s">
        <v>384</v>
      </c>
      <c r="D7" s="38" t="s">
        <v>386</v>
      </c>
      <c r="E7" s="38" t="s">
        <v>107</v>
      </c>
    </row>
    <row r="8" spans="1:8" x14ac:dyDescent="0.15">
      <c r="B8" s="38" t="s">
        <v>350</v>
      </c>
      <c r="C8" s="38"/>
      <c r="D8" s="38"/>
      <c r="E8" s="38"/>
    </row>
    <row r="9" spans="1:8" x14ac:dyDescent="0.15">
      <c r="B9" s="38" t="s">
        <v>263</v>
      </c>
      <c r="C9" s="38" t="s">
        <v>415</v>
      </c>
      <c r="D9" s="38" t="s">
        <v>93</v>
      </c>
      <c r="E9" s="38" t="s">
        <v>90</v>
      </c>
      <c r="F9" s="38" t="s">
        <v>416</v>
      </c>
    </row>
    <row r="10" spans="1:8" x14ac:dyDescent="0.15">
      <c r="B10" s="38" t="s">
        <v>355</v>
      </c>
      <c r="C10" s="38"/>
      <c r="D10" s="38"/>
      <c r="E10" s="38"/>
      <c r="F10" s="38"/>
    </row>
    <row r="11" spans="1:8" x14ac:dyDescent="0.15">
      <c r="B11" s="38" t="s">
        <v>17</v>
      </c>
      <c r="C11" s="38"/>
      <c r="D11" s="38" t="s">
        <v>111</v>
      </c>
      <c r="E11" s="38" t="s">
        <v>110</v>
      </c>
    </row>
    <row r="12" spans="1:8" x14ac:dyDescent="0.15">
      <c r="B12" s="38" t="s">
        <v>55</v>
      </c>
      <c r="C12" s="38" t="s">
        <v>417</v>
      </c>
      <c r="D12" s="38"/>
      <c r="E12" s="38"/>
    </row>
    <row r="13" spans="1:8" x14ac:dyDescent="0.15">
      <c r="B13" s="38" t="s">
        <v>482</v>
      </c>
      <c r="C13" s="38"/>
      <c r="D13" s="38"/>
      <c r="E13" s="38"/>
    </row>
    <row r="14" spans="1:8" x14ac:dyDescent="0.15">
      <c r="B14" s="38" t="s">
        <v>54</v>
      </c>
      <c r="C14" s="38"/>
      <c r="D14" s="38"/>
      <c r="E14" s="38"/>
    </row>
    <row r="15" spans="1:8" x14ac:dyDescent="0.15">
      <c r="B15" s="38" t="s">
        <v>57</v>
      </c>
      <c r="C15" s="38"/>
      <c r="D15" s="38"/>
      <c r="E15" s="38"/>
    </row>
    <row r="16" spans="1:8" x14ac:dyDescent="0.15">
      <c r="B16" s="38" t="s">
        <v>348</v>
      </c>
      <c r="C16" s="38"/>
      <c r="D16" s="38"/>
      <c r="E16" s="38"/>
    </row>
    <row r="17" spans="2:10" x14ac:dyDescent="0.15">
      <c r="B17" s="38" t="s">
        <v>387</v>
      </c>
      <c r="C17" s="38" t="s">
        <v>388</v>
      </c>
      <c r="D17" s="38" t="s">
        <v>389</v>
      </c>
      <c r="E17" s="38" t="s">
        <v>267</v>
      </c>
      <c r="F17" s="38" t="s">
        <v>268</v>
      </c>
    </row>
    <row r="18" spans="2:10" x14ac:dyDescent="0.15">
      <c r="B18" s="38" t="s">
        <v>420</v>
      </c>
      <c r="C18" s="38" t="s">
        <v>421</v>
      </c>
      <c r="D18" s="38" t="s">
        <v>240</v>
      </c>
      <c r="E18" s="38" t="s">
        <v>269</v>
      </c>
      <c r="F18" s="38" t="s">
        <v>270</v>
      </c>
    </row>
    <row r="19" spans="2:10" x14ac:dyDescent="0.15">
      <c r="B19" s="38" t="s">
        <v>398</v>
      </c>
      <c r="C19" s="38"/>
      <c r="D19" s="38"/>
      <c r="E19" s="38"/>
      <c r="F19" s="38"/>
      <c r="G19" s="21" t="s">
        <v>399</v>
      </c>
    </row>
    <row r="20" spans="2:10" x14ac:dyDescent="0.15">
      <c r="B20" s="38" t="s">
        <v>483</v>
      </c>
      <c r="C20" s="38"/>
      <c r="D20" s="38"/>
      <c r="E20" s="38"/>
      <c r="F20" s="38"/>
      <c r="G20" s="21"/>
      <c r="H20" s="38" t="s">
        <v>485</v>
      </c>
    </row>
    <row r="21" spans="2:10" x14ac:dyDescent="0.15">
      <c r="B21" s="38" t="s">
        <v>357</v>
      </c>
      <c r="C21" s="38"/>
      <c r="D21" s="38"/>
      <c r="E21" s="38"/>
      <c r="F21" s="38"/>
      <c r="G21" s="21"/>
    </row>
    <row r="22" spans="2:10" x14ac:dyDescent="0.15">
      <c r="B22" s="38" t="s">
        <v>435</v>
      </c>
      <c r="C22" s="38" t="s">
        <v>486</v>
      </c>
      <c r="D22" s="38" t="s">
        <v>433</v>
      </c>
      <c r="E22" s="38"/>
      <c r="F22" s="38"/>
      <c r="G22" s="21"/>
    </row>
    <row r="23" spans="2:10" x14ac:dyDescent="0.15">
      <c r="B23" s="38" t="s">
        <v>15</v>
      </c>
      <c r="C23" s="38" t="s">
        <v>390</v>
      </c>
      <c r="D23" s="38" t="s">
        <v>38</v>
      </c>
      <c r="J23" s="16"/>
    </row>
    <row r="24" spans="2:10" x14ac:dyDescent="0.15">
      <c r="B24" s="38" t="s">
        <v>41</v>
      </c>
      <c r="C24" s="38"/>
      <c r="D24" s="38" t="s">
        <v>394</v>
      </c>
    </row>
    <row r="25" spans="2:10" x14ac:dyDescent="0.15">
      <c r="B25" s="38" t="s">
        <v>423</v>
      </c>
      <c r="C25" s="38" t="s">
        <v>424</v>
      </c>
      <c r="D25" s="38" t="s">
        <v>240</v>
      </c>
      <c r="E25" s="38" t="s">
        <v>422</v>
      </c>
      <c r="F25" s="77">
        <v>1</v>
      </c>
    </row>
    <row r="26" spans="2:10" x14ac:dyDescent="0.15">
      <c r="B26" s="38" t="s">
        <v>479</v>
      </c>
      <c r="C26" s="38"/>
      <c r="D26" s="38"/>
      <c r="E26" s="38"/>
      <c r="F26" s="77"/>
    </row>
    <row r="27" spans="2:10" x14ac:dyDescent="0.15">
      <c r="B27" s="38" t="s">
        <v>445</v>
      </c>
      <c r="C27" s="38" t="s">
        <v>444</v>
      </c>
      <c r="D27" s="38" t="s">
        <v>36</v>
      </c>
      <c r="E27" s="38" t="s">
        <v>118</v>
      </c>
      <c r="F27" s="77"/>
    </row>
    <row r="28" spans="2:10" x14ac:dyDescent="0.15">
      <c r="B28" s="38" t="s">
        <v>349</v>
      </c>
      <c r="C28" s="38"/>
      <c r="D28" s="38"/>
      <c r="E28" s="38"/>
      <c r="F28" s="77"/>
    </row>
    <row r="29" spans="2:10" x14ac:dyDescent="0.15">
      <c r="B29" s="38" t="s">
        <v>396</v>
      </c>
      <c r="C29" s="38"/>
      <c r="D29" s="38"/>
      <c r="G29" s="21" t="s">
        <v>397</v>
      </c>
    </row>
    <row r="30" spans="2:10" x14ac:dyDescent="0.15">
      <c r="B30" s="38" t="s">
        <v>7</v>
      </c>
      <c r="C30" s="38" t="s">
        <v>85</v>
      </c>
      <c r="D30" s="38" t="s">
        <v>391</v>
      </c>
      <c r="E30" s="38" t="s">
        <v>392</v>
      </c>
      <c r="G30" s="21" t="s">
        <v>395</v>
      </c>
    </row>
    <row r="32" spans="2:10" x14ac:dyDescent="0.15">
      <c r="J32" s="21"/>
    </row>
    <row r="39" spans="2:8" x14ac:dyDescent="0.15">
      <c r="B39" s="38" t="s">
        <v>382</v>
      </c>
      <c r="C39" s="38" t="s">
        <v>383</v>
      </c>
      <c r="D39" s="38" t="s">
        <v>1</v>
      </c>
      <c r="E39" s="38" t="s">
        <v>385</v>
      </c>
      <c r="F39" s="38" t="s">
        <v>2</v>
      </c>
      <c r="G39" s="38" t="s">
        <v>5</v>
      </c>
      <c r="H39" s="38" t="s">
        <v>457</v>
      </c>
    </row>
    <row r="40" spans="2:8" x14ac:dyDescent="0.15">
      <c r="B40" s="38"/>
      <c r="C40" s="38" t="s">
        <v>465</v>
      </c>
      <c r="D40" s="38" t="s">
        <v>120</v>
      </c>
      <c r="E40" s="38" t="s">
        <v>467</v>
      </c>
      <c r="F40" s="38"/>
      <c r="G40" s="38"/>
      <c r="H40" s="38"/>
    </row>
    <row r="41" spans="2:8" x14ac:dyDescent="0.15">
      <c r="C41" s="38" t="s">
        <v>384</v>
      </c>
      <c r="D41" s="38" t="s">
        <v>39</v>
      </c>
    </row>
    <row r="42" spans="2:8" x14ac:dyDescent="0.15">
      <c r="C42" s="38" t="s">
        <v>49</v>
      </c>
      <c r="D42" s="38" t="s">
        <v>121</v>
      </c>
      <c r="E42" s="38" t="s">
        <v>436</v>
      </c>
    </row>
    <row r="43" spans="2:8" x14ac:dyDescent="0.15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15">
      <c r="C44" s="38" t="s">
        <v>322</v>
      </c>
      <c r="D44" s="38" t="s">
        <v>37</v>
      </c>
      <c r="E44" s="38" t="s">
        <v>193</v>
      </c>
    </row>
    <row r="45" spans="2:8" x14ac:dyDescent="0.15">
      <c r="B45" s="38"/>
      <c r="C45" s="38" t="s">
        <v>323</v>
      </c>
      <c r="D45" s="71" t="s">
        <v>325</v>
      </c>
      <c r="E45" s="71" t="s">
        <v>324</v>
      </c>
      <c r="F45" s="70">
        <v>1</v>
      </c>
      <c r="G45" s="71" t="s">
        <v>47</v>
      </c>
    </row>
    <row r="46" spans="2:8" x14ac:dyDescent="0.15">
      <c r="B46" s="38" t="s">
        <v>403</v>
      </c>
    </row>
    <row r="47" spans="2:8" x14ac:dyDescent="0.15">
      <c r="B47" s="38" t="s">
        <v>412</v>
      </c>
      <c r="D47" t="s">
        <v>120</v>
      </c>
      <c r="E47" s="38" t="s">
        <v>411</v>
      </c>
    </row>
    <row r="48" spans="2:8" x14ac:dyDescent="0.15">
      <c r="B48" s="38" t="s">
        <v>404</v>
      </c>
    </row>
    <row r="49" spans="2:8" x14ac:dyDescent="0.15">
      <c r="B49" s="38" t="s">
        <v>405</v>
      </c>
    </row>
    <row r="50" spans="2:8" x14ac:dyDescent="0.15">
      <c r="C50" s="38" t="s">
        <v>456</v>
      </c>
      <c r="H50" t="s">
        <v>458</v>
      </c>
    </row>
    <row r="51" spans="2:8" x14ac:dyDescent="0.15">
      <c r="B51" s="38" t="s">
        <v>406</v>
      </c>
    </row>
    <row r="52" spans="2:8" x14ac:dyDescent="0.15">
      <c r="B52" s="38" t="s">
        <v>407</v>
      </c>
    </row>
    <row r="53" spans="2:8" x14ac:dyDescent="0.15">
      <c r="B53" s="38"/>
      <c r="C53" t="s">
        <v>459</v>
      </c>
      <c r="G53" t="s">
        <v>460</v>
      </c>
    </row>
    <row r="54" spans="2:8" x14ac:dyDescent="0.15">
      <c r="B54" s="38" t="s">
        <v>408</v>
      </c>
    </row>
    <row r="55" spans="2:8" x14ac:dyDescent="0.15">
      <c r="B55" s="38"/>
      <c r="C55" s="38" t="s">
        <v>410</v>
      </c>
    </row>
    <row r="56" spans="2:8" x14ac:dyDescent="0.15">
      <c r="B56" s="38"/>
      <c r="C56" t="s">
        <v>402</v>
      </c>
    </row>
    <row r="57" spans="2:8" x14ac:dyDescent="0.15">
      <c r="B57" s="38"/>
      <c r="C57" t="s">
        <v>466</v>
      </c>
      <c r="D57" t="s">
        <v>120</v>
      </c>
      <c r="E57" t="s">
        <v>467</v>
      </c>
    </row>
    <row r="58" spans="2:8" x14ac:dyDescent="0.15">
      <c r="B58" s="38" t="s">
        <v>239</v>
      </c>
      <c r="C58" t="s">
        <v>446</v>
      </c>
      <c r="D58" t="s">
        <v>447</v>
      </c>
      <c r="E58" t="s">
        <v>448</v>
      </c>
    </row>
    <row r="59" spans="2:8" x14ac:dyDescent="0.15">
      <c r="C59" s="38" t="s">
        <v>409</v>
      </c>
    </row>
    <row r="60" spans="2:8" x14ac:dyDescent="0.15">
      <c r="B60" s="5" t="s">
        <v>160</v>
      </c>
      <c r="C60" s="6" t="s">
        <v>159</v>
      </c>
      <c r="D60" s="6" t="s">
        <v>491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3" width="23.33203125" style="1" customWidth="1"/>
    <col min="4" max="5" width="12.1640625" style="1" customWidth="1"/>
    <col min="6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55</v>
      </c>
    </row>
    <row r="3" spans="1:3" x14ac:dyDescent="0.15">
      <c r="B3" s="1" t="s">
        <v>48</v>
      </c>
      <c r="C3" s="1" t="s">
        <v>135</v>
      </c>
    </row>
    <row r="4" spans="1:3" x14ac:dyDescent="0.15">
      <c r="B4" s="1" t="s">
        <v>1</v>
      </c>
    </row>
    <row r="5" spans="1:3" x14ac:dyDescent="0.15">
      <c r="B5" s="1" t="s">
        <v>51</v>
      </c>
    </row>
    <row r="6" spans="1:3" x14ac:dyDescent="0.15">
      <c r="B6" s="1" t="s">
        <v>137</v>
      </c>
    </row>
    <row r="7" spans="1:3" x14ac:dyDescent="0.15">
      <c r="B7" s="1" t="s">
        <v>4</v>
      </c>
      <c r="C7" s="1" t="s">
        <v>221</v>
      </c>
    </row>
    <row r="8" spans="1:3" x14ac:dyDescent="0.15">
      <c r="B8" s="1" t="s">
        <v>2</v>
      </c>
    </row>
    <row r="9" spans="1:3" x14ac:dyDescent="0.15">
      <c r="B9" s="1" t="s">
        <v>136</v>
      </c>
    </row>
    <row r="10" spans="1:3" x14ac:dyDescent="0.15">
      <c r="C10" s="16" t="s">
        <v>217</v>
      </c>
    </row>
    <row r="11" spans="1:3" x14ac:dyDescent="0.15">
      <c r="C11" s="1" t="s">
        <v>218</v>
      </c>
    </row>
    <row r="12" spans="1:3" x14ac:dyDescent="0.15">
      <c r="C12" s="1" t="s">
        <v>219</v>
      </c>
    </row>
    <row r="16" spans="1:3" x14ac:dyDescent="0.15">
      <c r="C16" s="16" t="s">
        <v>158</v>
      </c>
    </row>
    <row r="17" spans="3:6" ht="14" thickBot="1" x14ac:dyDescent="0.2"/>
    <row r="18" spans="3:6" x14ac:dyDescent="0.15">
      <c r="C18" s="26"/>
      <c r="D18" s="24" t="s">
        <v>55</v>
      </c>
      <c r="E18" s="24" t="s">
        <v>138</v>
      </c>
      <c r="F18" s="24" t="s">
        <v>148</v>
      </c>
    </row>
    <row r="19" spans="3:6" x14ac:dyDescent="0.15">
      <c r="C19" s="27" t="s">
        <v>157</v>
      </c>
      <c r="D19" s="22">
        <v>63</v>
      </c>
      <c r="E19" s="22">
        <v>63</v>
      </c>
      <c r="F19" s="22"/>
    </row>
    <row r="20" spans="3:6" x14ac:dyDescent="0.1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1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15">
      <c r="D22" s="6"/>
      <c r="E22" s="6"/>
      <c r="F22" s="6"/>
    </row>
    <row r="23" spans="3:6" x14ac:dyDescent="0.15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15">
      <c r="C24" s="1" t="s">
        <v>142</v>
      </c>
      <c r="D24" s="11">
        <v>0.46</v>
      </c>
      <c r="E24" s="11">
        <v>0.28999999999999998</v>
      </c>
      <c r="F24" s="6"/>
    </row>
    <row r="25" spans="3:6" x14ac:dyDescent="0.15">
      <c r="C25" s="1" t="s">
        <v>143</v>
      </c>
      <c r="D25" s="11">
        <v>0.24</v>
      </c>
      <c r="E25" s="11">
        <v>0.05</v>
      </c>
      <c r="F25" s="6"/>
    </row>
    <row r="26" spans="3:6" x14ac:dyDescent="0.15">
      <c r="C26" s="1" t="s">
        <v>144</v>
      </c>
      <c r="D26" s="11">
        <v>0.18</v>
      </c>
      <c r="E26" s="11">
        <v>0.02</v>
      </c>
      <c r="F26" s="6"/>
    </row>
    <row r="27" spans="3:6" x14ac:dyDescent="0.15">
      <c r="C27" s="1" t="s">
        <v>145</v>
      </c>
      <c r="D27" s="6" t="s">
        <v>150</v>
      </c>
      <c r="E27" s="6" t="s">
        <v>152</v>
      </c>
      <c r="F27" s="6"/>
    </row>
    <row r="28" spans="3:6" x14ac:dyDescent="0.15">
      <c r="D28" s="6"/>
      <c r="E28" s="6"/>
      <c r="F28" s="6"/>
    </row>
    <row r="29" spans="3:6" x14ac:dyDescent="0.15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4" thickBot="1" x14ac:dyDescent="0.2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</cols>
  <sheetData>
    <row r="1" spans="1:3" x14ac:dyDescent="0.15">
      <c r="A1" s="13" t="s">
        <v>6</v>
      </c>
      <c r="B1" s="13"/>
    </row>
    <row r="2" spans="1:3" x14ac:dyDescent="0.15">
      <c r="A2" s="13"/>
      <c r="B2" t="s">
        <v>50</v>
      </c>
      <c r="C2" t="s">
        <v>19</v>
      </c>
    </row>
    <row r="3" spans="1:3" x14ac:dyDescent="0.15">
      <c r="A3" s="13"/>
      <c r="B3" t="s">
        <v>48</v>
      </c>
      <c r="C3" t="s">
        <v>229</v>
      </c>
    </row>
    <row r="4" spans="1:3" x14ac:dyDescent="0.15">
      <c r="A4" s="13"/>
      <c r="B4" t="s">
        <v>4</v>
      </c>
      <c r="C4" s="38" t="s">
        <v>256</v>
      </c>
    </row>
    <row r="5" spans="1:3" x14ac:dyDescent="0.15">
      <c r="B5" t="s">
        <v>92</v>
      </c>
    </row>
    <row r="6" spans="1:3" x14ac:dyDescent="0.15">
      <c r="C6" t="s">
        <v>12</v>
      </c>
    </row>
    <row r="7" spans="1:3" x14ac:dyDescent="0.15">
      <c r="C7" t="s">
        <v>33</v>
      </c>
    </row>
    <row r="8" spans="1:3" x14ac:dyDescent="0.15">
      <c r="C8" t="s">
        <v>34</v>
      </c>
    </row>
    <row r="12" spans="1:3" x14ac:dyDescent="0.15">
      <c r="C12" s="20" t="s">
        <v>253</v>
      </c>
    </row>
    <row r="13" spans="1:3" x14ac:dyDescent="0.15">
      <c r="C13" s="38" t="s">
        <v>254</v>
      </c>
    </row>
    <row r="14" spans="1:3" x14ac:dyDescent="0.15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70</v>
      </c>
    </row>
    <row r="3" spans="1:3" x14ac:dyDescent="0.15">
      <c r="B3" s="1" t="s">
        <v>48</v>
      </c>
      <c r="C3" s="1" t="s">
        <v>222</v>
      </c>
    </row>
    <row r="4" spans="1:3" x14ac:dyDescent="0.15">
      <c r="B4" s="1" t="s">
        <v>2</v>
      </c>
      <c r="C4" s="1" t="s">
        <v>223</v>
      </c>
    </row>
    <row r="5" spans="1:3" x14ac:dyDescent="0.15">
      <c r="B5" s="1" t="s">
        <v>3</v>
      </c>
      <c r="C5" s="1" t="s">
        <v>226</v>
      </c>
    </row>
    <row r="6" spans="1:3" x14ac:dyDescent="0.15">
      <c r="B6" s="1" t="s">
        <v>227</v>
      </c>
      <c r="C6" s="1" t="s">
        <v>35</v>
      </c>
    </row>
    <row r="7" spans="1:3" x14ac:dyDescent="0.15">
      <c r="B7" s="1" t="s">
        <v>137</v>
      </c>
      <c r="C7" s="1" t="s">
        <v>22</v>
      </c>
    </row>
    <row r="8" spans="1:3" x14ac:dyDescent="0.15">
      <c r="B8" s="1" t="s">
        <v>92</v>
      </c>
    </row>
    <row r="9" spans="1:3" x14ac:dyDescent="0.15">
      <c r="C9" s="1" t="s">
        <v>20</v>
      </c>
    </row>
    <row r="10" spans="1:3" x14ac:dyDescent="0.15">
      <c r="C10" s="1" t="s">
        <v>21</v>
      </c>
    </row>
    <row r="14" spans="1:3" x14ac:dyDescent="0.15">
      <c r="C14" s="16" t="s">
        <v>224</v>
      </c>
    </row>
    <row r="15" spans="1:3" x14ac:dyDescent="0.15">
      <c r="C15" s="1" t="s">
        <v>225</v>
      </c>
    </row>
    <row r="16" spans="1:3" x14ac:dyDescent="0.1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0.5" style="1" bestFit="1" customWidth="1"/>
    <col min="4" max="16384" width="9.1640625" style="1"/>
  </cols>
  <sheetData>
    <row r="1" spans="1:7" x14ac:dyDescent="0.15">
      <c r="A1" s="15" t="s">
        <v>6</v>
      </c>
    </row>
    <row r="2" spans="1:7" x14ac:dyDescent="0.15">
      <c r="B2" s="1" t="s">
        <v>50</v>
      </c>
      <c r="C2" s="1" t="s">
        <v>196</v>
      </c>
    </row>
    <row r="3" spans="1:7" x14ac:dyDescent="0.15">
      <c r="B3" s="1" t="s">
        <v>48</v>
      </c>
      <c r="C3" s="1" t="s">
        <v>75</v>
      </c>
    </row>
    <row r="4" spans="1:7" x14ac:dyDescent="0.15">
      <c r="B4" s="1" t="s">
        <v>91</v>
      </c>
      <c r="C4" s="21" t="s">
        <v>249</v>
      </c>
    </row>
    <row r="5" spans="1:7" x14ac:dyDescent="0.15">
      <c r="B5" s="1" t="s">
        <v>51</v>
      </c>
      <c r="C5" s="1" t="s">
        <v>168</v>
      </c>
    </row>
    <row r="6" spans="1:7" x14ac:dyDescent="0.15">
      <c r="C6" s="1" t="s">
        <v>167</v>
      </c>
    </row>
    <row r="7" spans="1:7" x14ac:dyDescent="0.15">
      <c r="C7" s="1" t="s">
        <v>169</v>
      </c>
    </row>
    <row r="8" spans="1:7" x14ac:dyDescent="0.15">
      <c r="C8" s="1" t="s">
        <v>171</v>
      </c>
    </row>
    <row r="9" spans="1:7" x14ac:dyDescent="0.15">
      <c r="C9" s="1" t="s">
        <v>180</v>
      </c>
    </row>
    <row r="10" spans="1:7" x14ac:dyDescent="0.15">
      <c r="B10" s="1" t="s">
        <v>2</v>
      </c>
      <c r="C10" s="1" t="s">
        <v>129</v>
      </c>
    </row>
    <row r="11" spans="1:7" x14ac:dyDescent="0.15">
      <c r="B11" s="1" t="s">
        <v>131</v>
      </c>
      <c r="C11" s="1" t="s">
        <v>132</v>
      </c>
    </row>
    <row r="12" spans="1:7" x14ac:dyDescent="0.15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1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1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1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1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1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1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1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1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15">
      <c r="B21" s="21"/>
      <c r="C21" s="21"/>
    </row>
    <row r="22" spans="2:7" x14ac:dyDescent="0.15">
      <c r="B22" s="21" t="s">
        <v>172</v>
      </c>
      <c r="C22" s="21" t="s">
        <v>264</v>
      </c>
    </row>
    <row r="23" spans="2:7" x14ac:dyDescent="0.15">
      <c r="B23" s="1" t="s">
        <v>92</v>
      </c>
    </row>
    <row r="24" spans="2:7" x14ac:dyDescent="0.15">
      <c r="C24" s="1" t="s">
        <v>24</v>
      </c>
    </row>
    <row r="25" spans="2:7" x14ac:dyDescent="0.15">
      <c r="C25" s="1" t="s">
        <v>220</v>
      </c>
    </row>
    <row r="27" spans="2:7" x14ac:dyDescent="0.15">
      <c r="C27" s="16" t="s">
        <v>184</v>
      </c>
    </row>
    <row r="28" spans="2:7" x14ac:dyDescent="0.15">
      <c r="C28" s="1" t="s">
        <v>182</v>
      </c>
    </row>
    <row r="29" spans="2:7" x14ac:dyDescent="0.15">
      <c r="C29" s="1" t="s">
        <v>109</v>
      </c>
    </row>
    <row r="30" spans="2:7" x14ac:dyDescent="0.15">
      <c r="C30" s="19" t="s">
        <v>231</v>
      </c>
    </row>
    <row r="31" spans="2:7" x14ac:dyDescent="0.15">
      <c r="C31" s="1" t="s">
        <v>130</v>
      </c>
    </row>
    <row r="32" spans="2:7" x14ac:dyDescent="0.15">
      <c r="C32" s="1" t="s">
        <v>230</v>
      </c>
    </row>
    <row r="33" spans="3:3" x14ac:dyDescent="0.15">
      <c r="C33" s="1" t="s">
        <v>161</v>
      </c>
    </row>
    <row r="34" spans="3:3" x14ac:dyDescent="0.15">
      <c r="C34" s="1" t="s">
        <v>170</v>
      </c>
    </row>
    <row r="35" spans="3:3" x14ac:dyDescent="0.15">
      <c r="C35" s="1" t="s">
        <v>181</v>
      </c>
    </row>
    <row r="36" spans="3:3" x14ac:dyDescent="0.15">
      <c r="C36" s="1" t="s">
        <v>241</v>
      </c>
    </row>
    <row r="38" spans="3:3" x14ac:dyDescent="0.15">
      <c r="C38" s="16" t="s">
        <v>94</v>
      </c>
    </row>
    <row r="39" spans="3:3" x14ac:dyDescent="0.15">
      <c r="C39" s="1" t="s">
        <v>95</v>
      </c>
    </row>
    <row r="40" spans="3:3" x14ac:dyDescent="0.15">
      <c r="C40" s="1" t="s">
        <v>102</v>
      </c>
    </row>
    <row r="41" spans="3:3" x14ac:dyDescent="0.15">
      <c r="C41" s="19" t="s">
        <v>103</v>
      </c>
    </row>
    <row r="42" spans="3:3" x14ac:dyDescent="0.15">
      <c r="C42" s="1" t="s">
        <v>104</v>
      </c>
    </row>
    <row r="43" spans="3:3" x14ac:dyDescent="0.15">
      <c r="C43" s="1" t="s">
        <v>162</v>
      </c>
    </row>
    <row r="44" spans="3:3" x14ac:dyDescent="0.15">
      <c r="C44" s="1" t="s">
        <v>177</v>
      </c>
    </row>
    <row r="46" spans="3:3" x14ac:dyDescent="0.15">
      <c r="C46" s="16" t="s">
        <v>328</v>
      </c>
    </row>
    <row r="47" spans="3:3" x14ac:dyDescent="0.15">
      <c r="C47" s="21" t="s">
        <v>326</v>
      </c>
    </row>
    <row r="48" spans="3:3" x14ac:dyDescent="0.1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A2" s="15"/>
      <c r="B2" s="1" t="s">
        <v>50</v>
      </c>
    </row>
    <row r="3" spans="1:3" x14ac:dyDescent="0.15">
      <c r="A3" s="15"/>
      <c r="B3" s="1" t="s">
        <v>48</v>
      </c>
      <c r="C3" s="1" t="s">
        <v>49</v>
      </c>
    </row>
    <row r="4" spans="1:3" x14ac:dyDescent="0.15">
      <c r="A4" s="15"/>
      <c r="B4" s="1" t="s">
        <v>1</v>
      </c>
      <c r="C4" s="1" t="s">
        <v>121</v>
      </c>
    </row>
    <row r="5" spans="1:3" x14ac:dyDescent="0.15">
      <c r="A5" s="15"/>
      <c r="B5" s="1" t="s">
        <v>51</v>
      </c>
      <c r="C5" s="1" t="s">
        <v>52</v>
      </c>
    </row>
    <row r="6" spans="1:3" x14ac:dyDescent="0.15">
      <c r="A6" s="15"/>
      <c r="B6" s="1" t="s">
        <v>92</v>
      </c>
    </row>
    <row r="7" spans="1:3" x14ac:dyDescent="0.15">
      <c r="C7" s="16" t="s">
        <v>306</v>
      </c>
    </row>
    <row r="8" spans="1:3" x14ac:dyDescent="0.15">
      <c r="C8" s="1" t="s">
        <v>46</v>
      </c>
    </row>
    <row r="10" spans="1:3" x14ac:dyDescent="0.15">
      <c r="C10" s="16" t="s">
        <v>53</v>
      </c>
    </row>
    <row r="11" spans="1:3" x14ac:dyDescent="0.1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</row>
    <row r="3" spans="1:3" x14ac:dyDescent="0.15">
      <c r="B3" t="s">
        <v>48</v>
      </c>
      <c r="C3" t="s">
        <v>112</v>
      </c>
    </row>
    <row r="4" spans="1:3" x14ac:dyDescent="0.15">
      <c r="B4" t="s">
        <v>1</v>
      </c>
      <c r="C4" t="s">
        <v>115</v>
      </c>
    </row>
    <row r="5" spans="1:3" x14ac:dyDescent="0.15">
      <c r="B5" t="s">
        <v>91</v>
      </c>
      <c r="C5" t="s">
        <v>26</v>
      </c>
    </row>
    <row r="6" spans="1:3" x14ac:dyDescent="0.15">
      <c r="B6" t="s">
        <v>3</v>
      </c>
      <c r="C6" t="s">
        <v>28</v>
      </c>
    </row>
    <row r="7" spans="1:3" x14ac:dyDescent="0.15">
      <c r="B7" t="s">
        <v>92</v>
      </c>
      <c r="C7" t="s">
        <v>27</v>
      </c>
    </row>
    <row r="9" spans="1:3" x14ac:dyDescent="0.15">
      <c r="C9" s="20" t="s">
        <v>113</v>
      </c>
    </row>
    <row r="10" spans="1:3" x14ac:dyDescent="0.1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178</v>
      </c>
    </row>
    <row r="3" spans="1:3" x14ac:dyDescent="0.15">
      <c r="B3" s="1" t="s">
        <v>2</v>
      </c>
      <c r="C3" s="1" t="s">
        <v>235</v>
      </c>
    </row>
    <row r="4" spans="1:3" x14ac:dyDescent="0.15">
      <c r="B4" s="1" t="s">
        <v>1</v>
      </c>
      <c r="C4" s="1" t="s">
        <v>238</v>
      </c>
    </row>
    <row r="5" spans="1:3" x14ac:dyDescent="0.15">
      <c r="B5" s="1" t="s">
        <v>92</v>
      </c>
    </row>
    <row r="6" spans="1:3" x14ac:dyDescent="0.15">
      <c r="C6" s="16" t="s">
        <v>237</v>
      </c>
    </row>
    <row r="9" spans="1:3" x14ac:dyDescent="0.15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4" x14ac:dyDescent="0.15">
      <c r="A1" s="15" t="s">
        <v>6</v>
      </c>
    </row>
    <row r="2" spans="1:4" x14ac:dyDescent="0.15">
      <c r="B2" s="1" t="s">
        <v>50</v>
      </c>
      <c r="C2" s="1" t="s">
        <v>183</v>
      </c>
    </row>
    <row r="3" spans="1:4" x14ac:dyDescent="0.15">
      <c r="B3" s="21" t="s">
        <v>48</v>
      </c>
      <c r="C3" s="21" t="s">
        <v>321</v>
      </c>
    </row>
    <row r="4" spans="1:4" x14ac:dyDescent="0.15">
      <c r="B4" s="1" t="s">
        <v>1</v>
      </c>
      <c r="C4" s="1" t="s">
        <v>209</v>
      </c>
    </row>
    <row r="5" spans="1:4" x14ac:dyDescent="0.15">
      <c r="B5" s="1" t="s">
        <v>51</v>
      </c>
      <c r="C5" s="1" t="s">
        <v>210</v>
      </c>
    </row>
    <row r="6" spans="1:4" x14ac:dyDescent="0.15">
      <c r="B6" s="1" t="s">
        <v>92</v>
      </c>
    </row>
    <row r="7" spans="1:4" x14ac:dyDescent="0.15">
      <c r="C7" s="16" t="s">
        <v>212</v>
      </c>
    </row>
    <row r="8" spans="1:4" x14ac:dyDescent="0.15">
      <c r="C8" s="1" t="s">
        <v>211</v>
      </c>
    </row>
    <row r="9" spans="1:4" x14ac:dyDescent="0.15">
      <c r="C9" s="1" t="s">
        <v>213</v>
      </c>
    </row>
    <row r="11" spans="1:4" x14ac:dyDescent="0.15">
      <c r="C11" s="1" t="s">
        <v>214</v>
      </c>
    </row>
    <row r="12" spans="1:4" x14ac:dyDescent="0.15">
      <c r="C12" s="1" t="s">
        <v>215</v>
      </c>
    </row>
    <row r="13" spans="1:4" x14ac:dyDescent="0.15">
      <c r="D13" s="1" t="s">
        <v>216</v>
      </c>
    </row>
    <row r="15" spans="1:4" x14ac:dyDescent="0.15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workbookViewId="0">
      <selection activeCell="C4" sqref="C4"/>
    </sheetView>
  </sheetViews>
  <sheetFormatPr baseColWidth="10" defaultColWidth="9.1640625" defaultRowHeight="13" x14ac:dyDescent="0.15"/>
  <cols>
    <col min="1" max="1" width="2.5" style="1" customWidth="1"/>
    <col min="2" max="2" width="25.5" style="1" customWidth="1"/>
    <col min="3" max="3" width="27.5" style="1" bestFit="1" customWidth="1"/>
    <col min="4" max="4" width="16.33203125" style="1" bestFit="1" customWidth="1"/>
    <col min="5" max="5" width="11.5" style="1" customWidth="1"/>
    <col min="6" max="6" width="12.1640625" style="1" customWidth="1"/>
    <col min="7" max="7" width="13.83203125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6384" width="9.1640625" style="1"/>
  </cols>
  <sheetData>
    <row r="1" spans="1:11" x14ac:dyDescent="0.15">
      <c r="A1" s="21" t="s">
        <v>481</v>
      </c>
    </row>
    <row r="2" spans="1:11" x14ac:dyDescent="0.15">
      <c r="B2" s="2" t="s">
        <v>0</v>
      </c>
      <c r="C2" s="3" t="s">
        <v>1</v>
      </c>
      <c r="D2" s="3" t="s">
        <v>51</v>
      </c>
      <c r="E2" s="3" t="s">
        <v>2</v>
      </c>
      <c r="F2" s="78" t="s">
        <v>426</v>
      </c>
      <c r="G2" s="4" t="s">
        <v>4</v>
      </c>
      <c r="I2" s="1" t="s">
        <v>172</v>
      </c>
      <c r="J2" s="31">
        <v>330.47</v>
      </c>
    </row>
    <row r="3" spans="1:11" x14ac:dyDescent="0.15">
      <c r="B3" s="68" t="s">
        <v>495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902.94</v>
      </c>
      <c r="K3" s="39" t="s">
        <v>342</v>
      </c>
    </row>
    <row r="4" spans="1:11" x14ac:dyDescent="0.15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298394.58180000004</v>
      </c>
      <c r="K4" s="32"/>
    </row>
    <row r="5" spans="1:11" x14ac:dyDescent="0.15">
      <c r="B5" s="68" t="s">
        <v>452</v>
      </c>
      <c r="C5" s="37" t="s">
        <v>36</v>
      </c>
      <c r="D5" s="37" t="s">
        <v>393</v>
      </c>
      <c r="E5" s="40" t="s">
        <v>277</v>
      </c>
      <c r="F5" s="6"/>
      <c r="G5" s="7"/>
      <c r="I5" s="1" t="s">
        <v>174</v>
      </c>
      <c r="J5" s="18">
        <v>5324</v>
      </c>
      <c r="K5" s="39" t="s">
        <v>342</v>
      </c>
    </row>
    <row r="6" spans="1:11" x14ac:dyDescent="0.15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16814</v>
      </c>
      <c r="K6" s="39" t="s">
        <v>342</v>
      </c>
    </row>
    <row r="7" spans="1:11" x14ac:dyDescent="0.15">
      <c r="B7" s="68" t="s">
        <v>400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309884.58180000004</v>
      </c>
    </row>
    <row r="8" spans="1:11" x14ac:dyDescent="0.15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15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439</v>
      </c>
    </row>
    <row r="10" spans="1:11" x14ac:dyDescent="0.15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440</v>
      </c>
    </row>
    <row r="11" spans="1:11" x14ac:dyDescent="0.15">
      <c r="B11" s="36" t="s">
        <v>401</v>
      </c>
      <c r="C11" s="37" t="s">
        <v>425</v>
      </c>
      <c r="D11" s="37" t="s">
        <v>422</v>
      </c>
      <c r="E11" s="40">
        <v>1</v>
      </c>
      <c r="F11" s="6"/>
      <c r="G11" s="7"/>
      <c r="I11" s="21" t="s">
        <v>441</v>
      </c>
    </row>
    <row r="12" spans="1:11" x14ac:dyDescent="0.15">
      <c r="B12" s="36" t="s">
        <v>355</v>
      </c>
      <c r="C12" s="37" t="s">
        <v>433</v>
      </c>
      <c r="D12" s="37" t="s">
        <v>443</v>
      </c>
      <c r="E12" s="40"/>
      <c r="F12" s="6"/>
      <c r="G12" s="7"/>
    </row>
    <row r="13" spans="1:11" x14ac:dyDescent="0.15">
      <c r="B13" s="36" t="s">
        <v>475</v>
      </c>
      <c r="C13" s="37" t="s">
        <v>432</v>
      </c>
      <c r="D13" s="37" t="s">
        <v>442</v>
      </c>
      <c r="E13" s="40"/>
      <c r="F13" s="6"/>
      <c r="G13" s="7"/>
    </row>
    <row r="14" spans="1:11" x14ac:dyDescent="0.15">
      <c r="B14" s="36" t="s">
        <v>428</v>
      </c>
      <c r="C14" s="37" t="s">
        <v>430</v>
      </c>
      <c r="D14" s="6"/>
      <c r="E14" s="40"/>
      <c r="F14" s="6"/>
      <c r="G14" s="7"/>
    </row>
    <row r="15" spans="1:11" x14ac:dyDescent="0.15">
      <c r="B15" s="36" t="s">
        <v>429</v>
      </c>
      <c r="C15" s="37" t="s">
        <v>430</v>
      </c>
      <c r="D15" s="6"/>
      <c r="E15" s="40"/>
      <c r="F15" s="6"/>
      <c r="G15" s="7"/>
    </row>
    <row r="16" spans="1:11" x14ac:dyDescent="0.15">
      <c r="B16" s="36" t="s">
        <v>469</v>
      </c>
      <c r="C16" s="37" t="s">
        <v>431</v>
      </c>
      <c r="D16" s="37" t="s">
        <v>427</v>
      </c>
      <c r="E16" s="40" t="s">
        <v>418</v>
      </c>
      <c r="F16" s="6"/>
      <c r="G16" s="7"/>
    </row>
    <row r="17" spans="2:7" x14ac:dyDescent="0.15">
      <c r="B17" s="36" t="s">
        <v>492</v>
      </c>
      <c r="C17" s="37" t="s">
        <v>36</v>
      </c>
      <c r="D17" s="37" t="s">
        <v>438</v>
      </c>
      <c r="E17" s="11">
        <v>1</v>
      </c>
      <c r="F17" s="37"/>
      <c r="G17" s="44"/>
    </row>
    <row r="18" spans="2:7" x14ac:dyDescent="0.15">
      <c r="B18" s="36" t="s">
        <v>468</v>
      </c>
      <c r="C18" s="37"/>
      <c r="D18" s="37"/>
      <c r="E18" s="40"/>
      <c r="F18" s="6"/>
      <c r="G18" s="7"/>
    </row>
    <row r="19" spans="2:7" x14ac:dyDescent="0.15">
      <c r="B19" s="36" t="s">
        <v>419</v>
      </c>
      <c r="C19" s="37" t="s">
        <v>494</v>
      </c>
      <c r="D19" s="37" t="s">
        <v>269</v>
      </c>
      <c r="E19" s="40" t="s">
        <v>270</v>
      </c>
      <c r="F19" s="6"/>
      <c r="G19" s="7"/>
    </row>
    <row r="20" spans="2:7" x14ac:dyDescent="0.15">
      <c r="B20" s="36" t="s">
        <v>454</v>
      </c>
      <c r="C20" s="37" t="s">
        <v>455</v>
      </c>
      <c r="D20" s="37" t="s">
        <v>453</v>
      </c>
      <c r="E20" s="40"/>
      <c r="F20" s="6"/>
      <c r="G20" s="7"/>
    </row>
    <row r="21" spans="2:7" x14ac:dyDescent="0.15">
      <c r="B21" s="5" t="s">
        <v>451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15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15">
      <c r="B23" s="69" t="s">
        <v>413</v>
      </c>
      <c r="C23" s="72" t="s">
        <v>307</v>
      </c>
      <c r="D23" s="72" t="s">
        <v>414</v>
      </c>
      <c r="E23" s="73" t="s">
        <v>285</v>
      </c>
      <c r="F23" s="9"/>
      <c r="G23" s="10"/>
    </row>
    <row r="24" spans="2:7" x14ac:dyDescent="0.15">
      <c r="B24" s="2"/>
      <c r="C24" s="3"/>
      <c r="D24" s="3"/>
      <c r="E24" s="3"/>
      <c r="F24" s="3" t="s">
        <v>5</v>
      </c>
      <c r="G24" s="4"/>
    </row>
    <row r="25" spans="2:7" x14ac:dyDescent="0.15">
      <c r="B25" s="36" t="s">
        <v>470</v>
      </c>
      <c r="C25" s="6" t="s">
        <v>471</v>
      </c>
      <c r="D25" s="6" t="s">
        <v>472</v>
      </c>
      <c r="E25" s="11">
        <v>1</v>
      </c>
      <c r="F25" s="37" t="s">
        <v>208</v>
      </c>
      <c r="G25" s="44"/>
    </row>
    <row r="26" spans="2:7" x14ac:dyDescent="0.15">
      <c r="B26" s="36" t="s">
        <v>449</v>
      </c>
      <c r="C26" s="37" t="s">
        <v>450</v>
      </c>
      <c r="D26" s="37"/>
      <c r="E26" s="11" t="s">
        <v>285</v>
      </c>
      <c r="F26" s="37" t="s">
        <v>47</v>
      </c>
      <c r="G26" s="44"/>
    </row>
    <row r="27" spans="2:7" x14ac:dyDescent="0.15">
      <c r="B27" s="36" t="s">
        <v>463</v>
      </c>
      <c r="C27" s="37" t="s">
        <v>464</v>
      </c>
      <c r="D27" s="37"/>
      <c r="E27" s="11" t="s">
        <v>285</v>
      </c>
      <c r="F27" s="37" t="s">
        <v>208</v>
      </c>
      <c r="G27" s="44"/>
    </row>
    <row r="28" spans="2:7" x14ac:dyDescent="0.15">
      <c r="B28" s="36" t="s">
        <v>465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15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15">
      <c r="B30" s="36" t="s">
        <v>473</v>
      </c>
      <c r="C30" s="6" t="s">
        <v>474</v>
      </c>
      <c r="D30" s="6"/>
      <c r="E30" s="11"/>
      <c r="F30" s="37" t="s">
        <v>47</v>
      </c>
      <c r="G30" s="44"/>
    </row>
    <row r="31" spans="2:7" x14ac:dyDescent="0.15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15">
      <c r="B32" s="5" t="s">
        <v>487</v>
      </c>
      <c r="C32" s="6" t="s">
        <v>490</v>
      </c>
      <c r="D32" s="6" t="s">
        <v>489</v>
      </c>
      <c r="E32" s="11" t="s">
        <v>488</v>
      </c>
      <c r="F32" s="6" t="s">
        <v>119</v>
      </c>
      <c r="G32" s="7"/>
    </row>
    <row r="33" spans="2:7" x14ac:dyDescent="0.15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15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15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15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15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15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15">
      <c r="B40" s="21" t="s">
        <v>493</v>
      </c>
      <c r="F40" s="33"/>
    </row>
    <row r="41" spans="2:7" x14ac:dyDescent="0.15">
      <c r="F41" s="34"/>
    </row>
    <row r="42" spans="2:7" x14ac:dyDescent="0.15">
      <c r="B42" s="74"/>
      <c r="C42" s="74"/>
      <c r="F42" s="33"/>
    </row>
    <row r="43" spans="2:7" x14ac:dyDescent="0.15">
      <c r="B43" s="75"/>
      <c r="F43" s="33"/>
    </row>
    <row r="44" spans="2:7" x14ac:dyDescent="0.15">
      <c r="B44" s="75"/>
      <c r="C44" s="75"/>
    </row>
    <row r="45" spans="2:7" x14ac:dyDescent="0.15">
      <c r="B45" s="75"/>
      <c r="C45" s="75"/>
    </row>
    <row r="46" spans="2:7" x14ac:dyDescent="0.15">
      <c r="B46" s="75"/>
      <c r="C46" s="75"/>
    </row>
    <row r="47" spans="2:7" x14ac:dyDescent="0.15">
      <c r="B47" s="75"/>
      <c r="C47" s="75"/>
    </row>
    <row r="48" spans="2:7" x14ac:dyDescent="0.15">
      <c r="B48" s="76"/>
      <c r="C48" s="75"/>
    </row>
    <row r="49" spans="2:3" x14ac:dyDescent="0.15">
      <c r="B49" s="76"/>
      <c r="C49" s="75"/>
    </row>
    <row r="50" spans="2:3" x14ac:dyDescent="0.15">
      <c r="B50" s="76"/>
      <c r="C50" s="75"/>
    </row>
    <row r="51" spans="2:3" x14ac:dyDescent="0.15">
      <c r="B51" s="75"/>
      <c r="C51" s="75"/>
    </row>
    <row r="52" spans="2:3" x14ac:dyDescent="0.15">
      <c r="B52" s="75"/>
      <c r="C52" s="75"/>
    </row>
    <row r="53" spans="2:3" x14ac:dyDescent="0.15">
      <c r="B53" s="76"/>
      <c r="C53" s="75"/>
    </row>
    <row r="54" spans="2:3" x14ac:dyDescent="0.15">
      <c r="B54" s="75"/>
    </row>
    <row r="55" spans="2:3" x14ac:dyDescent="0.15">
      <c r="B55" s="75"/>
    </row>
    <row r="57" spans="2:3" x14ac:dyDescent="0.15">
      <c r="B57" s="75"/>
    </row>
    <row r="58" spans="2:3" x14ac:dyDescent="0.15">
      <c r="C58" s="75"/>
    </row>
    <row r="60" spans="2:3" x14ac:dyDescent="0.15">
      <c r="B60" s="75"/>
    </row>
    <row r="62" spans="2:3" x14ac:dyDescent="0.15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N135"/>
  <sheetViews>
    <sheetView tabSelected="1" zoomScale="132" zoomScaleNormal="160" workbookViewId="0">
      <pane xSplit="2" ySplit="2" topLeftCell="AO32" activePane="bottomRight" state="frozen"/>
      <selection pane="topRight" activeCell="C1" sqref="C1"/>
      <selection pane="bottomLeft" activeCell="A3" sqref="A3"/>
      <selection pane="bottomRight" activeCell="AV38" sqref="AV38"/>
    </sheetView>
  </sheetViews>
  <sheetFormatPr baseColWidth="10" defaultColWidth="8.83203125" defaultRowHeight="13" x14ac:dyDescent="0.15"/>
  <cols>
    <col min="1" max="1" width="5.33203125" customWidth="1"/>
    <col min="2" max="2" width="18.83203125" customWidth="1"/>
    <col min="3" max="17" width="7" style="47" customWidth="1"/>
    <col min="18" max="18" width="6.6640625" style="47" customWidth="1"/>
    <col min="19" max="51" width="7" style="47" customWidth="1"/>
    <col min="52" max="53" width="7.83203125" style="47" customWidth="1"/>
    <col min="54" max="61" width="7" style="47" customWidth="1"/>
    <col min="62" max="62" width="4.33203125" customWidth="1"/>
    <col min="63" max="71" width="6.5" style="47" bestFit="1" customWidth="1"/>
    <col min="72" max="72" width="7" style="47" bestFit="1" customWidth="1"/>
    <col min="73" max="73" width="6.5" style="47" bestFit="1" customWidth="1"/>
    <col min="74" max="77" width="7" style="47" customWidth="1"/>
    <col min="78" max="79" width="7.5" style="47" customWidth="1"/>
    <col min="80" max="81" width="7.1640625" customWidth="1"/>
    <col min="82" max="82" width="7.83203125" customWidth="1"/>
    <col min="83" max="90" width="7.1640625" customWidth="1"/>
    <col min="91" max="91" width="7.5" customWidth="1"/>
    <col min="92" max="92" width="7.6640625" customWidth="1"/>
  </cols>
  <sheetData>
    <row r="1" spans="1:92" x14ac:dyDescent="0.15">
      <c r="A1" s="46" t="s">
        <v>6</v>
      </c>
    </row>
    <row r="2" spans="1:92" x14ac:dyDescent="0.15">
      <c r="C2" s="47" t="s">
        <v>203</v>
      </c>
      <c r="D2" s="47" t="s">
        <v>202</v>
      </c>
      <c r="E2" s="47" t="s">
        <v>201</v>
      </c>
      <c r="F2" s="47" t="s">
        <v>127</v>
      </c>
      <c r="G2" s="47" t="s">
        <v>126</v>
      </c>
      <c r="H2" s="47" t="s">
        <v>125</v>
      </c>
      <c r="I2" s="47" t="s">
        <v>124</v>
      </c>
      <c r="J2" s="47" t="s">
        <v>99</v>
      </c>
      <c r="K2" s="47" t="s">
        <v>100</v>
      </c>
      <c r="L2" s="47" t="s">
        <v>97</v>
      </c>
      <c r="M2" s="47" t="s">
        <v>96</v>
      </c>
      <c r="N2" s="47" t="s">
        <v>98</v>
      </c>
      <c r="O2" s="47" t="s">
        <v>128</v>
      </c>
      <c r="P2" s="47" t="s">
        <v>163</v>
      </c>
      <c r="Q2" s="47" t="s">
        <v>185</v>
      </c>
      <c r="R2" s="47" t="s">
        <v>186</v>
      </c>
      <c r="S2" s="47" t="s">
        <v>197</v>
      </c>
      <c r="T2" s="47" t="s">
        <v>198</v>
      </c>
      <c r="U2" s="47" t="s">
        <v>199</v>
      </c>
      <c r="V2" s="47" t="s">
        <v>200</v>
      </c>
      <c r="W2" s="48" t="s">
        <v>245</v>
      </c>
      <c r="X2" s="48" t="s">
        <v>246</v>
      </c>
      <c r="Y2" s="48" t="s">
        <v>247</v>
      </c>
      <c r="Z2" s="48" t="s">
        <v>248</v>
      </c>
      <c r="AA2" s="48" t="s">
        <v>259</v>
      </c>
      <c r="AB2" s="48" t="s">
        <v>260</v>
      </c>
      <c r="AC2" s="48" t="s">
        <v>261</v>
      </c>
      <c r="AD2" s="48" t="s">
        <v>262</v>
      </c>
      <c r="AE2" s="48" t="s">
        <v>272</v>
      </c>
      <c r="AF2" s="48" t="s">
        <v>273</v>
      </c>
      <c r="AG2" s="48" t="s">
        <v>274</v>
      </c>
      <c r="AH2" s="48" t="s">
        <v>275</v>
      </c>
      <c r="AI2" s="48" t="s">
        <v>316</v>
      </c>
      <c r="AJ2" s="48" t="s">
        <v>317</v>
      </c>
      <c r="AK2" s="48" t="s">
        <v>318</v>
      </c>
      <c r="AL2" s="48" t="s">
        <v>319</v>
      </c>
      <c r="AM2" s="48" t="s">
        <v>320</v>
      </c>
      <c r="AN2" s="48" t="s">
        <v>330</v>
      </c>
      <c r="AO2" s="48" t="s">
        <v>331</v>
      </c>
      <c r="AP2" s="48" t="s">
        <v>332</v>
      </c>
      <c r="AQ2" s="48" t="s">
        <v>333</v>
      </c>
      <c r="AR2" s="48" t="s">
        <v>334</v>
      </c>
      <c r="AS2" s="48" t="s">
        <v>335</v>
      </c>
      <c r="AT2" s="48" t="s">
        <v>336</v>
      </c>
      <c r="AU2" s="48" t="s">
        <v>337</v>
      </c>
      <c r="AV2" s="48" t="s">
        <v>338</v>
      </c>
      <c r="AW2" s="48" t="s">
        <v>339</v>
      </c>
      <c r="AX2" s="48" t="s">
        <v>340</v>
      </c>
      <c r="AY2" s="48" t="s">
        <v>341</v>
      </c>
      <c r="AZ2" s="48" t="s">
        <v>329</v>
      </c>
      <c r="BA2" s="48" t="s">
        <v>342</v>
      </c>
      <c r="BB2" s="48" t="s">
        <v>343</v>
      </c>
      <c r="BC2" s="48" t="s">
        <v>344</v>
      </c>
      <c r="BD2" s="48" t="s">
        <v>361</v>
      </c>
      <c r="BE2" s="48" t="s">
        <v>362</v>
      </c>
      <c r="BF2" s="48" t="s">
        <v>363</v>
      </c>
      <c r="BG2" s="48" t="s">
        <v>364</v>
      </c>
      <c r="BH2" s="48"/>
      <c r="BI2" s="48"/>
      <c r="BK2" s="47">
        <v>2001</v>
      </c>
      <c r="BL2" s="47">
        <v>2002</v>
      </c>
      <c r="BM2" s="47">
        <v>2003</v>
      </c>
      <c r="BN2" s="47">
        <v>2004</v>
      </c>
      <c r="BO2" s="47">
        <v>2005</v>
      </c>
      <c r="BP2" s="47">
        <v>2006</v>
      </c>
      <c r="BQ2" s="47">
        <v>2007</v>
      </c>
      <c r="BR2" s="47">
        <v>2008</v>
      </c>
      <c r="BS2" s="47">
        <v>2009</v>
      </c>
      <c r="BT2" s="47">
        <v>2010</v>
      </c>
      <c r="BU2" s="47">
        <v>2011</v>
      </c>
      <c r="BV2" s="47">
        <v>2012</v>
      </c>
      <c r="BW2" s="47">
        <v>2013</v>
      </c>
      <c r="BX2" s="47">
        <v>2014</v>
      </c>
      <c r="BY2" s="47">
        <v>2015</v>
      </c>
      <c r="BZ2" s="47">
        <v>2016</v>
      </c>
      <c r="CA2" s="47">
        <v>2017</v>
      </c>
      <c r="CB2">
        <f>+CA2+1</f>
        <v>2018</v>
      </c>
      <c r="CC2">
        <f t="shared" ref="CC2:CF2" si="0">+CB2+1</f>
        <v>2019</v>
      </c>
      <c r="CD2">
        <f t="shared" si="0"/>
        <v>2020</v>
      </c>
      <c r="CE2">
        <f t="shared" si="0"/>
        <v>2021</v>
      </c>
      <c r="CF2">
        <f t="shared" si="0"/>
        <v>2022</v>
      </c>
      <c r="CG2">
        <f>+CF2+1</f>
        <v>2023</v>
      </c>
      <c r="CH2">
        <f t="shared" ref="CH2:CN2" si="1">+CG2+1</f>
        <v>2024</v>
      </c>
      <c r="CI2">
        <f t="shared" si="1"/>
        <v>2025</v>
      </c>
      <c r="CJ2">
        <f t="shared" si="1"/>
        <v>2026</v>
      </c>
      <c r="CK2">
        <f t="shared" si="1"/>
        <v>2027</v>
      </c>
      <c r="CL2">
        <f t="shared" si="1"/>
        <v>2028</v>
      </c>
      <c r="CM2">
        <f t="shared" si="1"/>
        <v>2029</v>
      </c>
      <c r="CN2">
        <f t="shared" si="1"/>
        <v>2030</v>
      </c>
    </row>
    <row r="3" spans="1:92" s="49" customFormat="1" x14ac:dyDescent="0.15">
      <c r="B3" s="50" t="s">
        <v>345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>
        <v>879.7</v>
      </c>
      <c r="AO3" s="52">
        <v>1028.5</v>
      </c>
      <c r="AP3" s="52">
        <v>1011.5</v>
      </c>
      <c r="AQ3" s="52">
        <v>1208.0999999999999</v>
      </c>
      <c r="AR3" s="52">
        <v>1229.4000000000001</v>
      </c>
      <c r="AS3" s="52">
        <v>1229.8</v>
      </c>
      <c r="AT3" s="52">
        <v>1106.5999999999999</v>
      </c>
      <c r="AU3" s="52">
        <v>1502.4</v>
      </c>
      <c r="AV3" s="52">
        <v>1452.4</v>
      </c>
      <c r="AW3" s="52">
        <v>1535.6</v>
      </c>
      <c r="AX3" s="52">
        <v>1600.1</v>
      </c>
      <c r="AY3" s="52">
        <v>1883.7</v>
      </c>
      <c r="AZ3" s="52">
        <v>1741.3</v>
      </c>
      <c r="BA3" s="52">
        <v>1911.9</v>
      </c>
      <c r="BB3" s="52">
        <f>+AX3*1.2</f>
        <v>1920.12</v>
      </c>
      <c r="BC3" s="52">
        <f>+AY3*1.2</f>
        <v>2260.44</v>
      </c>
      <c r="BD3" s="52">
        <f>+AZ3*1.15</f>
        <v>2002.4949999999999</v>
      </c>
      <c r="BE3" s="52">
        <f>+BA3*1.15</f>
        <v>2198.6849999999999</v>
      </c>
      <c r="BF3" s="52">
        <f>+BB3*1.15</f>
        <v>2208.1379999999999</v>
      </c>
      <c r="BG3" s="52">
        <f>+BC3*1.15</f>
        <v>2599.5059999999999</v>
      </c>
      <c r="BH3" s="52"/>
      <c r="BI3" s="52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>
        <v>2029.8</v>
      </c>
      <c r="CB3" s="49">
        <v>3199.1</v>
      </c>
      <c r="CC3" s="49">
        <v>4127.8</v>
      </c>
      <c r="CD3" s="49">
        <f>SUM(AR3:AU3)</f>
        <v>5068.2</v>
      </c>
      <c r="CE3" s="49">
        <f>SUM(AV3:AY3)</f>
        <v>6471.8</v>
      </c>
      <c r="CF3" s="49">
        <f>SUM(AZ3:BC3)</f>
        <v>7833.76</v>
      </c>
      <c r="CG3" s="49">
        <f>SUM(BD3:BG3)</f>
        <v>9008.8240000000005</v>
      </c>
      <c r="CH3" s="49">
        <f>+CG3*1.1</f>
        <v>9909.7064000000009</v>
      </c>
      <c r="CI3" s="49">
        <f>+CH3*1.01</f>
        <v>10008.803464000001</v>
      </c>
      <c r="CJ3" s="49">
        <f>+CI3*1.01</f>
        <v>10108.891498640001</v>
      </c>
      <c r="CK3" s="49">
        <f>+CJ3*0.95</f>
        <v>9603.4469237080011</v>
      </c>
      <c r="CL3" s="49">
        <f>+CK3*0.95</f>
        <v>9123.2745775226012</v>
      </c>
      <c r="CM3" s="49">
        <f>+CL3*0.95</f>
        <v>8667.1108486464709</v>
      </c>
      <c r="CN3" s="49">
        <f>+CM3*0.9</f>
        <v>7800.3997637818238</v>
      </c>
    </row>
    <row r="4" spans="1:92" s="49" customFormat="1" x14ac:dyDescent="0.15">
      <c r="B4" s="50" t="s">
        <v>437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>
        <v>16</v>
      </c>
      <c r="BB4" s="52">
        <v>100</v>
      </c>
      <c r="BC4" s="52">
        <v>200</v>
      </c>
      <c r="BD4" s="52">
        <v>300</v>
      </c>
      <c r="BE4" s="52">
        <v>400</v>
      </c>
      <c r="BF4" s="52">
        <v>500</v>
      </c>
      <c r="BG4" s="52">
        <v>600</v>
      </c>
      <c r="BH4" s="52"/>
      <c r="BI4" s="52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>
        <v>0</v>
      </c>
      <c r="CB4" s="49">
        <v>0</v>
      </c>
      <c r="CC4" s="49">
        <v>0</v>
      </c>
      <c r="CD4" s="49">
        <v>0</v>
      </c>
      <c r="CE4" s="49">
        <v>0</v>
      </c>
      <c r="CF4" s="49">
        <f>SUM(AZ4:BC4)</f>
        <v>316</v>
      </c>
      <c r="CG4" s="49">
        <f>SUM(BD4:BG4)</f>
        <v>1800</v>
      </c>
      <c r="CH4" s="49">
        <v>3000</v>
      </c>
      <c r="CI4" s="49">
        <v>4000</v>
      </c>
      <c r="CJ4" s="49">
        <v>5000</v>
      </c>
      <c r="CK4" s="49">
        <v>6000</v>
      </c>
      <c r="CL4" s="49">
        <f>+CK4*1.5</f>
        <v>9000</v>
      </c>
      <c r="CM4" s="49">
        <f>+CL4*1.2</f>
        <v>10800</v>
      </c>
      <c r="CN4" s="49">
        <f t="shared" ref="CN4" si="2">+CM4*1.2</f>
        <v>12960</v>
      </c>
    </row>
    <row r="5" spans="1:92" s="49" customFormat="1" x14ac:dyDescent="0.15">
      <c r="B5" s="50" t="s">
        <v>356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871.2</v>
      </c>
      <c r="AV5" s="52">
        <v>810.1</v>
      </c>
      <c r="AW5" s="52">
        <v>148.9</v>
      </c>
      <c r="AX5" s="52">
        <v>217.1</v>
      </c>
      <c r="AY5" s="52">
        <v>1063.0999999999999</v>
      </c>
      <c r="AZ5" s="52">
        <v>1469.8</v>
      </c>
      <c r="BA5" s="52">
        <v>129.1</v>
      </c>
      <c r="BB5" s="52">
        <v>100</v>
      </c>
      <c r="BC5" s="52">
        <v>100</v>
      </c>
      <c r="BD5" s="52">
        <v>0</v>
      </c>
      <c r="BE5" s="52">
        <v>0</v>
      </c>
      <c r="BF5" s="52">
        <v>0</v>
      </c>
      <c r="BG5" s="52">
        <v>0</v>
      </c>
      <c r="BH5" s="52"/>
      <c r="BI5" s="52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>
        <v>0</v>
      </c>
      <c r="CB5" s="49">
        <v>0</v>
      </c>
      <c r="CC5" s="49">
        <v>0</v>
      </c>
      <c r="CD5" s="49">
        <f t="shared" ref="CD5:CD32" si="3">SUM(AR5:AU5)</f>
        <v>871.2</v>
      </c>
      <c r="CE5" s="49">
        <f t="shared" ref="CE5:CE32" si="4">SUM(AV5:AY5)</f>
        <v>2239.1999999999998</v>
      </c>
      <c r="CF5" s="49">
        <f t="shared" ref="CF5:CF32" si="5">SUM(AZ5:BC5)</f>
        <v>1798.8999999999999</v>
      </c>
      <c r="CG5" s="49">
        <f t="shared" ref="CG5:CG32" si="6">SUM(BD5:BG5)</f>
        <v>0</v>
      </c>
    </row>
    <row r="6" spans="1:92" x14ac:dyDescent="0.15">
      <c r="B6" s="38" t="s">
        <v>352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  <c r="AM6" s="52"/>
      <c r="AN6" s="52">
        <v>252.5</v>
      </c>
      <c r="AO6" s="52">
        <v>353.8</v>
      </c>
      <c r="AP6" s="52">
        <v>340</v>
      </c>
      <c r="AQ6" s="52">
        <v>420.1</v>
      </c>
      <c r="AR6" s="52">
        <v>443.5</v>
      </c>
      <c r="AS6" s="52">
        <v>395.2</v>
      </c>
      <c r="AT6" s="52">
        <v>454.5</v>
      </c>
      <c r="AU6" s="52">
        <v>495.3</v>
      </c>
      <c r="AV6" s="52">
        <v>403.2</v>
      </c>
      <c r="AW6" s="52">
        <v>569.1</v>
      </c>
      <c r="AX6" s="52">
        <v>593.1</v>
      </c>
      <c r="AY6" s="52">
        <v>647.4</v>
      </c>
      <c r="AZ6" s="52">
        <v>488.1</v>
      </c>
      <c r="BA6" s="52">
        <v>606.20000000000005</v>
      </c>
      <c r="BB6" s="52">
        <f t="shared" ref="BB6:BG6" si="7">+AX6*1.2</f>
        <v>711.72</v>
      </c>
      <c r="BC6" s="52">
        <f t="shared" si="7"/>
        <v>776.88</v>
      </c>
      <c r="BD6" s="52">
        <f t="shared" si="7"/>
        <v>585.72</v>
      </c>
      <c r="BE6" s="52">
        <f t="shared" si="7"/>
        <v>727.44</v>
      </c>
      <c r="BF6" s="52">
        <f t="shared" si="7"/>
        <v>854.06399999999996</v>
      </c>
      <c r="BG6" s="52">
        <f t="shared" si="7"/>
        <v>932.25599999999997</v>
      </c>
      <c r="BH6" s="52"/>
      <c r="BI6" s="52"/>
      <c r="BJ6" s="49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>
        <v>559.20000000000005</v>
      </c>
      <c r="CB6" s="49">
        <v>937.5</v>
      </c>
      <c r="CC6" s="49">
        <v>1366.4</v>
      </c>
      <c r="CD6" s="49">
        <f t="shared" si="3"/>
        <v>1788.5</v>
      </c>
      <c r="CE6" s="49">
        <f t="shared" si="4"/>
        <v>2212.8000000000002</v>
      </c>
      <c r="CF6" s="49">
        <f t="shared" si="5"/>
        <v>2582.9</v>
      </c>
      <c r="CG6" s="49">
        <f t="shared" si="6"/>
        <v>3099.48</v>
      </c>
      <c r="CH6" s="49">
        <f>+CG6*1.2</f>
        <v>3719.3759999999997</v>
      </c>
      <c r="CI6" s="49">
        <f>+CH6*1.2</f>
        <v>4463.2511999999997</v>
      </c>
      <c r="CJ6" s="49">
        <f>+CI6*1.2</f>
        <v>5355.9014399999996</v>
      </c>
      <c r="CK6" s="49">
        <f>+CJ6*1.1</f>
        <v>5891.4915840000003</v>
      </c>
      <c r="CL6" s="49">
        <f>+CK6*1.1</f>
        <v>6480.6407424000008</v>
      </c>
      <c r="CM6" s="49">
        <f>+CL6*1.1</f>
        <v>7128.7048166400018</v>
      </c>
      <c r="CN6" s="49">
        <f>+CM6*1.05</f>
        <v>7485.1400574720019</v>
      </c>
    </row>
    <row r="7" spans="1:92" x14ac:dyDescent="0.15">
      <c r="B7" s="38" t="s">
        <v>349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>
        <v>109.4</v>
      </c>
      <c r="AO7" s="51">
        <v>133.9</v>
      </c>
      <c r="AP7" s="51">
        <v>157.19999999999999</v>
      </c>
      <c r="AQ7" s="51">
        <v>179.1</v>
      </c>
      <c r="AR7" s="51">
        <v>188</v>
      </c>
      <c r="AS7" s="51">
        <v>208.6</v>
      </c>
      <c r="AT7" s="51">
        <v>234.4</v>
      </c>
      <c r="AU7" s="51">
        <v>281.60000000000002</v>
      </c>
      <c r="AV7" s="51">
        <v>269</v>
      </c>
      <c r="AW7" s="51">
        <v>341.3</v>
      </c>
      <c r="AX7" s="51">
        <v>335.5</v>
      </c>
      <c r="AY7" s="51">
        <v>404.1</v>
      </c>
      <c r="AZ7" s="51">
        <v>469.4</v>
      </c>
      <c r="BA7" s="51">
        <v>588.5</v>
      </c>
      <c r="BB7" s="51">
        <f>+AX7*1.3</f>
        <v>436.15000000000003</v>
      </c>
      <c r="BC7" s="51">
        <f t="shared" ref="BC7:BE8" si="8">+AY7*1.2</f>
        <v>484.92</v>
      </c>
      <c r="BD7" s="51">
        <f t="shared" si="8"/>
        <v>563.28</v>
      </c>
      <c r="BE7" s="51">
        <f t="shared" si="8"/>
        <v>706.19999999999993</v>
      </c>
      <c r="BF7" s="51">
        <f>+BB7*1.15</f>
        <v>501.57249999999999</v>
      </c>
      <c r="BG7" s="51">
        <f>+BC7*1.15</f>
        <v>557.65800000000002</v>
      </c>
      <c r="BH7" s="51"/>
      <c r="BI7" s="51"/>
      <c r="BJ7" s="49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>
        <v>21</v>
      </c>
      <c r="CB7" s="49">
        <v>255</v>
      </c>
      <c r="CC7" s="49">
        <v>579.70000000000005</v>
      </c>
      <c r="CD7" s="49">
        <f t="shared" si="3"/>
        <v>912.6</v>
      </c>
      <c r="CE7" s="49">
        <f t="shared" si="4"/>
        <v>1349.9</v>
      </c>
      <c r="CF7" s="49">
        <f t="shared" si="5"/>
        <v>1978.9700000000003</v>
      </c>
      <c r="CG7" s="49">
        <f t="shared" si="6"/>
        <v>2328.7105000000001</v>
      </c>
      <c r="CH7" s="49">
        <f>+CG7*1.2</f>
        <v>2794.4526000000001</v>
      </c>
      <c r="CI7" s="49">
        <f>+CH7*1.01</f>
        <v>2822.3971260000003</v>
      </c>
      <c r="CJ7" s="49">
        <f>+CI7*1.01</f>
        <v>2850.6210972600002</v>
      </c>
      <c r="CK7" s="49">
        <f>+CJ7*1.01</f>
        <v>2879.1273082326002</v>
      </c>
      <c r="CL7" s="49">
        <f>+CK7*1.01</f>
        <v>2907.9185813149261</v>
      </c>
      <c r="CM7" s="49">
        <f>+CL7*1.01</f>
        <v>2936.9977671280753</v>
      </c>
      <c r="CN7" s="49">
        <f>+CM7*0.1</f>
        <v>293.69977671280753</v>
      </c>
    </row>
    <row r="8" spans="1:92" x14ac:dyDescent="0.15">
      <c r="B8" s="38" t="s">
        <v>348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>
        <v>203.6</v>
      </c>
      <c r="AO8" s="51">
        <v>231.9</v>
      </c>
      <c r="AP8" s="51">
        <v>240.7</v>
      </c>
      <c r="AQ8" s="51">
        <v>268</v>
      </c>
      <c r="AR8" s="51">
        <v>267.5</v>
      </c>
      <c r="AS8" s="51">
        <v>262</v>
      </c>
      <c r="AT8" s="51">
        <v>310.8</v>
      </c>
      <c r="AU8" s="51">
        <v>313.60000000000002</v>
      </c>
      <c r="AV8" s="51">
        <v>312</v>
      </c>
      <c r="AW8" s="51">
        <v>356.5</v>
      </c>
      <c r="AX8" s="51">
        <v>390.4</v>
      </c>
      <c r="AY8" s="51">
        <v>431.9</v>
      </c>
      <c r="AZ8" s="51">
        <v>419.4</v>
      </c>
      <c r="BA8" s="51">
        <v>461</v>
      </c>
      <c r="BB8" s="51">
        <f>+AX8*1.2</f>
        <v>468.47999999999996</v>
      </c>
      <c r="BC8" s="51">
        <f t="shared" si="8"/>
        <v>518.28</v>
      </c>
      <c r="BD8" s="51">
        <f t="shared" si="8"/>
        <v>503.28</v>
      </c>
      <c r="BE8" s="51">
        <f t="shared" si="8"/>
        <v>553.19999999999993</v>
      </c>
      <c r="BF8" s="51">
        <f>+BB8*1.2</f>
        <v>562.17599999999993</v>
      </c>
      <c r="BG8" s="51">
        <f>+BC8*1.2</f>
        <v>621.93599999999992</v>
      </c>
      <c r="BH8" s="51"/>
      <c r="BI8" s="51"/>
      <c r="BJ8" s="49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>
        <v>447.5</v>
      </c>
      <c r="CB8" s="49">
        <v>658.3</v>
      </c>
      <c r="CC8" s="49">
        <v>944.2</v>
      </c>
      <c r="CD8" s="49">
        <f t="shared" si="3"/>
        <v>1153.9000000000001</v>
      </c>
      <c r="CE8" s="49">
        <f t="shared" si="4"/>
        <v>1490.8000000000002</v>
      </c>
      <c r="CF8" s="49">
        <f t="shared" si="5"/>
        <v>1867.1599999999999</v>
      </c>
      <c r="CG8" s="49">
        <f t="shared" si="6"/>
        <v>2240.5919999999996</v>
      </c>
      <c r="CH8" s="49">
        <f>+CG8*1.2</f>
        <v>2688.7103999999995</v>
      </c>
      <c r="CI8" s="49">
        <f>+CH8*1.2</f>
        <v>3226.4524799999995</v>
      </c>
      <c r="CJ8" s="49">
        <f>+CI8*1.2</f>
        <v>3871.7429759999991</v>
      </c>
      <c r="CK8" s="49">
        <f>+CJ8*1.1</f>
        <v>4258.9172735999991</v>
      </c>
      <c r="CL8" s="49">
        <f>+CK8*1.1</f>
        <v>4684.8090009599991</v>
      </c>
      <c r="CM8" s="49">
        <f>+CL8*1.1</f>
        <v>5153.2899010559995</v>
      </c>
      <c r="CN8" s="49">
        <f>+CM8*0.1</f>
        <v>515.32899010559993</v>
      </c>
    </row>
    <row r="9" spans="1:92" x14ac:dyDescent="0.15">
      <c r="B9" t="s">
        <v>54</v>
      </c>
      <c r="C9" s="51">
        <v>267.2</v>
      </c>
      <c r="D9" s="51">
        <v>285.3</v>
      </c>
      <c r="E9" s="51">
        <v>264.60000000000002</v>
      </c>
      <c r="F9" s="51">
        <v>284.60000000000002</v>
      </c>
      <c r="G9" s="51">
        <v>286.2</v>
      </c>
      <c r="H9" s="51">
        <v>296.2</v>
      </c>
      <c r="I9" s="51">
        <f>M9/1.05</f>
        <v>306.66666666666663</v>
      </c>
      <c r="J9" s="51">
        <v>309.10000000000002</v>
      </c>
      <c r="K9" s="51">
        <v>305</v>
      </c>
      <c r="L9" s="51">
        <v>321</v>
      </c>
      <c r="M9" s="51">
        <v>322</v>
      </c>
      <c r="N9" s="51">
        <v>352.2</v>
      </c>
      <c r="O9" s="51">
        <v>339.5</v>
      </c>
      <c r="P9" s="51">
        <v>358.4</v>
      </c>
      <c r="Q9" s="51">
        <v>362.5</v>
      </c>
      <c r="R9" s="51">
        <v>414.2</v>
      </c>
      <c r="S9" s="51">
        <v>407.4</v>
      </c>
      <c r="T9" s="51">
        <v>437.9</v>
      </c>
      <c r="U9" s="51">
        <v>432.6</v>
      </c>
      <c r="V9" s="51">
        <v>457.9</v>
      </c>
      <c r="W9" s="51">
        <v>450.6</v>
      </c>
      <c r="X9" s="51">
        <v>477.5</v>
      </c>
      <c r="Y9" s="51">
        <v>500.2</v>
      </c>
      <c r="Z9" s="51">
        <v>530.79999999999995</v>
      </c>
      <c r="AA9" s="51">
        <v>506.4</v>
      </c>
      <c r="AB9" s="51">
        <v>504.6</v>
      </c>
      <c r="AC9" s="51">
        <v>494</v>
      </c>
      <c r="AD9" s="51">
        <v>549.1</v>
      </c>
      <c r="AE9" s="51">
        <v>525.4</v>
      </c>
      <c r="AF9" s="51">
        <v>586.9</v>
      </c>
      <c r="AG9" s="51">
        <v>593.20000000000005</v>
      </c>
      <c r="AH9" s="51">
        <v>662</v>
      </c>
      <c r="AI9" s="51">
        <v>590.29999999999995</v>
      </c>
      <c r="AJ9" s="51">
        <v>613.4</v>
      </c>
      <c r="AK9" s="51">
        <v>575.79999999999995</v>
      </c>
      <c r="AL9" s="51">
        <f t="shared" ref="AL9:AM9" si="9">+AK9-5</f>
        <v>570.79999999999995</v>
      </c>
      <c r="AM9" s="51">
        <f t="shared" si="9"/>
        <v>565.79999999999995</v>
      </c>
      <c r="AN9" s="51">
        <v>730.8</v>
      </c>
      <c r="AO9" s="51">
        <v>677.6</v>
      </c>
      <c r="AP9" s="51">
        <v>648.9</v>
      </c>
      <c r="AQ9" s="51">
        <v>763.4</v>
      </c>
      <c r="AR9" s="51">
        <v>695.8</v>
      </c>
      <c r="AS9" s="51">
        <v>555.1</v>
      </c>
      <c r="AT9" s="51">
        <v>656.9</v>
      </c>
      <c r="AU9" s="51">
        <v>718.1</v>
      </c>
      <c r="AV9" s="51">
        <f>332.7+284.4</f>
        <v>617.09999999999991</v>
      </c>
      <c r="AW9" s="51">
        <v>607.6</v>
      </c>
      <c r="AX9" s="51">
        <v>626.70000000000005</v>
      </c>
      <c r="AY9" s="51">
        <v>601.70000000000005</v>
      </c>
      <c r="AZ9" s="51">
        <f>368.9+249.3</f>
        <v>618.20000000000005</v>
      </c>
      <c r="BA9" s="51">
        <v>447.1</v>
      </c>
      <c r="BB9" s="51">
        <f t="shared" ref="BB9:BG9" si="10">+AX9*0.98</f>
        <v>614.16600000000005</v>
      </c>
      <c r="BC9" s="51">
        <f t="shared" si="10"/>
        <v>589.66600000000005</v>
      </c>
      <c r="BD9" s="51">
        <f t="shared" si="10"/>
        <v>605.83600000000001</v>
      </c>
      <c r="BE9" s="51">
        <f t="shared" si="10"/>
        <v>438.15800000000002</v>
      </c>
      <c r="BF9" s="51">
        <f t="shared" si="10"/>
        <v>601.88268000000005</v>
      </c>
      <c r="BG9" s="51">
        <f t="shared" si="10"/>
        <v>577.87268000000006</v>
      </c>
      <c r="BH9" s="51"/>
      <c r="BI9" s="51"/>
      <c r="BJ9" s="49"/>
      <c r="BK9" s="51"/>
      <c r="BL9" s="51">
        <v>834</v>
      </c>
      <c r="BM9" s="51">
        <v>1021</v>
      </c>
      <c r="BN9" s="51">
        <v>1101</v>
      </c>
      <c r="BO9" s="51">
        <v>1198</v>
      </c>
      <c r="BP9" s="51">
        <f>SUM(K9:N9)</f>
        <v>1300.2</v>
      </c>
      <c r="BQ9" s="51">
        <f>SUM(O9:R9)</f>
        <v>1474.6000000000001</v>
      </c>
      <c r="BR9" s="51">
        <f>SUM(S9:V9)</f>
        <v>1735.8000000000002</v>
      </c>
      <c r="BS9" s="51">
        <f>SUM(W9:Z9)</f>
        <v>1959.1</v>
      </c>
      <c r="BT9" s="51">
        <f>SUM(AA9:AD9)</f>
        <v>2054.1</v>
      </c>
      <c r="BU9" s="51">
        <f>SUM(AE9:AH9)</f>
        <v>2367.5</v>
      </c>
      <c r="BV9" s="51">
        <f>SUM(AI9:AL9)</f>
        <v>2350.2999999999997</v>
      </c>
      <c r="BW9" s="51">
        <f>BV9*0.99</f>
        <v>2326.7969999999996</v>
      </c>
      <c r="BX9" s="51">
        <f t="shared" ref="BX9" si="11">BW9*0.99</f>
        <v>2303.5290299999997</v>
      </c>
      <c r="BY9" s="51"/>
      <c r="BZ9" s="51"/>
      <c r="CA9" s="51">
        <v>2865.2</v>
      </c>
      <c r="CB9" s="49">
        <v>2996.5</v>
      </c>
      <c r="CC9" s="49">
        <v>2820.7</v>
      </c>
      <c r="CD9" s="49">
        <f>SUM(AR9:AU9)</f>
        <v>2625.9</v>
      </c>
      <c r="CE9" s="49">
        <f>SUM(AV9:AY9)</f>
        <v>2453.1</v>
      </c>
      <c r="CF9" s="49">
        <f>SUM(AZ9:BC9)</f>
        <v>2269.1320000000005</v>
      </c>
      <c r="CG9" s="49">
        <f>SUM(BD9:BG9)</f>
        <v>2223.7493600000003</v>
      </c>
      <c r="CH9" s="49">
        <f>+CG9*0.95</f>
        <v>2112.5618920000002</v>
      </c>
      <c r="CI9" s="49">
        <f t="shared" ref="CI9:CN9" si="12">+CH9*0.95</f>
        <v>2006.9337974</v>
      </c>
      <c r="CJ9" s="49">
        <f t="shared" si="12"/>
        <v>1906.5871075299999</v>
      </c>
      <c r="CK9" s="49">
        <f t="shared" si="12"/>
        <v>1811.2577521534997</v>
      </c>
      <c r="CL9" s="49">
        <f t="shared" si="12"/>
        <v>1720.6948645458247</v>
      </c>
      <c r="CM9" s="49">
        <f t="shared" si="12"/>
        <v>1634.6601213185334</v>
      </c>
      <c r="CN9" s="49">
        <f t="shared" si="12"/>
        <v>1552.9271152526067</v>
      </c>
    </row>
    <row r="10" spans="1:92" x14ac:dyDescent="0.15">
      <c r="B10" t="s">
        <v>19</v>
      </c>
      <c r="C10" s="51">
        <v>11.6</v>
      </c>
      <c r="D10" s="51">
        <v>17.8</v>
      </c>
      <c r="E10" s="51">
        <v>40</v>
      </c>
      <c r="F10" s="51">
        <v>73.099999999999994</v>
      </c>
      <c r="G10" s="51">
        <v>93.9</v>
      </c>
      <c r="H10" s="51">
        <v>111.2</v>
      </c>
      <c r="I10" s="51">
        <v>122.3</v>
      </c>
      <c r="J10" s="51">
        <v>135.80000000000001</v>
      </c>
      <c r="K10" s="51">
        <v>130</v>
      </c>
      <c r="L10" s="51">
        <v>153</v>
      </c>
      <c r="M10" s="51">
        <v>157</v>
      </c>
      <c r="N10" s="51">
        <v>171.4</v>
      </c>
      <c r="O10" s="51">
        <v>187.8</v>
      </c>
      <c r="P10" s="51">
        <v>207.1</v>
      </c>
      <c r="Q10" s="51">
        <v>215</v>
      </c>
      <c r="R10" s="51">
        <v>244.1</v>
      </c>
      <c r="S10" s="51">
        <v>247.2</v>
      </c>
      <c r="T10" s="51">
        <v>275</v>
      </c>
      <c r="U10" s="51">
        <v>313.89999999999998</v>
      </c>
      <c r="V10" s="51">
        <v>318.7</v>
      </c>
      <c r="W10" s="51">
        <v>335.3</v>
      </c>
      <c r="X10" s="51">
        <v>385.3</v>
      </c>
      <c r="Y10" s="51">
        <v>461.9</v>
      </c>
      <c r="Z10" s="51">
        <v>523.6</v>
      </c>
      <c r="AA10" s="51">
        <v>527.4</v>
      </c>
      <c r="AB10" s="51">
        <v>551.79999999999995</v>
      </c>
      <c r="AC10" s="51">
        <v>560.29999999999995</v>
      </c>
      <c r="AD10" s="51">
        <v>569</v>
      </c>
      <c r="AE10" s="51">
        <v>579.9</v>
      </c>
      <c r="AF10" s="51">
        <v>613.4</v>
      </c>
      <c r="AG10" s="51">
        <v>629.70000000000005</v>
      </c>
      <c r="AH10" s="51">
        <v>638.1</v>
      </c>
      <c r="AI10" s="51">
        <v>606.79999999999995</v>
      </c>
      <c r="AJ10" s="51">
        <v>659.5</v>
      </c>
      <c r="AK10" s="51">
        <v>643.6</v>
      </c>
      <c r="AL10" s="51">
        <f t="shared" ref="AL10:AM10" si="13">+AK10</f>
        <v>643.6</v>
      </c>
      <c r="AM10" s="51">
        <f t="shared" si="13"/>
        <v>643.6</v>
      </c>
      <c r="AN10" s="51">
        <v>499.2</v>
      </c>
      <c r="AO10" s="51">
        <v>577.79999999999995</v>
      </c>
      <c r="AP10" s="51">
        <v>508.2</v>
      </c>
      <c r="AQ10" s="51">
        <v>530.70000000000005</v>
      </c>
      <c r="AR10" s="51">
        <v>560.1</v>
      </c>
      <c r="AS10" s="51">
        <v>539.1</v>
      </c>
      <c r="AT10" s="51">
        <v>578</v>
      </c>
      <c r="AU10" s="51">
        <v>652.70000000000005</v>
      </c>
      <c r="AV10" s="51">
        <v>559</v>
      </c>
      <c r="AW10" s="51">
        <v>610.6</v>
      </c>
      <c r="AX10" s="51">
        <v>457</v>
      </c>
      <c r="AY10" s="51">
        <v>434.9</v>
      </c>
      <c r="AZ10" s="51">
        <v>343.9</v>
      </c>
      <c r="BA10" s="51">
        <v>227.7</v>
      </c>
      <c r="BB10" s="51">
        <f t="shared" ref="BB10:BG10" si="14">+BA10-20</f>
        <v>207.7</v>
      </c>
      <c r="BC10" s="51">
        <f t="shared" si="14"/>
        <v>187.7</v>
      </c>
      <c r="BD10" s="51">
        <f t="shared" si="14"/>
        <v>167.7</v>
      </c>
      <c r="BE10" s="51">
        <f t="shared" si="14"/>
        <v>147.69999999999999</v>
      </c>
      <c r="BF10" s="51">
        <f t="shared" si="14"/>
        <v>127.69999999999999</v>
      </c>
      <c r="BG10" s="51">
        <f t="shared" si="14"/>
        <v>107.69999999999999</v>
      </c>
      <c r="BH10" s="51"/>
      <c r="BI10" s="51"/>
      <c r="BJ10" s="49"/>
      <c r="BK10" s="51"/>
      <c r="BL10" s="51"/>
      <c r="BM10" s="51"/>
      <c r="BN10" s="51">
        <v>143</v>
      </c>
      <c r="BO10" s="51">
        <v>463</v>
      </c>
      <c r="BP10" s="51">
        <v>619</v>
      </c>
      <c r="BQ10" s="51">
        <f>SUM(O10:R10)</f>
        <v>854</v>
      </c>
      <c r="BR10" s="51">
        <f>SUM(S10:V10)</f>
        <v>1154.8</v>
      </c>
      <c r="BS10" s="51">
        <f>SUM(W10:Z10)</f>
        <v>1706.1</v>
      </c>
      <c r="BT10" s="51">
        <f>SUM(AA10:AD10)</f>
        <v>2208.5</v>
      </c>
      <c r="BU10" s="51">
        <f>SUM(AE10:AH10)</f>
        <v>2461.1</v>
      </c>
      <c r="BV10" s="51">
        <f>SUM(AI10:AL10)</f>
        <v>2553.5</v>
      </c>
      <c r="BW10" s="51">
        <f>BV10*1.15</f>
        <v>2936.5249999999996</v>
      </c>
      <c r="BX10" s="51">
        <f>BW10</f>
        <v>2936.5249999999996</v>
      </c>
      <c r="BY10" s="51"/>
      <c r="BZ10" s="51"/>
      <c r="CA10" s="51">
        <v>2062.5</v>
      </c>
      <c r="CB10" s="49">
        <v>2132.9</v>
      </c>
      <c r="CC10" s="49">
        <v>2115.8000000000002</v>
      </c>
      <c r="CD10" s="49">
        <f t="shared" si="3"/>
        <v>2329.9</v>
      </c>
      <c r="CE10" s="49">
        <f t="shared" si="4"/>
        <v>2061.5</v>
      </c>
      <c r="CF10" s="49">
        <f t="shared" si="5"/>
        <v>967</v>
      </c>
      <c r="CG10" s="49">
        <f t="shared" si="6"/>
        <v>550.79999999999995</v>
      </c>
      <c r="CH10" s="49">
        <f>+CG10*0.5</f>
        <v>275.39999999999998</v>
      </c>
      <c r="CI10" s="49">
        <f t="shared" ref="CI10:CN10" si="15">+CH10*0.5</f>
        <v>137.69999999999999</v>
      </c>
      <c r="CJ10" s="49">
        <f t="shared" si="15"/>
        <v>68.849999999999994</v>
      </c>
      <c r="CK10" s="49">
        <f t="shared" si="15"/>
        <v>34.424999999999997</v>
      </c>
      <c r="CL10" s="49">
        <f t="shared" si="15"/>
        <v>17.212499999999999</v>
      </c>
      <c r="CM10" s="49">
        <f t="shared" si="15"/>
        <v>8.6062499999999993</v>
      </c>
      <c r="CN10" s="49">
        <f t="shared" si="15"/>
        <v>4.3031249999999996</v>
      </c>
    </row>
    <row r="11" spans="1:92" x14ac:dyDescent="0.15">
      <c r="B11" t="s">
        <v>57</v>
      </c>
      <c r="C11" s="51">
        <v>249.4</v>
      </c>
      <c r="D11" s="51">
        <v>259.3</v>
      </c>
      <c r="E11" s="51">
        <v>243.7</v>
      </c>
      <c r="F11" s="51">
        <v>245.2</v>
      </c>
      <c r="G11" s="51">
        <v>256.89999999999998</v>
      </c>
      <c r="H11" s="51">
        <v>249.8</v>
      </c>
      <c r="I11" s="51">
        <v>250.9</v>
      </c>
      <c r="J11" s="51">
        <v>247.2</v>
      </c>
      <c r="K11" s="51">
        <v>219</v>
      </c>
      <c r="L11" s="51">
        <v>220</v>
      </c>
      <c r="M11" s="51">
        <v>230</v>
      </c>
      <c r="N11" s="51">
        <v>257</v>
      </c>
      <c r="O11" s="51">
        <v>225.8</v>
      </c>
      <c r="P11" s="51">
        <v>242.8</v>
      </c>
      <c r="Q11" s="51">
        <v>243.3</v>
      </c>
      <c r="R11" s="51">
        <v>273.39999999999998</v>
      </c>
      <c r="S11" s="51">
        <v>257.7</v>
      </c>
      <c r="T11" s="51">
        <v>271.39999999999998</v>
      </c>
      <c r="U11" s="51">
        <v>271.60000000000002</v>
      </c>
      <c r="V11" s="51">
        <v>262.39999999999998</v>
      </c>
      <c r="W11" s="51">
        <v>240.6</v>
      </c>
      <c r="X11" s="51">
        <v>248.1</v>
      </c>
      <c r="Y11" s="51">
        <v>260.39999999999998</v>
      </c>
      <c r="Z11" s="51">
        <v>273</v>
      </c>
      <c r="AA11" s="51">
        <v>257.8</v>
      </c>
      <c r="AB11" s="51">
        <v>265.2</v>
      </c>
      <c r="AC11" s="51">
        <v>278</v>
      </c>
      <c r="AD11" s="51">
        <v>287.89999999999998</v>
      </c>
      <c r="AE11" s="51">
        <v>289.8</v>
      </c>
      <c r="AF11" s="51">
        <v>311.8</v>
      </c>
      <c r="AG11" s="51">
        <v>301.5</v>
      </c>
      <c r="AH11" s="51">
        <v>345.6</v>
      </c>
      <c r="AI11" s="51">
        <v>307.7</v>
      </c>
      <c r="AJ11" s="51">
        <v>303</v>
      </c>
      <c r="AK11" s="51">
        <v>285.39999999999998</v>
      </c>
      <c r="AL11" s="51">
        <f t="shared" ref="AL11:AM11" si="16">+AK11</f>
        <v>285.39999999999998</v>
      </c>
      <c r="AM11" s="51">
        <f t="shared" si="16"/>
        <v>285.39999999999998</v>
      </c>
      <c r="AN11" s="51">
        <v>297.7</v>
      </c>
      <c r="AO11" s="51">
        <v>322.60000000000002</v>
      </c>
      <c r="AP11" s="51">
        <v>321.8</v>
      </c>
      <c r="AQ11" s="51">
        <v>348</v>
      </c>
      <c r="AR11" s="51">
        <v>315.7</v>
      </c>
      <c r="AS11" s="51">
        <v>313.60000000000002</v>
      </c>
      <c r="AT11" s="51">
        <v>305.89999999999998</v>
      </c>
      <c r="AU11" s="51">
        <v>324.39999999999998</v>
      </c>
      <c r="AV11" s="51">
        <f>219+102.7</f>
        <v>321.7</v>
      </c>
      <c r="AW11" s="51">
        <v>315.3</v>
      </c>
      <c r="AX11" s="51">
        <v>286.7</v>
      </c>
      <c r="AY11" s="51">
        <v>298.8</v>
      </c>
      <c r="AZ11" s="51">
        <f>190.4+82.8</f>
        <v>273.2</v>
      </c>
      <c r="BA11" s="51">
        <v>274</v>
      </c>
      <c r="BB11" s="51">
        <f t="shared" ref="BB11:BG11" si="17">+AX11*0.9</f>
        <v>258.02999999999997</v>
      </c>
      <c r="BC11" s="51">
        <f t="shared" si="17"/>
        <v>268.92</v>
      </c>
      <c r="BD11" s="51">
        <f t="shared" si="17"/>
        <v>245.88</v>
      </c>
      <c r="BE11" s="51">
        <f t="shared" si="17"/>
        <v>246.6</v>
      </c>
      <c r="BF11" s="51">
        <f t="shared" si="17"/>
        <v>232.22699999999998</v>
      </c>
      <c r="BG11" s="51">
        <f t="shared" si="17"/>
        <v>242.02800000000002</v>
      </c>
      <c r="BH11" s="51"/>
      <c r="BI11" s="51"/>
      <c r="BJ11" s="49"/>
      <c r="BK11" s="51"/>
      <c r="BL11" s="51">
        <v>1004</v>
      </c>
      <c r="BM11" s="51">
        <v>1060</v>
      </c>
      <c r="BN11" s="51">
        <v>997</v>
      </c>
      <c r="BO11" s="51">
        <v>1005</v>
      </c>
      <c r="BP11" s="51">
        <v>905</v>
      </c>
      <c r="BQ11" s="51">
        <f>SUM(O11:R11)</f>
        <v>985.30000000000007</v>
      </c>
      <c r="BR11" s="51">
        <f>SUM(S11:V11)</f>
        <v>1063.0999999999999</v>
      </c>
      <c r="BS11" s="51">
        <f>SUM(W11:Z11)</f>
        <v>1022.0999999999999</v>
      </c>
      <c r="BT11" s="51">
        <f>SUM(AA11:AD11)</f>
        <v>1088.9000000000001</v>
      </c>
      <c r="BU11" s="51">
        <f>SUM(AE11:AH11)</f>
        <v>1248.7</v>
      </c>
      <c r="BV11" s="51">
        <f>SUM(AI11:AL11)</f>
        <v>1181.5</v>
      </c>
      <c r="BW11" s="51">
        <f>BV11*0.99</f>
        <v>1169.6849999999999</v>
      </c>
      <c r="BX11" s="51">
        <f t="shared" ref="BX11" si="18">BW11*0.99</f>
        <v>1157.9881499999999</v>
      </c>
      <c r="BY11" s="51"/>
      <c r="BZ11" s="51"/>
      <c r="CA11" s="51">
        <v>1335.4</v>
      </c>
      <c r="CB11" s="49">
        <v>1331.4</v>
      </c>
      <c r="CC11" s="49">
        <v>1290.0999999999999</v>
      </c>
      <c r="CD11" s="49">
        <f t="shared" si="3"/>
        <v>1259.5999999999999</v>
      </c>
      <c r="CE11" s="49">
        <f t="shared" si="4"/>
        <v>1222.5</v>
      </c>
      <c r="CF11" s="49">
        <f t="shared" si="5"/>
        <v>1074.1500000000001</v>
      </c>
      <c r="CG11" s="49">
        <f t="shared" si="6"/>
        <v>966.73500000000001</v>
      </c>
      <c r="CH11" s="49">
        <f t="shared" ref="CH11:CN11" si="19">+CG11*0.95</f>
        <v>918.39824999999996</v>
      </c>
      <c r="CI11" s="49">
        <f t="shared" si="19"/>
        <v>872.47833749999995</v>
      </c>
      <c r="CJ11" s="49">
        <f t="shared" si="19"/>
        <v>828.85442062499988</v>
      </c>
      <c r="CK11" s="49">
        <f t="shared" si="19"/>
        <v>787.41169959374986</v>
      </c>
      <c r="CL11" s="49">
        <f t="shared" si="19"/>
        <v>748.04111461406228</v>
      </c>
      <c r="CM11" s="49">
        <f t="shared" si="19"/>
        <v>710.6390588833591</v>
      </c>
      <c r="CN11" s="49">
        <f t="shared" si="19"/>
        <v>675.10710593919111</v>
      </c>
    </row>
    <row r="12" spans="1:92" x14ac:dyDescent="0.15">
      <c r="B12" s="38" t="s">
        <v>353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2"/>
      <c r="AM12" s="52"/>
      <c r="AN12" s="52">
        <v>82.1</v>
      </c>
      <c r="AO12" s="52">
        <v>102.4</v>
      </c>
      <c r="AP12" s="52">
        <v>114.6</v>
      </c>
      <c r="AQ12" s="52">
        <v>127.8</v>
      </c>
      <c r="AR12" s="52">
        <v>139.69999999999999</v>
      </c>
      <c r="AS12" s="52">
        <v>145</v>
      </c>
      <c r="AT12" s="52">
        <v>162</v>
      </c>
      <c r="AU12" s="52">
        <v>192.2</v>
      </c>
      <c r="AV12" s="52">
        <v>193.8</v>
      </c>
      <c r="AW12" s="52">
        <v>208.4</v>
      </c>
      <c r="AX12" s="52">
        <v>406.9</v>
      </c>
      <c r="AY12" s="52">
        <v>306</v>
      </c>
      <c r="AZ12" s="52">
        <v>255.6</v>
      </c>
      <c r="BA12" s="52">
        <v>186.2</v>
      </c>
      <c r="BB12" s="52">
        <f>+AX12*0.8</f>
        <v>325.52</v>
      </c>
      <c r="BC12" s="52">
        <f>+AY12*1</f>
        <v>306</v>
      </c>
      <c r="BD12" s="52">
        <f>+AZ12*1.1</f>
        <v>281.16000000000003</v>
      </c>
      <c r="BE12" s="52">
        <f>+BA12*1.1</f>
        <v>204.82</v>
      </c>
      <c r="BF12" s="52">
        <f>+BB12*1.05</f>
        <v>341.79599999999999</v>
      </c>
      <c r="BG12" s="52">
        <f>+BC12*1.1</f>
        <v>336.6</v>
      </c>
      <c r="BH12" s="52"/>
      <c r="BI12" s="52"/>
      <c r="BJ12" s="49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>
        <v>45.8</v>
      </c>
      <c r="CB12" s="49">
        <v>202.5</v>
      </c>
      <c r="CC12" s="49">
        <v>426.9</v>
      </c>
      <c r="CD12" s="49">
        <f t="shared" si="3"/>
        <v>638.9</v>
      </c>
      <c r="CE12" s="49">
        <f t="shared" si="4"/>
        <v>1115.0999999999999</v>
      </c>
      <c r="CF12" s="49">
        <f t="shared" si="5"/>
        <v>1073.32</v>
      </c>
      <c r="CG12" s="49">
        <f t="shared" si="6"/>
        <v>1164.3760000000002</v>
      </c>
      <c r="CH12" s="49">
        <f>+CG12*1.01</f>
        <v>1176.0197600000001</v>
      </c>
      <c r="CI12" s="49">
        <f t="shared" ref="CI12:CM12" si="20">+CH12*1.01</f>
        <v>1187.7799576000002</v>
      </c>
      <c r="CJ12" s="49">
        <f t="shared" si="20"/>
        <v>1199.6577571760001</v>
      </c>
      <c r="CK12" s="49">
        <f t="shared" si="20"/>
        <v>1211.6543347477602</v>
      </c>
      <c r="CL12" s="49">
        <f t="shared" si="20"/>
        <v>1223.7708780952378</v>
      </c>
      <c r="CM12" s="49">
        <f t="shared" si="20"/>
        <v>1236.0085868761901</v>
      </c>
      <c r="CN12" s="49">
        <f>+CM12*0.1</f>
        <v>123.60085868761901</v>
      </c>
    </row>
    <row r="13" spans="1:92" x14ac:dyDescent="0.15">
      <c r="B13" s="38" t="s">
        <v>350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>
        <v>198.3</v>
      </c>
      <c r="AO13" s="51">
        <v>241.8</v>
      </c>
      <c r="AP13" s="51">
        <v>240</v>
      </c>
      <c r="AQ13" s="51">
        <v>245.1</v>
      </c>
      <c r="AR13" s="51">
        <v>239</v>
      </c>
      <c r="AS13" s="51">
        <v>256.7</v>
      </c>
      <c r="AT13" s="51">
        <v>252.7</v>
      </c>
      <c r="AU13" s="51">
        <v>284.2</v>
      </c>
      <c r="AV13" s="51">
        <v>240.5</v>
      </c>
      <c r="AW13" s="51">
        <v>268.7</v>
      </c>
      <c r="AX13" s="51">
        <v>253.4</v>
      </c>
      <c r="AY13" s="51">
        <v>270.39999999999998</v>
      </c>
      <c r="AZ13" s="51">
        <v>230.3</v>
      </c>
      <c r="BA13" s="51">
        <v>231.3</v>
      </c>
      <c r="BB13" s="51">
        <f t="shared" ref="BB13:BG13" si="21">+AW13*0.95</f>
        <v>255.26499999999999</v>
      </c>
      <c r="BC13" s="51">
        <f t="shared" si="21"/>
        <v>240.73</v>
      </c>
      <c r="BD13" s="51">
        <f t="shared" si="21"/>
        <v>256.87999999999994</v>
      </c>
      <c r="BE13" s="51">
        <f t="shared" si="21"/>
        <v>218.785</v>
      </c>
      <c r="BF13" s="51">
        <f t="shared" si="21"/>
        <v>219.73500000000001</v>
      </c>
      <c r="BG13" s="51">
        <f t="shared" si="21"/>
        <v>242.50174999999999</v>
      </c>
      <c r="BH13" s="51"/>
      <c r="BI13" s="51"/>
      <c r="BJ13" s="49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>
        <v>758.3</v>
      </c>
      <c r="CB13" s="49">
        <v>821.4</v>
      </c>
      <c r="CC13" s="49">
        <v>925.1</v>
      </c>
      <c r="CD13" s="49">
        <f t="shared" si="3"/>
        <v>1032.5999999999999</v>
      </c>
      <c r="CE13" s="49">
        <f t="shared" si="4"/>
        <v>1033</v>
      </c>
      <c r="CF13" s="49">
        <f t="shared" si="5"/>
        <v>957.59500000000003</v>
      </c>
      <c r="CG13" s="49">
        <f t="shared" si="6"/>
        <v>937.90174999999999</v>
      </c>
      <c r="CH13" s="49">
        <f t="shared" ref="CH13:CN13" si="22">+CG13*0.95</f>
        <v>891.00666249999995</v>
      </c>
      <c r="CI13" s="49">
        <f t="shared" si="22"/>
        <v>846.45632937499988</v>
      </c>
      <c r="CJ13" s="49">
        <f t="shared" si="22"/>
        <v>804.13351290624985</v>
      </c>
      <c r="CK13" s="49">
        <f t="shared" si="22"/>
        <v>763.9268372609373</v>
      </c>
      <c r="CL13" s="49">
        <f t="shared" si="22"/>
        <v>725.73049539789042</v>
      </c>
      <c r="CM13" s="49">
        <f t="shared" si="22"/>
        <v>689.4439706279959</v>
      </c>
      <c r="CN13" s="49">
        <f t="shared" si="22"/>
        <v>654.97177209659606</v>
      </c>
    </row>
    <row r="14" spans="1:92" x14ac:dyDescent="0.15">
      <c r="B14" t="s">
        <v>18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>
        <v>268</v>
      </c>
      <c r="O14" s="51">
        <v>193.1</v>
      </c>
      <c r="P14" s="51">
        <v>293.10000000000002</v>
      </c>
      <c r="Q14" s="51">
        <v>311</v>
      </c>
      <c r="R14" s="51">
        <v>346.2</v>
      </c>
      <c r="S14" s="51">
        <v>336.9</v>
      </c>
      <c r="T14" s="51">
        <v>362.2</v>
      </c>
      <c r="U14" s="51">
        <v>376.6</v>
      </c>
      <c r="V14" s="51">
        <v>368.8</v>
      </c>
      <c r="W14" s="51">
        <v>358.8</v>
      </c>
      <c r="X14" s="51">
        <v>363.6</v>
      </c>
      <c r="Y14" s="51">
        <v>397.2</v>
      </c>
      <c r="Z14" s="51">
        <v>439.5</v>
      </c>
      <c r="AA14" s="51">
        <v>408.3</v>
      </c>
      <c r="AB14" s="51">
        <v>418.7</v>
      </c>
      <c r="AC14" s="51">
        <v>406.5</v>
      </c>
      <c r="AD14" s="51">
        <v>465.9</v>
      </c>
      <c r="AE14" s="51">
        <v>434.4</v>
      </c>
      <c r="AF14" s="51">
        <v>477.2</v>
      </c>
      <c r="AG14" s="51">
        <v>469.8</v>
      </c>
      <c r="AH14" s="51">
        <v>494.2</v>
      </c>
      <c r="AI14" s="51">
        <v>461.8</v>
      </c>
      <c r="AJ14" s="51">
        <v>469.5</v>
      </c>
      <c r="AK14" s="51">
        <v>482.1</v>
      </c>
      <c r="AL14" s="51">
        <f>+AK14</f>
        <v>482.1</v>
      </c>
      <c r="AM14" s="51">
        <f t="shared" ref="AM14" si="23">+AL14</f>
        <v>482.1</v>
      </c>
      <c r="AN14" s="51">
        <v>0</v>
      </c>
      <c r="AO14" s="51">
        <v>0</v>
      </c>
      <c r="AP14" s="51">
        <v>0</v>
      </c>
      <c r="AQ14" s="51">
        <v>0</v>
      </c>
      <c r="AR14" s="51">
        <v>193</v>
      </c>
      <c r="AS14" s="51">
        <v>130.69999999999999</v>
      </c>
      <c r="AT14" s="52">
        <v>162.5</v>
      </c>
      <c r="AU14" s="51">
        <f>607.1-AT14-AS14-AR14</f>
        <v>120.90000000000003</v>
      </c>
      <c r="AV14" s="51">
        <v>126.8</v>
      </c>
      <c r="AW14" s="51">
        <v>281</v>
      </c>
      <c r="AX14" s="51">
        <v>130.9</v>
      </c>
      <c r="AY14" s="51">
        <f>718.4-AX14-AW14-AV14</f>
        <v>179.7</v>
      </c>
      <c r="AZ14" s="51">
        <v>217.7</v>
      </c>
      <c r="BA14" s="51">
        <v>147</v>
      </c>
      <c r="BB14" s="51">
        <f t="shared" ref="BB14:BG14" si="24">AVERAGE(AX14:BA14)*0.9</f>
        <v>151.9425</v>
      </c>
      <c r="BC14" s="51">
        <f t="shared" si="24"/>
        <v>156.67706250000001</v>
      </c>
      <c r="BD14" s="51">
        <f t="shared" si="24"/>
        <v>151.4969015625</v>
      </c>
      <c r="BE14" s="51">
        <f t="shared" si="24"/>
        <v>136.60120441406249</v>
      </c>
      <c r="BF14" s="51">
        <f t="shared" si="24"/>
        <v>134.26147540722656</v>
      </c>
      <c r="BG14" s="51">
        <f t="shared" si="24"/>
        <v>130.28324487385257</v>
      </c>
      <c r="BH14" s="51"/>
      <c r="BI14" s="51"/>
      <c r="BJ14" s="49"/>
      <c r="BK14" s="51"/>
      <c r="BL14" s="51"/>
      <c r="BM14" s="51">
        <v>74</v>
      </c>
      <c r="BN14" s="51">
        <v>130</v>
      </c>
      <c r="BO14" s="51">
        <v>170</v>
      </c>
      <c r="BP14" s="51">
        <v>212</v>
      </c>
      <c r="BQ14" s="51">
        <f>SUM(O14:R14)</f>
        <v>1143.4000000000001</v>
      </c>
      <c r="BR14" s="51">
        <f>SUM(S14:V14)</f>
        <v>1444.4999999999998</v>
      </c>
      <c r="BS14" s="51">
        <f>SUM(W14:Z14)</f>
        <v>1559.1000000000001</v>
      </c>
      <c r="BT14" s="51">
        <f>SUM(AA14:AD14)</f>
        <v>1699.4</v>
      </c>
      <c r="BU14" s="51">
        <f>SUM(AE14:AH14)</f>
        <v>1875.6</v>
      </c>
      <c r="BV14" s="51">
        <f>SUM(AI14:AL14)</f>
        <v>1895.5</v>
      </c>
      <c r="BW14" s="51">
        <f>BV14*1.1</f>
        <v>2085.0500000000002</v>
      </c>
      <c r="BX14" s="51">
        <f>BW14*1.1</f>
        <v>2293.5550000000003</v>
      </c>
      <c r="BY14" s="51">
        <f>BX14*1.1</f>
        <v>2522.9105000000004</v>
      </c>
      <c r="BZ14" s="51"/>
      <c r="CA14" s="51">
        <v>2323.1</v>
      </c>
      <c r="CB14" s="49">
        <v>1851.8</v>
      </c>
      <c r="CC14" s="49">
        <v>890.5</v>
      </c>
      <c r="CD14" s="49">
        <f t="shared" si="3"/>
        <v>607.1</v>
      </c>
      <c r="CE14" s="49">
        <f t="shared" si="4"/>
        <v>718.40000000000009</v>
      </c>
      <c r="CF14" s="49">
        <f t="shared" si="5"/>
        <v>673.31956249999996</v>
      </c>
      <c r="CG14" s="49">
        <f t="shared" si="6"/>
        <v>552.64282625764156</v>
      </c>
      <c r="CH14" s="49">
        <f t="shared" ref="CH14:CN15" si="25">+CG14*0.9</f>
        <v>497.37854363187739</v>
      </c>
      <c r="CI14" s="49">
        <f t="shared" si="25"/>
        <v>447.64068926868964</v>
      </c>
      <c r="CJ14" s="49">
        <f t="shared" si="25"/>
        <v>402.87662034182068</v>
      </c>
      <c r="CK14" s="49">
        <f t="shared" si="25"/>
        <v>362.58895830763862</v>
      </c>
      <c r="CL14" s="49">
        <f t="shared" si="25"/>
        <v>326.33006247687479</v>
      </c>
      <c r="CM14" s="49">
        <f t="shared" si="25"/>
        <v>293.6970562291873</v>
      </c>
      <c r="CN14" s="49">
        <f t="shared" si="25"/>
        <v>264.32735060626857</v>
      </c>
    </row>
    <row r="15" spans="1:92" x14ac:dyDescent="0.15">
      <c r="B15" s="38" t="s">
        <v>346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>
        <v>251.4</v>
      </c>
      <c r="AO15" s="51">
        <v>290.7</v>
      </c>
      <c r="AP15" s="51">
        <v>263.2</v>
      </c>
      <c r="AQ15" s="51">
        <v>307.2</v>
      </c>
      <c r="AR15" s="51">
        <v>303.7</v>
      </c>
      <c r="AS15" s="51">
        <v>290.39999999999998</v>
      </c>
      <c r="AT15" s="51">
        <v>248.2</v>
      </c>
      <c r="AU15" s="51">
        <v>282.10000000000002</v>
      </c>
      <c r="AV15" s="51">
        <v>246.6</v>
      </c>
      <c r="AW15" s="51">
        <v>210.7</v>
      </c>
      <c r="AX15" s="51">
        <v>192.8</v>
      </c>
      <c r="AY15" s="51">
        <v>242.4</v>
      </c>
      <c r="AZ15" s="51">
        <v>191.5</v>
      </c>
      <c r="BA15" s="51">
        <v>174.2</v>
      </c>
      <c r="BB15" s="51">
        <f t="shared" ref="BB15:BG15" si="26">+AX15*0.9</f>
        <v>173.52</v>
      </c>
      <c r="BC15" s="51">
        <f t="shared" si="26"/>
        <v>218.16</v>
      </c>
      <c r="BD15" s="51">
        <f t="shared" si="26"/>
        <v>172.35</v>
      </c>
      <c r="BE15" s="51">
        <f t="shared" si="26"/>
        <v>156.78</v>
      </c>
      <c r="BF15" s="51">
        <f t="shared" si="26"/>
        <v>156.16800000000001</v>
      </c>
      <c r="BG15" s="51">
        <f t="shared" si="26"/>
        <v>196.34399999999999</v>
      </c>
      <c r="BH15" s="51"/>
      <c r="BI15" s="51"/>
      <c r="BJ15" s="49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>
        <v>432.1</v>
      </c>
      <c r="CB15" s="49">
        <v>801.2</v>
      </c>
      <c r="CC15" s="49">
        <v>1112.5999999999999</v>
      </c>
      <c r="CD15" s="49">
        <f t="shared" si="3"/>
        <v>1124.4000000000001</v>
      </c>
      <c r="CE15" s="49">
        <f t="shared" si="4"/>
        <v>892.49999999999989</v>
      </c>
      <c r="CF15" s="49">
        <f t="shared" si="5"/>
        <v>757.38</v>
      </c>
      <c r="CG15" s="49">
        <f t="shared" si="6"/>
        <v>681.64200000000005</v>
      </c>
      <c r="CH15" s="49">
        <f t="shared" si="25"/>
        <v>613.47780000000012</v>
      </c>
      <c r="CI15" s="49">
        <f t="shared" si="25"/>
        <v>552.13002000000017</v>
      </c>
      <c r="CJ15" s="49">
        <f t="shared" si="25"/>
        <v>496.91701800000016</v>
      </c>
      <c r="CK15" s="49">
        <f t="shared" si="25"/>
        <v>447.22531620000012</v>
      </c>
      <c r="CL15" s="49">
        <f t="shared" si="25"/>
        <v>402.50278458000014</v>
      </c>
      <c r="CM15" s="49">
        <f t="shared" si="25"/>
        <v>362.25250612200011</v>
      </c>
      <c r="CN15" s="49">
        <f t="shared" si="25"/>
        <v>326.02725550980011</v>
      </c>
    </row>
    <row r="16" spans="1:92" x14ac:dyDescent="0.15">
      <c r="B16" s="38" t="s">
        <v>355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2"/>
      <c r="AM16" s="52"/>
      <c r="AN16" s="52">
        <v>14.2</v>
      </c>
      <c r="AO16" s="52">
        <v>34.299999999999997</v>
      </c>
      <c r="AP16" s="52">
        <v>47.7</v>
      </c>
      <c r="AQ16" s="52">
        <v>66.3</v>
      </c>
      <c r="AR16" s="52">
        <v>74</v>
      </c>
      <c r="AS16" s="52">
        <v>87.4</v>
      </c>
      <c r="AT16" s="52">
        <v>91.5</v>
      </c>
      <c r="AU16" s="52">
        <v>109.9</v>
      </c>
      <c r="AV16" s="52">
        <v>119.5</v>
      </c>
      <c r="AW16" s="52">
        <v>156.30000000000001</v>
      </c>
      <c r="AX16" s="52">
        <v>140</v>
      </c>
      <c r="AY16" s="52">
        <v>161.5</v>
      </c>
      <c r="AZ16" s="52">
        <v>149.30000000000001</v>
      </c>
      <c r="BA16" s="52">
        <v>157.5</v>
      </c>
      <c r="BB16" s="52">
        <f t="shared" ref="BB16:BG16" si="27">+AX16*1.1</f>
        <v>154</v>
      </c>
      <c r="BC16" s="52">
        <f t="shared" si="27"/>
        <v>177.65</v>
      </c>
      <c r="BD16" s="52">
        <f t="shared" si="27"/>
        <v>164.23000000000002</v>
      </c>
      <c r="BE16" s="52">
        <f t="shared" si="27"/>
        <v>173.25</v>
      </c>
      <c r="BF16" s="52">
        <f t="shared" si="27"/>
        <v>169.4</v>
      </c>
      <c r="BG16" s="52">
        <f t="shared" si="27"/>
        <v>195.41500000000002</v>
      </c>
      <c r="BH16" s="52"/>
      <c r="BI16" s="52"/>
      <c r="BJ16" s="49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>
        <v>0</v>
      </c>
      <c r="CB16" s="49">
        <v>4.9000000000000004</v>
      </c>
      <c r="CC16" s="49">
        <v>162.5</v>
      </c>
      <c r="CD16" s="49">
        <f t="shared" si="3"/>
        <v>362.8</v>
      </c>
      <c r="CE16" s="49">
        <f t="shared" si="4"/>
        <v>577.29999999999995</v>
      </c>
      <c r="CF16" s="49">
        <f t="shared" si="5"/>
        <v>638.45000000000005</v>
      </c>
      <c r="CG16" s="49">
        <f t="shared" si="6"/>
        <v>702.29500000000007</v>
      </c>
      <c r="CH16" s="49">
        <f t="shared" ref="CH16:CN16" si="28">+CG16*1.01</f>
        <v>709.31795000000011</v>
      </c>
      <c r="CI16" s="49">
        <f t="shared" si="28"/>
        <v>716.41112950000013</v>
      </c>
      <c r="CJ16" s="49">
        <f t="shared" si="28"/>
        <v>723.57524079500013</v>
      </c>
      <c r="CK16" s="49">
        <f t="shared" si="28"/>
        <v>730.81099320295016</v>
      </c>
      <c r="CL16" s="49">
        <f t="shared" si="28"/>
        <v>738.1191031349797</v>
      </c>
      <c r="CM16" s="49">
        <f t="shared" si="28"/>
        <v>745.50029416632947</v>
      </c>
      <c r="CN16" s="49">
        <f t="shared" si="28"/>
        <v>752.95529710799281</v>
      </c>
    </row>
    <row r="17" spans="2:92" x14ac:dyDescent="0.15">
      <c r="B17" s="38" t="s">
        <v>347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>
        <v>17.8</v>
      </c>
      <c r="AS17" s="51">
        <v>15</v>
      </c>
      <c r="AT17" s="51">
        <v>17.2</v>
      </c>
      <c r="AU17" s="51">
        <v>20</v>
      </c>
      <c r="AV17" s="51">
        <v>20.6</v>
      </c>
      <c r="AW17" s="51">
        <v>25.4</v>
      </c>
      <c r="AX17" s="51">
        <v>39</v>
      </c>
      <c r="AY17" s="51">
        <v>36.6</v>
      </c>
      <c r="AZ17" s="51">
        <v>144.6</v>
      </c>
      <c r="BA17" s="51">
        <f>170-BA4</f>
        <v>154</v>
      </c>
      <c r="BB17" s="51">
        <f t="shared" ref="BB17:BG17" si="29">+BA17</f>
        <v>154</v>
      </c>
      <c r="BC17" s="51">
        <f t="shared" si="29"/>
        <v>154</v>
      </c>
      <c r="BD17" s="51">
        <f t="shared" si="29"/>
        <v>154</v>
      </c>
      <c r="BE17" s="51">
        <f t="shared" si="29"/>
        <v>154</v>
      </c>
      <c r="BF17" s="51">
        <f t="shared" si="29"/>
        <v>154</v>
      </c>
      <c r="BG17" s="51">
        <f t="shared" si="29"/>
        <v>154</v>
      </c>
      <c r="BH17" s="51"/>
      <c r="BI17" s="51"/>
      <c r="BJ17" s="49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>
        <f>380.9+307.7</f>
        <v>688.59999999999991</v>
      </c>
      <c r="CB17" s="49">
        <f>292.7+272.5</f>
        <v>565.20000000000005</v>
      </c>
      <c r="CC17" s="49">
        <f>293.7+230.1</f>
        <v>523.79999999999995</v>
      </c>
      <c r="CD17" s="49">
        <f t="shared" si="3"/>
        <v>70</v>
      </c>
      <c r="CE17" s="49">
        <f t="shared" si="4"/>
        <v>121.6</v>
      </c>
      <c r="CF17" s="49">
        <f t="shared" si="5"/>
        <v>606.6</v>
      </c>
      <c r="CG17" s="49">
        <f t="shared" si="6"/>
        <v>616</v>
      </c>
      <c r="CH17" s="49">
        <f t="shared" ref="CH17:CN17" si="30">+CG17*0.9</f>
        <v>554.4</v>
      </c>
      <c r="CI17" s="49">
        <f t="shared" si="30"/>
        <v>498.96</v>
      </c>
      <c r="CJ17" s="49">
        <f t="shared" si="30"/>
        <v>449.06399999999996</v>
      </c>
      <c r="CK17" s="49">
        <f t="shared" si="30"/>
        <v>404.1576</v>
      </c>
      <c r="CL17" s="49">
        <f t="shared" si="30"/>
        <v>363.74184000000002</v>
      </c>
      <c r="CM17" s="49">
        <f t="shared" si="30"/>
        <v>327.36765600000001</v>
      </c>
      <c r="CN17" s="49">
        <f t="shared" si="30"/>
        <v>294.6308904</v>
      </c>
    </row>
    <row r="18" spans="2:92" x14ac:dyDescent="0.15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>
        <v>99.7</v>
      </c>
      <c r="Y18" s="51">
        <v>101.9</v>
      </c>
      <c r="Z18" s="51">
        <v>95</v>
      </c>
      <c r="AA18" s="51">
        <v>92.4</v>
      </c>
      <c r="AB18" s="51">
        <v>103.8</v>
      </c>
      <c r="AC18" s="51">
        <v>95.4</v>
      </c>
      <c r="AD18" s="51">
        <v>94.5</v>
      </c>
      <c r="AE18" s="51">
        <v>104</v>
      </c>
      <c r="AF18" s="51">
        <v>100.1</v>
      </c>
      <c r="AG18" s="51">
        <v>97.2</v>
      </c>
      <c r="AH18" s="51">
        <v>107.9</v>
      </c>
      <c r="AI18" s="51">
        <v>113.3</v>
      </c>
      <c r="AJ18" s="51">
        <v>110</v>
      </c>
      <c r="AK18" s="51">
        <v>86.6</v>
      </c>
      <c r="AL18" s="52">
        <f t="shared" ref="AL18:AM18" si="31">+AK18</f>
        <v>86.6</v>
      </c>
      <c r="AM18" s="52">
        <f t="shared" si="31"/>
        <v>86.6</v>
      </c>
      <c r="AN18" s="52"/>
      <c r="AO18" s="52"/>
      <c r="AP18" s="52"/>
      <c r="AQ18" s="52"/>
      <c r="AR18" s="52">
        <v>130.80000000000001</v>
      </c>
      <c r="AS18" s="52">
        <v>129.5</v>
      </c>
      <c r="AT18" s="52">
        <v>136.4</v>
      </c>
      <c r="AU18" s="52">
        <f>480.1+56.3-AT18-AS18-AR18</f>
        <v>139.69999999999999</v>
      </c>
      <c r="AV18" s="52">
        <v>122.4</v>
      </c>
      <c r="AW18" s="52">
        <v>147</v>
      </c>
      <c r="AX18" s="52">
        <v>134.30000000000001</v>
      </c>
      <c r="AY18" s="52">
        <f>548.3-AX18-AW18-AV18</f>
        <v>144.59999999999994</v>
      </c>
      <c r="AZ18" s="52">
        <v>122.7</v>
      </c>
      <c r="BA18" s="52">
        <v>140.80000000000001</v>
      </c>
      <c r="BB18" s="52">
        <f t="shared" ref="BB18:BG18" si="32">+BA18</f>
        <v>140.80000000000001</v>
      </c>
      <c r="BC18" s="52">
        <f t="shared" si="32"/>
        <v>140.80000000000001</v>
      </c>
      <c r="BD18" s="52">
        <f t="shared" si="32"/>
        <v>140.80000000000001</v>
      </c>
      <c r="BE18" s="52">
        <f t="shared" si="32"/>
        <v>140.80000000000001</v>
      </c>
      <c r="BF18" s="52">
        <f t="shared" si="32"/>
        <v>140.80000000000001</v>
      </c>
      <c r="BG18" s="52">
        <f t="shared" si="32"/>
        <v>140.80000000000001</v>
      </c>
      <c r="BH18" s="52"/>
      <c r="BI18" s="52"/>
      <c r="BJ18" s="49"/>
      <c r="BK18" s="51"/>
      <c r="BL18" s="51"/>
      <c r="BM18" s="51"/>
      <c r="BN18" s="51"/>
      <c r="BO18" s="51"/>
      <c r="BP18" s="51"/>
      <c r="BQ18" s="51"/>
      <c r="BR18" s="51"/>
      <c r="BS18" s="51">
        <f>SUM(W18:Z18)</f>
        <v>296.60000000000002</v>
      </c>
      <c r="BT18" s="51">
        <f>SUM(AA18:AD18)</f>
        <v>386.1</v>
      </c>
      <c r="BU18" s="51">
        <f>SUM(AE18:AH18)</f>
        <v>409.20000000000005</v>
      </c>
      <c r="BV18" s="51">
        <f>SUM(AI18:AL18)</f>
        <v>396.5</v>
      </c>
      <c r="BW18" s="51">
        <f t="shared" ref="BW18:BX18" si="33">+BV18</f>
        <v>396.5</v>
      </c>
      <c r="BX18" s="51">
        <f t="shared" si="33"/>
        <v>396.5</v>
      </c>
      <c r="BY18" s="51"/>
      <c r="BZ18" s="51"/>
      <c r="CA18" s="51">
        <v>645.9</v>
      </c>
      <c r="CB18" s="49">
        <v>635.29999999999995</v>
      </c>
      <c r="CC18" s="49">
        <v>543.4</v>
      </c>
      <c r="CD18" s="49">
        <f t="shared" si="3"/>
        <v>536.40000000000009</v>
      </c>
      <c r="CE18" s="49">
        <f t="shared" si="4"/>
        <v>548.29999999999995</v>
      </c>
      <c r="CF18" s="49">
        <f t="shared" si="5"/>
        <v>545.1</v>
      </c>
      <c r="CG18" s="49">
        <f t="shared" si="6"/>
        <v>563.20000000000005</v>
      </c>
      <c r="CH18" s="49">
        <f t="shared" ref="CH18:CN18" si="34">+CG18*0.9</f>
        <v>506.88000000000005</v>
      </c>
      <c r="CI18" s="49">
        <f t="shared" si="34"/>
        <v>456.19200000000006</v>
      </c>
      <c r="CJ18" s="49">
        <f t="shared" si="34"/>
        <v>410.57280000000009</v>
      </c>
      <c r="CK18" s="49">
        <f t="shared" si="34"/>
        <v>369.51552000000009</v>
      </c>
      <c r="CL18" s="49">
        <f t="shared" si="34"/>
        <v>332.5639680000001</v>
      </c>
      <c r="CM18" s="49">
        <f t="shared" si="34"/>
        <v>299.3075712000001</v>
      </c>
      <c r="CN18" s="49">
        <f t="shared" si="34"/>
        <v>269.37681408000009</v>
      </c>
    </row>
    <row r="19" spans="2:92" x14ac:dyDescent="0.15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>
        <v>26.2</v>
      </c>
      <c r="AS19" s="51">
        <v>64.3</v>
      </c>
      <c r="AT19" s="51">
        <v>35.9</v>
      </c>
      <c r="AU19" s="51">
        <v>36.200000000000003</v>
      </c>
      <c r="AV19" s="51">
        <v>54.8</v>
      </c>
      <c r="AW19" s="51">
        <v>55.7</v>
      </c>
      <c r="AX19" s="51">
        <v>66.7</v>
      </c>
      <c r="AY19" s="51">
        <v>38.5</v>
      </c>
      <c r="AZ19" s="51">
        <f>101.2-AZ27</f>
        <v>59.400000000000006</v>
      </c>
      <c r="BA19" s="51">
        <f>106.8-BA27</f>
        <v>61.8</v>
      </c>
      <c r="BB19" s="51">
        <f t="shared" ref="BB19:BG19" si="35">+BA19</f>
        <v>61.8</v>
      </c>
      <c r="BC19" s="51">
        <f t="shared" si="35"/>
        <v>61.8</v>
      </c>
      <c r="BD19" s="51">
        <f t="shared" si="35"/>
        <v>61.8</v>
      </c>
      <c r="BE19" s="51">
        <f t="shared" si="35"/>
        <v>61.8</v>
      </c>
      <c r="BF19" s="51">
        <f t="shared" si="35"/>
        <v>61.8</v>
      </c>
      <c r="BG19" s="51">
        <f t="shared" si="35"/>
        <v>61.8</v>
      </c>
      <c r="BH19" s="51"/>
      <c r="BI19" s="51"/>
      <c r="BJ19" s="49"/>
      <c r="BK19" s="51"/>
      <c r="BL19" s="51">
        <v>19</v>
      </c>
      <c r="BM19" s="51">
        <v>19</v>
      </c>
      <c r="BN19" s="51">
        <v>9</v>
      </c>
      <c r="BO19" s="51">
        <v>3</v>
      </c>
      <c r="BP19" s="51"/>
      <c r="BQ19" s="51"/>
      <c r="BR19" s="51"/>
      <c r="BS19" s="51"/>
      <c r="BT19" s="51"/>
      <c r="BU19" s="51"/>
      <c r="CA19" s="51">
        <f>174.6+149.6</f>
        <v>324.2</v>
      </c>
      <c r="CB19" s="49">
        <f>215.1+200.6</f>
        <v>415.7</v>
      </c>
      <c r="CC19" s="49">
        <f>111+339.3</f>
        <v>450.3</v>
      </c>
      <c r="CD19" s="49">
        <f t="shared" si="3"/>
        <v>162.60000000000002</v>
      </c>
      <c r="CE19" s="49">
        <f t="shared" si="4"/>
        <v>215.7</v>
      </c>
      <c r="CF19" s="49">
        <f t="shared" si="5"/>
        <v>244.8</v>
      </c>
      <c r="CG19" s="49">
        <f t="shared" si="6"/>
        <v>247.2</v>
      </c>
      <c r="CH19" s="49">
        <f t="shared" ref="CH19:CN19" si="36">+CG19*0.9</f>
        <v>222.48</v>
      </c>
      <c r="CI19" s="49">
        <f t="shared" si="36"/>
        <v>200.232</v>
      </c>
      <c r="CJ19" s="49">
        <f t="shared" si="36"/>
        <v>180.2088</v>
      </c>
      <c r="CK19" s="49">
        <f t="shared" si="36"/>
        <v>162.18791999999999</v>
      </c>
      <c r="CL19" s="49">
        <f t="shared" si="36"/>
        <v>145.96912799999998</v>
      </c>
      <c r="CM19" s="49">
        <f t="shared" si="36"/>
        <v>131.3722152</v>
      </c>
      <c r="CN19" s="49">
        <f t="shared" si="36"/>
        <v>118.23499368</v>
      </c>
    </row>
    <row r="20" spans="2:92" x14ac:dyDescent="0.15">
      <c r="B20" t="s">
        <v>16</v>
      </c>
      <c r="C20" s="51"/>
      <c r="D20" s="51">
        <v>65.3</v>
      </c>
      <c r="E20" s="51"/>
      <c r="F20" s="51">
        <v>74.3</v>
      </c>
      <c r="G20" s="51">
        <v>67</v>
      </c>
      <c r="H20" s="51">
        <v>101.9</v>
      </c>
      <c r="I20" s="51">
        <v>102.6</v>
      </c>
      <c r="J20" s="51">
        <v>118</v>
      </c>
      <c r="K20" s="51">
        <v>127</v>
      </c>
      <c r="L20" s="51">
        <v>146</v>
      </c>
      <c r="M20" s="51">
        <v>149</v>
      </c>
      <c r="N20" s="51">
        <v>172.1</v>
      </c>
      <c r="O20" s="51">
        <v>153.4</v>
      </c>
      <c r="P20" s="51">
        <v>177.2</v>
      </c>
      <c r="Q20" s="51">
        <v>180.5</v>
      </c>
      <c r="R20" s="51">
        <v>198.2</v>
      </c>
      <c r="S20" s="51">
        <v>185</v>
      </c>
      <c r="T20" s="51">
        <v>206.6</v>
      </c>
      <c r="U20" s="51">
        <v>192.7</v>
      </c>
      <c r="V20" s="51">
        <v>194.5</v>
      </c>
      <c r="W20" s="51">
        <v>187.5</v>
      </c>
      <c r="X20" s="51">
        <v>203.3</v>
      </c>
      <c r="Y20" s="51">
        <v>213.1</v>
      </c>
      <c r="Z20" s="51">
        <v>212.8</v>
      </c>
      <c r="AA20" s="51">
        <v>194.5</v>
      </c>
      <c r="AB20" s="51">
        <v>209.6</v>
      </c>
      <c r="AC20" s="51">
        <v>199.7</v>
      </c>
      <c r="AD20" s="51">
        <v>226.3</v>
      </c>
      <c r="AE20" s="51">
        <v>216.1</v>
      </c>
      <c r="AF20" s="51">
        <v>231</v>
      </c>
      <c r="AG20" s="51">
        <v>240.3</v>
      </c>
      <c r="AH20" s="51">
        <v>262.5</v>
      </c>
      <c r="AI20" s="51">
        <v>271.3</v>
      </c>
      <c r="AJ20" s="51">
        <v>276.39999999999998</v>
      </c>
      <c r="AK20" s="51">
        <v>288.7</v>
      </c>
      <c r="AL20" s="51">
        <f>+AK20+5</f>
        <v>293.7</v>
      </c>
      <c r="AM20" s="51">
        <f t="shared" ref="AM20" si="37">+AL20+5</f>
        <v>298.7</v>
      </c>
      <c r="AN20" s="51">
        <v>312.89999999999998</v>
      </c>
      <c r="AO20" s="51">
        <v>360.8</v>
      </c>
      <c r="AP20" s="51">
        <v>370.7</v>
      </c>
      <c r="AQ20" s="51">
        <v>360.2</v>
      </c>
      <c r="AR20" s="51">
        <v>272.39999999999998</v>
      </c>
      <c r="AS20" s="51">
        <v>252.7</v>
      </c>
      <c r="AT20" s="51">
        <v>266.89999999999998</v>
      </c>
      <c r="AU20" s="51">
        <v>254.4</v>
      </c>
      <c r="AV20" s="51">
        <v>198.5</v>
      </c>
      <c r="AW20" s="51">
        <v>218.4</v>
      </c>
      <c r="AX20" s="51">
        <v>200.9</v>
      </c>
      <c r="AY20" s="51">
        <v>184</v>
      </c>
      <c r="AZ20" s="51">
        <v>137.4</v>
      </c>
      <c r="BA20" s="51">
        <v>138.5</v>
      </c>
      <c r="BB20" s="51">
        <f t="shared" ref="BB20:BG20" si="38">+BA20*0.95</f>
        <v>131.57499999999999</v>
      </c>
      <c r="BC20" s="51">
        <f t="shared" si="38"/>
        <v>124.99624999999999</v>
      </c>
      <c r="BD20" s="51">
        <f t="shared" si="38"/>
        <v>118.74643749999998</v>
      </c>
      <c r="BE20" s="51">
        <f t="shared" si="38"/>
        <v>112.80911562499998</v>
      </c>
      <c r="BF20" s="51">
        <f t="shared" si="38"/>
        <v>107.16865984374998</v>
      </c>
      <c r="BG20" s="51">
        <f t="shared" si="38"/>
        <v>101.81022685156248</v>
      </c>
      <c r="BH20" s="51"/>
      <c r="BI20" s="51"/>
      <c r="BJ20" s="49"/>
      <c r="BK20" s="51"/>
      <c r="BL20" s="51">
        <v>6</v>
      </c>
      <c r="BM20" s="51">
        <v>65</v>
      </c>
      <c r="BN20" s="51">
        <v>237</v>
      </c>
      <c r="BO20" s="51">
        <v>389</v>
      </c>
      <c r="BP20" s="51">
        <v>581</v>
      </c>
      <c r="BQ20" s="51">
        <f>BP20*1.05</f>
        <v>610.05000000000007</v>
      </c>
      <c r="BR20" s="51">
        <f>SUM(S20:V20)</f>
        <v>778.8</v>
      </c>
      <c r="BS20" s="51">
        <f>SUM(W20:Z20)</f>
        <v>816.7</v>
      </c>
      <c r="BT20" s="51">
        <f>SUM(AA20:AD20)</f>
        <v>830.09999999999991</v>
      </c>
      <c r="BU20" s="51">
        <f>SUM(AE20:AH20)</f>
        <v>949.90000000000009</v>
      </c>
      <c r="BV20" s="51">
        <f>SUM(AI20:AL20)</f>
        <v>1130.1000000000001</v>
      </c>
      <c r="BW20" s="51">
        <f t="shared" ref="BW20:BX20" si="39">BV20*1.05</f>
        <v>1186.6050000000002</v>
      </c>
      <c r="BX20" s="51">
        <f t="shared" si="39"/>
        <v>1245.9352500000002</v>
      </c>
      <c r="BY20" s="51"/>
      <c r="BZ20" s="51"/>
      <c r="CA20" s="51">
        <v>1749</v>
      </c>
      <c r="CB20" s="49">
        <v>1575.6</v>
      </c>
      <c r="CC20" s="49">
        <v>1404.7</v>
      </c>
      <c r="CD20" s="49">
        <f t="shared" si="3"/>
        <v>1046.3999999999999</v>
      </c>
      <c r="CE20" s="49">
        <f t="shared" si="4"/>
        <v>801.8</v>
      </c>
      <c r="CF20" s="49">
        <f t="shared" si="5"/>
        <v>532.47124999999994</v>
      </c>
      <c r="CG20" s="49">
        <f t="shared" si="6"/>
        <v>440.5344398203124</v>
      </c>
      <c r="CH20" s="49">
        <f t="shared" ref="CH20:CN20" si="40">+CG20*0.9</f>
        <v>396.48099583828116</v>
      </c>
      <c r="CI20" s="49">
        <f t="shared" si="40"/>
        <v>356.83289625445303</v>
      </c>
      <c r="CJ20" s="49">
        <f t="shared" si="40"/>
        <v>321.14960662900774</v>
      </c>
      <c r="CK20" s="49">
        <f t="shared" si="40"/>
        <v>289.03464596610695</v>
      </c>
      <c r="CL20" s="49">
        <f t="shared" si="40"/>
        <v>260.13118136949629</v>
      </c>
      <c r="CM20" s="49">
        <f t="shared" si="40"/>
        <v>234.11806323254666</v>
      </c>
      <c r="CN20" s="49">
        <f t="shared" si="40"/>
        <v>210.70625690929199</v>
      </c>
    </row>
    <row r="21" spans="2:92" x14ac:dyDescent="0.15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>4459.9-SUM(N22:N53)</f>
        <v>1686.4532721010328</v>
      </c>
      <c r="O21" s="51">
        <v>406</v>
      </c>
      <c r="P21" s="51"/>
      <c r="Q21" s="51">
        <f>4587-(SUM(Q22:Q53))</f>
        <v>1697.9</v>
      </c>
      <c r="R21" s="51">
        <f>5189.6-(SUM(R22:R53))</f>
        <v>1904.6000000000004</v>
      </c>
      <c r="S21" s="51">
        <f>4807.6-(SUM(S22:S53))</f>
        <v>2080.2000000000007</v>
      </c>
      <c r="T21" s="51">
        <f>5150.4-(SUM(T22:T53))</f>
        <v>2045.4999999999995</v>
      </c>
      <c r="U21" s="51">
        <f>5209.5-(SUM(U22:U53))</f>
        <v>2061.9000000000005</v>
      </c>
      <c r="AD21" s="51">
        <v>432</v>
      </c>
      <c r="AF21" s="51">
        <v>422</v>
      </c>
      <c r="AG21" s="51">
        <v>410</v>
      </c>
      <c r="AH21" s="51">
        <v>407</v>
      </c>
      <c r="AI21" s="51">
        <v>552</v>
      </c>
      <c r="AJ21" s="51">
        <v>524</v>
      </c>
      <c r="AK21" s="51">
        <f>5443.3-4955</f>
        <v>488.30000000000018</v>
      </c>
      <c r="AL21" s="51">
        <f>+AH21</f>
        <v>407</v>
      </c>
      <c r="AM21" s="51">
        <f t="shared" ref="AM21" si="41">+AI21</f>
        <v>552</v>
      </c>
      <c r="AN21" s="51">
        <v>1966</v>
      </c>
      <c r="AO21" s="51">
        <v>2269</v>
      </c>
      <c r="AP21" s="51">
        <v>2171</v>
      </c>
      <c r="AQ21" s="51">
        <v>2461</v>
      </c>
      <c r="AR21" s="51">
        <v>86</v>
      </c>
      <c r="AS21" s="51">
        <v>51.4</v>
      </c>
      <c r="AT21" s="51">
        <v>46.3</v>
      </c>
      <c r="AU21" s="51">
        <v>88</v>
      </c>
      <c r="AV21" s="51">
        <v>42.6</v>
      </c>
      <c r="AW21" s="51">
        <v>42.2</v>
      </c>
      <c r="AX21" s="51">
        <v>38.6</v>
      </c>
      <c r="AY21" s="51">
        <v>58.1</v>
      </c>
      <c r="AZ21" s="51">
        <v>98.1</v>
      </c>
      <c r="BA21" s="51">
        <v>80.099999999999994</v>
      </c>
      <c r="BB21" s="51">
        <f t="shared" ref="BB21:BG21" si="42">+BA21</f>
        <v>80.099999999999994</v>
      </c>
      <c r="BC21" s="51">
        <f t="shared" si="42"/>
        <v>80.099999999999994</v>
      </c>
      <c r="BD21" s="51">
        <f t="shared" si="42"/>
        <v>80.099999999999994</v>
      </c>
      <c r="BE21" s="51">
        <f t="shared" si="42"/>
        <v>80.099999999999994</v>
      </c>
      <c r="BF21" s="51">
        <f t="shared" si="42"/>
        <v>80.099999999999994</v>
      </c>
      <c r="BG21" s="51">
        <f t="shared" si="42"/>
        <v>80.099999999999994</v>
      </c>
      <c r="BH21" s="51"/>
      <c r="BI21" s="51"/>
      <c r="BJ21" s="49"/>
      <c r="BK21" s="51"/>
      <c r="BL21" s="52">
        <f>176+152</f>
        <v>328</v>
      </c>
      <c r="BM21" s="51">
        <f>165+100</f>
        <v>265</v>
      </c>
      <c r="BN21" s="51">
        <f>83+70+4+154</f>
        <v>311</v>
      </c>
      <c r="BO21" s="51">
        <f>41+54+18+117</f>
        <v>230</v>
      </c>
      <c r="BP21" s="51">
        <f>56+54+25+91</f>
        <v>226</v>
      </c>
      <c r="BQ21" s="51">
        <f>50+54+50+87</f>
        <v>241</v>
      </c>
      <c r="BR21" s="51">
        <v>54</v>
      </c>
      <c r="BS21" s="51">
        <v>54</v>
      </c>
      <c r="BT21" s="51">
        <f>SUM(AA21:AD21)</f>
        <v>432</v>
      </c>
      <c r="BU21" s="51">
        <f>SUM(AE21:AH21)</f>
        <v>1239</v>
      </c>
      <c r="BV21" s="51">
        <f>SUM(AI21:AL21)</f>
        <v>1971.3000000000002</v>
      </c>
      <c r="BW21" s="51">
        <f>+BV21*0.9</f>
        <v>1774.1700000000003</v>
      </c>
      <c r="BX21" s="51">
        <f t="shared" ref="BX21" si="43">+BW21*0.9</f>
        <v>1596.7530000000004</v>
      </c>
      <c r="BY21" s="51"/>
      <c r="BZ21" s="51"/>
      <c r="CA21" s="51">
        <f>555.4+422</f>
        <v>977.4</v>
      </c>
      <c r="CB21" s="49">
        <f>393+325.1</f>
        <v>718.1</v>
      </c>
      <c r="CC21" s="49">
        <f>327.7+156.2</f>
        <v>483.9</v>
      </c>
      <c r="CD21" s="49">
        <f t="shared" si="3"/>
        <v>271.7</v>
      </c>
      <c r="CE21" s="49">
        <f t="shared" si="4"/>
        <v>181.5</v>
      </c>
      <c r="CF21" s="49">
        <f t="shared" si="5"/>
        <v>338.4</v>
      </c>
      <c r="CG21" s="49">
        <f t="shared" si="6"/>
        <v>320.39999999999998</v>
      </c>
      <c r="CH21" s="49">
        <f t="shared" ref="CH21:CN21" si="44">+CG21*0.9</f>
        <v>288.36</v>
      </c>
      <c r="CI21" s="49">
        <f t="shared" si="44"/>
        <v>259.524</v>
      </c>
      <c r="CJ21" s="49">
        <f t="shared" si="44"/>
        <v>233.57160000000002</v>
      </c>
      <c r="CK21" s="49">
        <f t="shared" si="44"/>
        <v>210.21444000000002</v>
      </c>
      <c r="CL21" s="49">
        <f t="shared" si="44"/>
        <v>189.19299600000002</v>
      </c>
      <c r="CM21" s="49">
        <f t="shared" si="44"/>
        <v>170.27369640000003</v>
      </c>
      <c r="CN21" s="49">
        <f t="shared" si="44"/>
        <v>153.24632676000004</v>
      </c>
    </row>
    <row r="22" spans="2:92" x14ac:dyDescent="0.15">
      <c r="B22" t="s">
        <v>7</v>
      </c>
      <c r="C22" s="51">
        <v>1098.3</v>
      </c>
      <c r="D22" s="51">
        <v>1212.3</v>
      </c>
      <c r="E22" s="51">
        <v>1023.7</v>
      </c>
      <c r="F22" s="51">
        <v>1085.5</v>
      </c>
      <c r="G22" s="51">
        <v>1038.2</v>
      </c>
      <c r="H22" s="51">
        <v>1096.8</v>
      </c>
      <c r="I22" s="51">
        <v>1035.0999999999999</v>
      </c>
      <c r="J22" s="51">
        <v>1032.2</v>
      </c>
      <c r="K22" s="51">
        <v>1007.4</v>
      </c>
      <c r="L22" s="51">
        <v>1115</v>
      </c>
      <c r="M22" s="51">
        <v>1084.7</v>
      </c>
      <c r="N22" s="51">
        <v>1156.5</v>
      </c>
      <c r="O22" s="51">
        <v>1108</v>
      </c>
      <c r="P22" s="51">
        <v>1213</v>
      </c>
      <c r="Q22" s="51">
        <v>1166.0999999999999</v>
      </c>
      <c r="R22" s="51">
        <v>1273.9000000000001</v>
      </c>
      <c r="S22" s="51">
        <v>1120.2</v>
      </c>
      <c r="T22" s="51">
        <v>1239.7</v>
      </c>
      <c r="U22" s="51">
        <v>1189.5</v>
      </c>
      <c r="V22" s="51">
        <v>1146.7</v>
      </c>
      <c r="W22" s="51">
        <v>1123</v>
      </c>
      <c r="X22" s="51">
        <v>1203.2</v>
      </c>
      <c r="Y22" s="51">
        <v>1223</v>
      </c>
      <c r="Z22" s="51">
        <v>1366.5</v>
      </c>
      <c r="AA22" s="51">
        <v>1215</v>
      </c>
      <c r="AB22" s="51">
        <v>1262.9000000000001</v>
      </c>
      <c r="AC22" s="51">
        <v>1212.7</v>
      </c>
      <c r="AD22" s="51">
        <v>1335.8</v>
      </c>
      <c r="AE22" s="51">
        <v>1281.9000000000001</v>
      </c>
      <c r="AF22" s="51">
        <v>1408.3</v>
      </c>
      <c r="AG22" s="51">
        <v>1182.3</v>
      </c>
      <c r="AH22" s="51">
        <v>749.6</v>
      </c>
      <c r="AI22" s="51">
        <v>562.70000000000005</v>
      </c>
      <c r="AJ22" s="51">
        <v>379.5</v>
      </c>
      <c r="AK22" s="51">
        <v>374.5</v>
      </c>
      <c r="AL22" s="51">
        <f>+AK22-5</f>
        <v>369.5</v>
      </c>
      <c r="AM22" s="51">
        <f t="shared" ref="AM22" si="45">+AL22-5</f>
        <v>364.5</v>
      </c>
      <c r="AN22" s="51"/>
      <c r="AO22" s="51"/>
      <c r="AP22" s="51"/>
      <c r="AQ22" s="51"/>
      <c r="AR22" s="51">
        <v>98.4</v>
      </c>
      <c r="AS22" s="51">
        <v>96.6</v>
      </c>
      <c r="AT22" s="51">
        <v>112.7</v>
      </c>
      <c r="AU22" s="51">
        <f>46.1+360.5-AT22-AS22-AR22</f>
        <v>98.900000000000034</v>
      </c>
      <c r="AV22" s="51">
        <v>95.8</v>
      </c>
      <c r="AW22" s="51">
        <v>95.4</v>
      </c>
      <c r="AX22" s="51">
        <v>101.7</v>
      </c>
      <c r="AY22" s="51">
        <f>430.3-AX22-AW22-AV22</f>
        <v>137.40000000000003</v>
      </c>
      <c r="AZ22" s="51">
        <v>93.1</v>
      </c>
      <c r="BA22" s="51">
        <v>87.3</v>
      </c>
      <c r="BB22" s="51">
        <f t="shared" ref="BB22:BG22" si="46">+BA22</f>
        <v>87.3</v>
      </c>
      <c r="BC22" s="51">
        <f t="shared" si="46"/>
        <v>87.3</v>
      </c>
      <c r="BD22" s="51">
        <f t="shared" si="46"/>
        <v>87.3</v>
      </c>
      <c r="BE22" s="51">
        <f t="shared" si="46"/>
        <v>87.3</v>
      </c>
      <c r="BF22" s="51">
        <f t="shared" si="46"/>
        <v>87.3</v>
      </c>
      <c r="BG22" s="51">
        <f t="shared" si="46"/>
        <v>87.3</v>
      </c>
      <c r="BH22" s="51"/>
      <c r="BI22" s="51"/>
      <c r="BJ22" s="49"/>
      <c r="BK22" s="51"/>
      <c r="BL22" s="51">
        <v>3689</v>
      </c>
      <c r="BM22" s="51">
        <v>4277</v>
      </c>
      <c r="BN22" s="51">
        <v>4419</v>
      </c>
      <c r="BO22" s="51">
        <v>4200</v>
      </c>
      <c r="BP22" s="51">
        <f>SUM(K22:N22)</f>
        <v>4363.6000000000004</v>
      </c>
      <c r="BQ22" s="51">
        <f>SUM(O22:R22)</f>
        <v>4761</v>
      </c>
      <c r="BR22" s="51">
        <f>SUM(S22:V22)</f>
        <v>4696.1000000000004</v>
      </c>
      <c r="BS22" s="51">
        <f>SUM(W22:Z22)</f>
        <v>4915.7</v>
      </c>
      <c r="BT22" s="51">
        <f>SUM(AA22:AD22)</f>
        <v>5026.4000000000005</v>
      </c>
      <c r="BU22" s="51">
        <f>SUM(AE22:AH22)</f>
        <v>4622.1000000000004</v>
      </c>
      <c r="BV22" s="51">
        <f>SUM(AI22:AL22)</f>
        <v>1686.2</v>
      </c>
      <c r="BW22" s="51">
        <f>BV22*0.4</f>
        <v>674.48</v>
      </c>
      <c r="BX22" s="51">
        <f>BW22*0.6</f>
        <v>404.68799999999999</v>
      </c>
      <c r="BY22" s="51"/>
      <c r="BZ22" s="51"/>
      <c r="CA22" s="51">
        <v>581.20000000000005</v>
      </c>
      <c r="CB22" s="49">
        <v>471.3</v>
      </c>
      <c r="CC22" s="49">
        <v>418.7</v>
      </c>
      <c r="CD22" s="49">
        <f t="shared" si="3"/>
        <v>406.6</v>
      </c>
      <c r="CE22" s="49">
        <f t="shared" si="4"/>
        <v>430.3</v>
      </c>
      <c r="CF22" s="49">
        <f t="shared" si="5"/>
        <v>355</v>
      </c>
      <c r="CG22" s="49">
        <f t="shared" si="6"/>
        <v>349.2</v>
      </c>
      <c r="CH22" s="49">
        <f t="shared" ref="CH22:CN22" si="47">+CG22*0.9</f>
        <v>314.27999999999997</v>
      </c>
      <c r="CI22" s="49">
        <f t="shared" si="47"/>
        <v>282.85199999999998</v>
      </c>
      <c r="CJ22" s="49">
        <f t="shared" si="47"/>
        <v>254.56679999999997</v>
      </c>
      <c r="CK22" s="49">
        <f t="shared" si="47"/>
        <v>229.11011999999997</v>
      </c>
      <c r="CL22" s="49">
        <f t="shared" si="47"/>
        <v>206.19910799999997</v>
      </c>
      <c r="CM22" s="49">
        <f t="shared" si="47"/>
        <v>185.57919719999998</v>
      </c>
      <c r="CN22" s="49">
        <f t="shared" si="47"/>
        <v>167.02127747999998</v>
      </c>
    </row>
    <row r="23" spans="2:92" x14ac:dyDescent="0.15">
      <c r="B23" s="38" t="s">
        <v>351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2"/>
      <c r="AM23" s="52"/>
      <c r="AN23" s="52">
        <v>9.9</v>
      </c>
      <c r="AO23" s="52">
        <v>40.1</v>
      </c>
      <c r="AP23" s="52">
        <v>46.6</v>
      </c>
      <c r="AQ23" s="52">
        <v>37.4</v>
      </c>
      <c r="AR23" s="52">
        <v>57.4</v>
      </c>
      <c r="AS23" s="52">
        <v>64.099999999999994</v>
      </c>
      <c r="AT23" s="52">
        <v>84.4</v>
      </c>
      <c r="AU23" s="52">
        <v>102.8</v>
      </c>
      <c r="AV23" s="52">
        <v>109.7</v>
      </c>
      <c r="AW23" s="52">
        <v>105</v>
      </c>
      <c r="AX23" s="52">
        <v>125.6</v>
      </c>
      <c r="AY23" s="52">
        <v>77.8</v>
      </c>
      <c r="AZ23" s="52">
        <v>85.5</v>
      </c>
      <c r="BA23" s="52">
        <v>73.599999999999994</v>
      </c>
      <c r="BB23" s="52">
        <f t="shared" ref="BB23:BG23" si="48">+BA23</f>
        <v>73.599999999999994</v>
      </c>
      <c r="BC23" s="52">
        <f t="shared" si="48"/>
        <v>73.599999999999994</v>
      </c>
      <c r="BD23" s="52">
        <f t="shared" si="48"/>
        <v>73.599999999999994</v>
      </c>
      <c r="BE23" s="52">
        <f t="shared" si="48"/>
        <v>73.599999999999994</v>
      </c>
      <c r="BF23" s="52">
        <f t="shared" si="48"/>
        <v>73.599999999999994</v>
      </c>
      <c r="BG23" s="52">
        <f t="shared" si="48"/>
        <v>73.599999999999994</v>
      </c>
      <c r="BH23" s="52"/>
      <c r="BI23" s="52"/>
      <c r="BJ23" s="49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>
        <v>0</v>
      </c>
      <c r="CB23" s="49">
        <v>0</v>
      </c>
      <c r="CC23" s="49">
        <v>0</v>
      </c>
      <c r="CD23" s="49">
        <f t="shared" si="3"/>
        <v>308.7</v>
      </c>
      <c r="CE23" s="49">
        <f t="shared" si="4"/>
        <v>418.09999999999997</v>
      </c>
      <c r="CF23" s="49">
        <f t="shared" si="5"/>
        <v>306.29999999999995</v>
      </c>
      <c r="CG23" s="49">
        <f t="shared" si="6"/>
        <v>294.39999999999998</v>
      </c>
      <c r="CH23" s="49">
        <f t="shared" ref="CH23:CN23" si="49">+CG23*0.9</f>
        <v>264.95999999999998</v>
      </c>
      <c r="CI23" s="49">
        <f t="shared" si="49"/>
        <v>238.464</v>
      </c>
      <c r="CJ23" s="49">
        <f t="shared" si="49"/>
        <v>214.61760000000001</v>
      </c>
      <c r="CK23" s="49">
        <f t="shared" si="49"/>
        <v>193.15584000000001</v>
      </c>
      <c r="CL23" s="49">
        <f t="shared" si="49"/>
        <v>173.84025600000001</v>
      </c>
      <c r="CM23" s="49">
        <f t="shared" si="49"/>
        <v>156.45623040000001</v>
      </c>
      <c r="CN23" s="49">
        <f t="shared" si="49"/>
        <v>140.81060736000001</v>
      </c>
    </row>
    <row r="24" spans="2:92" x14ac:dyDescent="0.15">
      <c r="B24" t="s">
        <v>14</v>
      </c>
      <c r="C24" s="51">
        <v>0</v>
      </c>
      <c r="D24" s="51">
        <v>0</v>
      </c>
      <c r="E24" s="51">
        <v>32.5</v>
      </c>
      <c r="F24" s="51">
        <v>61.3</v>
      </c>
      <c r="G24" s="51">
        <v>106.8</v>
      </c>
      <c r="H24" s="51">
        <v>161.4</v>
      </c>
      <c r="I24" s="51">
        <v>182.8</v>
      </c>
      <c r="J24" s="51">
        <v>228.8</v>
      </c>
      <c r="K24" s="51">
        <v>233</v>
      </c>
      <c r="L24" s="51">
        <v>310</v>
      </c>
      <c r="M24" s="51">
        <v>349</v>
      </c>
      <c r="N24" s="51">
        <v>424.1</v>
      </c>
      <c r="O24" s="51">
        <v>441.8</v>
      </c>
      <c r="P24" s="51">
        <v>519.5</v>
      </c>
      <c r="Q24" s="51">
        <v>513.20000000000005</v>
      </c>
      <c r="R24" s="51">
        <v>628.29999999999995</v>
      </c>
      <c r="S24" s="51">
        <v>605.1</v>
      </c>
      <c r="T24" s="51">
        <v>654.4</v>
      </c>
      <c r="U24" s="51">
        <v>716.4</v>
      </c>
      <c r="V24" s="51">
        <v>721.2</v>
      </c>
      <c r="W24" s="51">
        <v>709.3</v>
      </c>
      <c r="X24" s="51">
        <v>744.4</v>
      </c>
      <c r="Y24" s="51">
        <v>790.2</v>
      </c>
      <c r="Z24" s="51">
        <v>830.8</v>
      </c>
      <c r="AA24" s="51">
        <v>803.2</v>
      </c>
      <c r="AB24" s="51">
        <v>867.7</v>
      </c>
      <c r="AC24" s="51">
        <v>825.3</v>
      </c>
      <c r="AD24" s="51">
        <v>984.6</v>
      </c>
      <c r="AE24" s="51">
        <v>908.8</v>
      </c>
      <c r="AF24" s="51">
        <v>1003.4</v>
      </c>
      <c r="AG24" s="51">
        <v>1068.5999999999999</v>
      </c>
      <c r="AH24" s="51">
        <v>1180.7</v>
      </c>
      <c r="AI24" s="51">
        <v>1114.9000000000001</v>
      </c>
      <c r="AJ24" s="51">
        <v>1223.0999999999999</v>
      </c>
      <c r="AK24" s="51">
        <v>1235.8</v>
      </c>
      <c r="AL24" s="51">
        <f>+AK24+5</f>
        <v>1240.8</v>
      </c>
      <c r="AM24" s="51">
        <f t="shared" ref="AM24" si="50">+AL24+5</f>
        <v>1245.8</v>
      </c>
      <c r="AN24" s="51">
        <v>164.1</v>
      </c>
      <c r="AO24" s="51"/>
      <c r="AP24" s="51"/>
      <c r="AQ24" s="51"/>
      <c r="AR24" s="51">
        <v>210.4</v>
      </c>
      <c r="AS24" s="51">
        <v>179.9</v>
      </c>
      <c r="AT24" s="51">
        <v>186.6</v>
      </c>
      <c r="AU24" s="51">
        <f>42.1+725.6-AT24-AS24-AR24</f>
        <v>190.80000000000004</v>
      </c>
      <c r="AV24" s="51">
        <v>176.6</v>
      </c>
      <c r="AW24" s="51">
        <v>175.6</v>
      </c>
      <c r="AX24" s="51">
        <v>132</v>
      </c>
      <c r="AY24" s="51">
        <f>581.5-AX24-AW24-AV24</f>
        <v>97.299999999999983</v>
      </c>
      <c r="AZ24" s="51">
        <v>81.099999999999994</v>
      </c>
      <c r="BA24" s="51">
        <v>75.5</v>
      </c>
      <c r="BB24" s="51">
        <f t="shared" ref="BB24:BG25" si="51">+BA24</f>
        <v>75.5</v>
      </c>
      <c r="BC24" s="51">
        <f t="shared" si="51"/>
        <v>75.5</v>
      </c>
      <c r="BD24" s="51">
        <f t="shared" si="51"/>
        <v>75.5</v>
      </c>
      <c r="BE24" s="51">
        <f t="shared" si="51"/>
        <v>75.5</v>
      </c>
      <c r="BF24" s="51">
        <f t="shared" si="51"/>
        <v>75.5</v>
      </c>
      <c r="BG24" s="51">
        <f t="shared" si="51"/>
        <v>75.5</v>
      </c>
      <c r="BH24" s="51"/>
      <c r="BI24" s="51"/>
      <c r="BJ24" s="49"/>
      <c r="BK24" s="51"/>
      <c r="BL24" s="51"/>
      <c r="BM24" s="51"/>
      <c r="BN24" s="51">
        <v>92</v>
      </c>
      <c r="BO24" s="51">
        <v>680</v>
      </c>
      <c r="BP24" s="51">
        <f>SUM(K24:N24)</f>
        <v>1316.1</v>
      </c>
      <c r="BQ24" s="51">
        <f>SUM(O24:R24)</f>
        <v>2102.8000000000002</v>
      </c>
      <c r="BR24" s="51">
        <f>SUM(S24:V24)</f>
        <v>2697.1000000000004</v>
      </c>
      <c r="BS24" s="51">
        <f>SUM(W24:Z24)</f>
        <v>3074.7</v>
      </c>
      <c r="BT24" s="51">
        <f>SUM(AA24:AD24)</f>
        <v>3480.7999999999997</v>
      </c>
      <c r="BU24" s="51">
        <f>SUM(AE24:AH24)</f>
        <v>4161.5</v>
      </c>
      <c r="BV24" s="51">
        <f>SUM(AI24:AL24)</f>
        <v>4814.6000000000004</v>
      </c>
      <c r="BW24" s="51">
        <f>BV24*1.1</f>
        <v>5296.06</v>
      </c>
      <c r="BX24" s="51">
        <f>BW24*0.4</f>
        <v>2118.4240000000004</v>
      </c>
      <c r="BY24" s="51"/>
      <c r="BZ24" s="51"/>
      <c r="CA24" s="51">
        <v>757.2</v>
      </c>
      <c r="CB24" s="51">
        <v>708</v>
      </c>
      <c r="CC24" s="51">
        <v>725.4</v>
      </c>
      <c r="CD24" s="49">
        <f t="shared" si="3"/>
        <v>767.7</v>
      </c>
      <c r="CE24" s="49">
        <f t="shared" si="4"/>
        <v>581.5</v>
      </c>
      <c r="CF24" s="49">
        <f t="shared" si="5"/>
        <v>307.60000000000002</v>
      </c>
      <c r="CG24" s="49">
        <f t="shared" si="6"/>
        <v>302</v>
      </c>
      <c r="CH24" s="49">
        <f t="shared" ref="CH24:CN24" si="52">+CG24*0.9</f>
        <v>271.8</v>
      </c>
      <c r="CI24" s="49">
        <f t="shared" si="52"/>
        <v>244.62</v>
      </c>
      <c r="CJ24" s="49">
        <f t="shared" si="52"/>
        <v>220.15800000000002</v>
      </c>
      <c r="CK24" s="49">
        <f t="shared" si="52"/>
        <v>198.14220000000003</v>
      </c>
      <c r="CL24" s="49">
        <f t="shared" si="52"/>
        <v>178.32798000000003</v>
      </c>
      <c r="CM24" s="49">
        <f t="shared" si="52"/>
        <v>160.49518200000003</v>
      </c>
      <c r="CN24" s="49">
        <f t="shared" si="52"/>
        <v>144.44566380000003</v>
      </c>
    </row>
    <row r="25" spans="2:92" x14ac:dyDescent="0.15">
      <c r="B25" t="s">
        <v>479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>
        <v>93.2</v>
      </c>
      <c r="AS25" s="51">
        <v>76.8</v>
      </c>
      <c r="AT25" s="51">
        <v>91.7</v>
      </c>
      <c r="AU25" s="51">
        <v>96.8</v>
      </c>
      <c r="AV25" s="51">
        <v>94.6</v>
      </c>
      <c r="AW25" s="51">
        <v>89.2</v>
      </c>
      <c r="AX25" s="51">
        <v>96.1</v>
      </c>
      <c r="AY25" s="51">
        <v>92.6</v>
      </c>
      <c r="AZ25" s="51">
        <v>0</v>
      </c>
      <c r="BA25" s="51">
        <v>0</v>
      </c>
      <c r="BB25" s="51">
        <f t="shared" si="51"/>
        <v>0</v>
      </c>
      <c r="BC25" s="51">
        <f t="shared" si="51"/>
        <v>0</v>
      </c>
      <c r="BD25" s="51">
        <f t="shared" si="51"/>
        <v>0</v>
      </c>
      <c r="BE25" s="51">
        <f t="shared" si="51"/>
        <v>0</v>
      </c>
      <c r="BF25" s="51">
        <f t="shared" si="51"/>
        <v>0</v>
      </c>
      <c r="BG25" s="51">
        <f t="shared" si="51"/>
        <v>0</v>
      </c>
      <c r="BH25" s="51"/>
      <c r="BI25" s="51"/>
      <c r="BJ25" s="49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>
        <v>537.9</v>
      </c>
      <c r="CB25" s="51">
        <v>574.70000000000005</v>
      </c>
      <c r="CC25" s="51">
        <v>590.6</v>
      </c>
      <c r="CD25" s="49">
        <f t="shared" si="3"/>
        <v>358.5</v>
      </c>
      <c r="CE25" s="49">
        <f t="shared" si="4"/>
        <v>372.5</v>
      </c>
      <c r="CF25" s="49">
        <f t="shared" si="5"/>
        <v>0</v>
      </c>
      <c r="CG25" s="49">
        <f t="shared" si="6"/>
        <v>0</v>
      </c>
      <c r="CH25" s="49">
        <f t="shared" ref="CH25:CN25" si="53">+CG25*0.9</f>
        <v>0</v>
      </c>
      <c r="CI25" s="49">
        <f t="shared" si="53"/>
        <v>0</v>
      </c>
      <c r="CJ25" s="49">
        <f t="shared" si="53"/>
        <v>0</v>
      </c>
      <c r="CK25" s="49">
        <f t="shared" si="53"/>
        <v>0</v>
      </c>
      <c r="CL25" s="49">
        <f t="shared" si="53"/>
        <v>0</v>
      </c>
      <c r="CM25" s="49">
        <f t="shared" si="53"/>
        <v>0</v>
      </c>
      <c r="CN25" s="49">
        <f t="shared" si="53"/>
        <v>0</v>
      </c>
    </row>
    <row r="26" spans="2:92" x14ac:dyDescent="0.15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>
        <v>41.1</v>
      </c>
      <c r="AS26" s="51">
        <v>33.200000000000003</v>
      </c>
      <c r="AT26" s="51">
        <v>43.2</v>
      </c>
      <c r="AU26" s="51">
        <v>35.6</v>
      </c>
      <c r="AV26" s="51">
        <v>32.4</v>
      </c>
      <c r="AW26" s="51">
        <v>35</v>
      </c>
      <c r="AX26" s="51">
        <v>36</v>
      </c>
      <c r="AY26" s="51">
        <v>31.4</v>
      </c>
      <c r="AZ26" s="51">
        <v>74.2</v>
      </c>
      <c r="BA26" s="51">
        <v>69.599999999999994</v>
      </c>
      <c r="BB26" s="51">
        <f t="shared" ref="BB26:BG26" si="54">+BA26</f>
        <v>69.599999999999994</v>
      </c>
      <c r="BC26" s="51">
        <f t="shared" si="54"/>
        <v>69.599999999999994</v>
      </c>
      <c r="BD26" s="51">
        <f t="shared" si="54"/>
        <v>69.599999999999994</v>
      </c>
      <c r="BE26" s="51">
        <f t="shared" si="54"/>
        <v>69.599999999999994</v>
      </c>
      <c r="BF26" s="51">
        <f t="shared" si="54"/>
        <v>69.599999999999994</v>
      </c>
      <c r="BG26" s="51">
        <f t="shared" si="54"/>
        <v>69.599999999999994</v>
      </c>
      <c r="BH26" s="51"/>
      <c r="BI26" s="51"/>
      <c r="BJ26" s="49"/>
      <c r="BK26" s="51"/>
      <c r="BL26" s="51">
        <v>168</v>
      </c>
      <c r="BM26" s="51">
        <v>98</v>
      </c>
      <c r="BN26" s="51">
        <v>89</v>
      </c>
      <c r="BO26" s="51">
        <v>4</v>
      </c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>
        <f>98.9+115.7</f>
        <v>214.60000000000002</v>
      </c>
      <c r="CB26" s="51">
        <f>93.4+92.3</f>
        <v>185.7</v>
      </c>
      <c r="CC26" s="51">
        <f>80.2+93.6</f>
        <v>173.8</v>
      </c>
      <c r="CD26" s="49">
        <f t="shared" si="3"/>
        <v>153.10000000000002</v>
      </c>
      <c r="CE26" s="49">
        <f t="shared" si="4"/>
        <v>134.80000000000001</v>
      </c>
      <c r="CF26" s="49">
        <f t="shared" si="5"/>
        <v>283</v>
      </c>
      <c r="CG26" s="49">
        <f t="shared" si="6"/>
        <v>278.39999999999998</v>
      </c>
      <c r="CH26" s="49">
        <f t="shared" ref="CH26:CN26" si="55">+CG26*0.9</f>
        <v>250.55999999999997</v>
      </c>
      <c r="CI26" s="49">
        <f t="shared" si="55"/>
        <v>225.50399999999999</v>
      </c>
      <c r="CJ26" s="49">
        <f t="shared" si="55"/>
        <v>202.95359999999999</v>
      </c>
      <c r="CK26" s="49">
        <f t="shared" si="55"/>
        <v>182.65824000000001</v>
      </c>
      <c r="CL26" s="49">
        <f t="shared" si="55"/>
        <v>164.392416</v>
      </c>
      <c r="CM26" s="49">
        <f t="shared" si="55"/>
        <v>147.95317439999999</v>
      </c>
      <c r="CN26" s="49">
        <f t="shared" si="55"/>
        <v>133.15785696</v>
      </c>
    </row>
    <row r="27" spans="2:92" x14ac:dyDescent="0.15">
      <c r="B27" s="38" t="s">
        <v>357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>
        <v>0</v>
      </c>
      <c r="AO27" s="51">
        <v>0</v>
      </c>
      <c r="AP27" s="51">
        <v>0</v>
      </c>
      <c r="AQ27" s="51">
        <v>0</v>
      </c>
      <c r="AR27" s="51">
        <v>0</v>
      </c>
      <c r="AS27" s="51">
        <v>6.3</v>
      </c>
      <c r="AT27" s="51">
        <v>11.6</v>
      </c>
      <c r="AU27" s="51">
        <v>18.7</v>
      </c>
      <c r="AV27" s="51">
        <v>16.8</v>
      </c>
      <c r="AW27" s="51">
        <v>25.7</v>
      </c>
      <c r="AX27" s="51">
        <v>33.6</v>
      </c>
      <c r="AY27" s="51">
        <v>38.6</v>
      </c>
      <c r="AZ27" s="51">
        <v>41.8</v>
      </c>
      <c r="BA27" s="51">
        <v>45</v>
      </c>
      <c r="BB27" s="51">
        <f t="shared" ref="BB27:BG27" si="56">+BA27+3</f>
        <v>48</v>
      </c>
      <c r="BC27" s="51">
        <f t="shared" si="56"/>
        <v>51</v>
      </c>
      <c r="BD27" s="51">
        <f t="shared" si="56"/>
        <v>54</v>
      </c>
      <c r="BE27" s="51">
        <f t="shared" si="56"/>
        <v>57</v>
      </c>
      <c r="BF27" s="51">
        <f t="shared" si="56"/>
        <v>60</v>
      </c>
      <c r="BG27" s="51">
        <f t="shared" si="56"/>
        <v>63</v>
      </c>
      <c r="BH27" s="51"/>
      <c r="BI27" s="51"/>
      <c r="BJ27" s="49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49">
        <f t="shared" si="3"/>
        <v>36.599999999999994</v>
      </c>
      <c r="CE27" s="49">
        <f t="shared" si="4"/>
        <v>114.69999999999999</v>
      </c>
      <c r="CF27" s="49">
        <f t="shared" si="5"/>
        <v>185.8</v>
      </c>
      <c r="CG27" s="49">
        <f t="shared" si="6"/>
        <v>234</v>
      </c>
      <c r="CH27" s="49">
        <f t="shared" ref="CH27:CM27" si="57">+CG27*1.3</f>
        <v>304.2</v>
      </c>
      <c r="CI27" s="49">
        <f t="shared" si="57"/>
        <v>395.46</v>
      </c>
      <c r="CJ27" s="49">
        <f t="shared" si="57"/>
        <v>514.09799999999996</v>
      </c>
      <c r="CK27" s="49">
        <f t="shared" si="57"/>
        <v>668.32740000000001</v>
      </c>
      <c r="CL27" s="49">
        <f t="shared" si="57"/>
        <v>868.82562000000007</v>
      </c>
      <c r="CM27" s="49">
        <f t="shared" si="57"/>
        <v>1129.4733060000001</v>
      </c>
      <c r="CN27" s="49">
        <f>+CM27*0.1</f>
        <v>112.94733060000002</v>
      </c>
    </row>
    <row r="28" spans="2:92" x14ac:dyDescent="0.15">
      <c r="B28" s="38" t="s">
        <v>434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>
        <v>0</v>
      </c>
      <c r="AO28" s="51">
        <v>0</v>
      </c>
      <c r="AP28" s="51">
        <v>6.2</v>
      </c>
      <c r="AQ28" s="51">
        <v>0</v>
      </c>
      <c r="AR28" s="51">
        <v>17.8</v>
      </c>
      <c r="AS28" s="51">
        <v>13.6</v>
      </c>
      <c r="AT28" s="51">
        <v>20.9</v>
      </c>
      <c r="AU28" s="51">
        <v>23.8</v>
      </c>
      <c r="AV28" s="51">
        <v>24.4</v>
      </c>
      <c r="AW28" s="51">
        <v>25.9</v>
      </c>
      <c r="AX28" s="51">
        <v>31.9</v>
      </c>
      <c r="AY28" s="51">
        <v>31</v>
      </c>
      <c r="AZ28" s="51">
        <v>0</v>
      </c>
      <c r="BA28" s="51">
        <f>+AZ28</f>
        <v>0</v>
      </c>
      <c r="BB28" s="51">
        <f t="shared" ref="BB28:BG28" si="58">+BA28</f>
        <v>0</v>
      </c>
      <c r="BC28" s="51">
        <f t="shared" si="58"/>
        <v>0</v>
      </c>
      <c r="BD28" s="51">
        <f t="shared" si="58"/>
        <v>0</v>
      </c>
      <c r="BE28" s="51">
        <f t="shared" si="58"/>
        <v>0</v>
      </c>
      <c r="BF28" s="51">
        <f t="shared" si="58"/>
        <v>0</v>
      </c>
      <c r="BG28" s="51">
        <f t="shared" si="58"/>
        <v>0</v>
      </c>
      <c r="BH28" s="51"/>
      <c r="BI28" s="51"/>
      <c r="BJ28" s="49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49">
        <f t="shared" si="3"/>
        <v>76.099999999999994</v>
      </c>
      <c r="CE28" s="49">
        <f t="shared" si="4"/>
        <v>113.19999999999999</v>
      </c>
      <c r="CF28" s="49">
        <f t="shared" si="5"/>
        <v>0</v>
      </c>
      <c r="CG28" s="49">
        <f t="shared" si="6"/>
        <v>0</v>
      </c>
      <c r="CH28" s="49"/>
      <c r="CI28" s="49"/>
      <c r="CJ28" s="49"/>
      <c r="CK28" s="49"/>
      <c r="CL28" s="49"/>
      <c r="CM28" s="49"/>
      <c r="CN28" s="49"/>
    </row>
    <row r="29" spans="2:92" x14ac:dyDescent="0.15">
      <c r="B29" s="38" t="s">
        <v>354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  <c r="AM29" s="52"/>
      <c r="AN29" s="52"/>
      <c r="AO29" s="52"/>
      <c r="AP29" s="52"/>
      <c r="AQ29" s="52"/>
      <c r="AR29" s="52">
        <v>2.6</v>
      </c>
      <c r="AS29" s="52">
        <v>8.1</v>
      </c>
      <c r="AT29" s="52">
        <v>10.6</v>
      </c>
      <c r="AU29" s="52">
        <v>13.2</v>
      </c>
      <c r="AV29" s="52">
        <v>16.899999999999999</v>
      </c>
      <c r="AW29" s="52">
        <v>7.9</v>
      </c>
      <c r="AX29" s="52">
        <v>4.9000000000000004</v>
      </c>
      <c r="AY29" s="52">
        <f>15.3+17.6-AX29-AW29-AV29</f>
        <v>3.2000000000000099</v>
      </c>
      <c r="AZ29" s="52">
        <v>4.5</v>
      </c>
      <c r="BA29" s="52">
        <v>4</v>
      </c>
      <c r="BB29" s="52">
        <f t="shared" ref="BB29:BG29" si="59">+BA29</f>
        <v>4</v>
      </c>
      <c r="BC29" s="52">
        <f t="shared" si="59"/>
        <v>4</v>
      </c>
      <c r="BD29" s="52">
        <f t="shared" si="59"/>
        <v>4</v>
      </c>
      <c r="BE29" s="52">
        <f t="shared" si="59"/>
        <v>4</v>
      </c>
      <c r="BF29" s="52">
        <f t="shared" si="59"/>
        <v>4</v>
      </c>
      <c r="BG29" s="52">
        <f t="shared" si="59"/>
        <v>4</v>
      </c>
      <c r="BH29" s="52"/>
      <c r="BI29" s="52"/>
      <c r="BJ29" s="49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49">
        <f t="shared" si="3"/>
        <v>34.5</v>
      </c>
      <c r="CE29" s="49">
        <f t="shared" si="4"/>
        <v>32.900000000000006</v>
      </c>
      <c r="CF29" s="49">
        <f t="shared" si="5"/>
        <v>16.5</v>
      </c>
      <c r="CG29" s="49">
        <f t="shared" si="6"/>
        <v>16</v>
      </c>
      <c r="CH29" s="49">
        <f>+CG29</f>
        <v>16</v>
      </c>
      <c r="CI29" s="49">
        <f t="shared" ref="CI29:CN29" si="60">+CH29</f>
        <v>16</v>
      </c>
      <c r="CJ29" s="49">
        <f t="shared" si="60"/>
        <v>16</v>
      </c>
      <c r="CK29" s="49">
        <f t="shared" si="60"/>
        <v>16</v>
      </c>
      <c r="CL29" s="49">
        <f t="shared" si="60"/>
        <v>16</v>
      </c>
      <c r="CM29" s="49">
        <f t="shared" si="60"/>
        <v>16</v>
      </c>
      <c r="CN29" s="49">
        <f t="shared" si="60"/>
        <v>16</v>
      </c>
    </row>
    <row r="30" spans="2:92" x14ac:dyDescent="0.15">
      <c r="B30" s="38" t="s">
        <v>482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  <c r="AM30" s="52"/>
      <c r="AN30" s="52"/>
      <c r="AO30" s="52"/>
      <c r="AP30" s="52"/>
      <c r="AQ30" s="52"/>
      <c r="AR30" s="52">
        <v>28</v>
      </c>
      <c r="AS30" s="52">
        <v>22.7</v>
      </c>
      <c r="AT30" s="52">
        <v>24.8</v>
      </c>
      <c r="AU30" s="52">
        <v>22.3</v>
      </c>
      <c r="AV30" s="52">
        <v>21.8</v>
      </c>
      <c r="AW30" s="52">
        <v>9.3000000000000007</v>
      </c>
      <c r="AX30" s="52">
        <v>10.4</v>
      </c>
      <c r="AY30" s="52">
        <v>8.8000000000000007</v>
      </c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49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49">
        <f t="shared" si="3"/>
        <v>97.8</v>
      </c>
      <c r="CE30" s="49">
        <f t="shared" si="4"/>
        <v>50.3</v>
      </c>
      <c r="CF30" s="49">
        <f t="shared" si="5"/>
        <v>0</v>
      </c>
      <c r="CG30" s="49">
        <f t="shared" si="6"/>
        <v>0</v>
      </c>
      <c r="CH30" s="49"/>
      <c r="CI30" s="49"/>
      <c r="CJ30" s="49"/>
      <c r="CK30" s="49"/>
      <c r="CL30" s="49"/>
      <c r="CM30" s="49"/>
      <c r="CN30" s="49"/>
    </row>
    <row r="31" spans="2:92" x14ac:dyDescent="0.15">
      <c r="B31" s="38" t="s">
        <v>435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2">
        <v>1.4</v>
      </c>
      <c r="AS31" s="52">
        <v>2.9</v>
      </c>
      <c r="AT31" s="52">
        <v>4</v>
      </c>
      <c r="AU31" s="52">
        <v>4.4000000000000004</v>
      </c>
      <c r="AV31" s="52">
        <v>2.5</v>
      </c>
      <c r="AW31" s="52">
        <v>9.4</v>
      </c>
      <c r="AX31" s="52">
        <v>5.3</v>
      </c>
      <c r="AY31" s="52">
        <v>6.9</v>
      </c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49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49">
        <f t="shared" si="3"/>
        <v>12.700000000000001</v>
      </c>
      <c r="CE31" s="49">
        <f t="shared" si="4"/>
        <v>24.1</v>
      </c>
      <c r="CF31" s="49">
        <f t="shared" si="5"/>
        <v>0</v>
      </c>
      <c r="CG31" s="49">
        <f t="shared" si="6"/>
        <v>0</v>
      </c>
      <c r="CH31" s="49"/>
      <c r="CI31" s="49"/>
      <c r="CJ31" s="49"/>
      <c r="CK31" s="49"/>
      <c r="CL31" s="49"/>
      <c r="CM31" s="49"/>
      <c r="CN31" s="49"/>
    </row>
    <row r="32" spans="2:92" x14ac:dyDescent="0.15">
      <c r="B32" t="s">
        <v>15</v>
      </c>
      <c r="C32" s="51">
        <v>141.1</v>
      </c>
      <c r="D32" s="51">
        <v>178.6</v>
      </c>
      <c r="E32" s="51">
        <v>163.6</v>
      </c>
      <c r="F32" s="51">
        <v>183.4</v>
      </c>
      <c r="G32" s="51">
        <v>119.8</v>
      </c>
      <c r="H32" s="51">
        <v>123.5</v>
      </c>
      <c r="I32" s="51">
        <v>140.9</v>
      </c>
      <c r="J32" s="51">
        <v>168</v>
      </c>
      <c r="K32" s="51">
        <v>152</v>
      </c>
      <c r="L32" s="51">
        <v>144</v>
      </c>
      <c r="M32" s="51">
        <v>126</v>
      </c>
      <c r="N32" s="51">
        <v>156.30000000000001</v>
      </c>
      <c r="O32" s="51">
        <v>139.9</v>
      </c>
      <c r="P32" s="51">
        <v>142.30000000000001</v>
      </c>
      <c r="Q32" s="51">
        <v>130.5</v>
      </c>
      <c r="R32" s="51">
        <v>156.80000000000001</v>
      </c>
      <c r="S32" s="51">
        <v>148</v>
      </c>
      <c r="T32" s="51">
        <v>135.19999999999999</v>
      </c>
      <c r="U32" s="51">
        <v>149.5</v>
      </c>
      <c r="V32" s="51">
        <v>146.80000000000001</v>
      </c>
      <c r="W32" s="51">
        <v>158.9</v>
      </c>
      <c r="X32" s="51">
        <v>142.80000000000001</v>
      </c>
      <c r="Y32" s="51">
        <v>145.5</v>
      </c>
      <c r="Z32" s="51">
        <v>162.19999999999999</v>
      </c>
      <c r="AA32" s="51">
        <v>146.4</v>
      </c>
      <c r="AB32" s="51">
        <v>147.1</v>
      </c>
      <c r="AC32" s="51">
        <v>127.9</v>
      </c>
      <c r="AD32" s="51">
        <v>155.4</v>
      </c>
      <c r="AE32" s="51">
        <v>138.69999999999999</v>
      </c>
      <c r="AF32" s="51">
        <v>157.69999999999999</v>
      </c>
      <c r="AG32" s="51">
        <v>153.19999999999999</v>
      </c>
      <c r="AH32" s="51">
        <v>170.6</v>
      </c>
      <c r="AI32" s="51">
        <v>158.9</v>
      </c>
      <c r="AJ32" s="51">
        <v>153</v>
      </c>
      <c r="AK32" s="51">
        <v>145.6</v>
      </c>
      <c r="AL32" s="51">
        <f t="shared" ref="AL32:AM32" si="61">+AK32</f>
        <v>145.6</v>
      </c>
      <c r="AM32" s="51">
        <f t="shared" si="61"/>
        <v>145.6</v>
      </c>
      <c r="AN32" s="51"/>
      <c r="AO32" s="51"/>
      <c r="AP32" s="51"/>
      <c r="AQ32" s="51"/>
      <c r="AR32" s="51">
        <v>38.200000000000003</v>
      </c>
      <c r="AS32" s="51">
        <v>22.5</v>
      </c>
      <c r="AT32" s="51">
        <v>32.700000000000003</v>
      </c>
      <c r="AU32" s="51">
        <v>35.1</v>
      </c>
      <c r="AV32" s="51">
        <v>38.6</v>
      </c>
      <c r="AW32" s="51">
        <v>40.5</v>
      </c>
      <c r="AX32" s="51">
        <v>35.200000000000003</v>
      </c>
      <c r="AY32" s="51">
        <v>36.1</v>
      </c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49"/>
      <c r="BK32" s="51"/>
      <c r="BL32" s="51">
        <v>3</v>
      </c>
      <c r="BM32" s="51">
        <v>370</v>
      </c>
      <c r="BN32" s="51">
        <v>666</v>
      </c>
      <c r="BO32" s="51">
        <v>552</v>
      </c>
      <c r="BP32" s="51">
        <v>594</v>
      </c>
      <c r="BQ32" s="51">
        <f>SUM(O32:R32)</f>
        <v>569.5</v>
      </c>
      <c r="BR32" s="51">
        <f>SUM(S32:V32)</f>
        <v>579.5</v>
      </c>
      <c r="BS32" s="51">
        <f>SUM(W32:Z32)</f>
        <v>609.40000000000009</v>
      </c>
      <c r="BT32" s="51">
        <f>SUM(AA32:AD32)</f>
        <v>576.79999999999995</v>
      </c>
      <c r="BU32" s="51">
        <f>SUM(AE32:AH32)</f>
        <v>620.19999999999993</v>
      </c>
      <c r="BV32" s="51">
        <f>SUM(AI32:AL32)</f>
        <v>603.1</v>
      </c>
      <c r="BW32" s="51">
        <f>BV32*0.95</f>
        <v>572.94500000000005</v>
      </c>
      <c r="BX32" s="51">
        <f>BW32*0.95</f>
        <v>544.29775000000006</v>
      </c>
      <c r="BY32" s="51">
        <f>BX32*0.95</f>
        <v>517.08286250000003</v>
      </c>
      <c r="BZ32" s="51"/>
      <c r="CA32" s="51">
        <f>284.9+333.3</f>
        <v>618.20000000000005</v>
      </c>
      <c r="CB32" s="51">
        <v>450.8</v>
      </c>
      <c r="CC32" s="51">
        <v>242.5</v>
      </c>
      <c r="CD32" s="49">
        <f t="shared" si="3"/>
        <v>128.5</v>
      </c>
      <c r="CE32" s="49">
        <f t="shared" si="4"/>
        <v>150.4</v>
      </c>
      <c r="CF32" s="49">
        <f t="shared" si="5"/>
        <v>0</v>
      </c>
      <c r="CG32" s="49">
        <f t="shared" si="6"/>
        <v>0</v>
      </c>
      <c r="CH32" s="49"/>
      <c r="CI32" s="49"/>
      <c r="CJ32" s="49"/>
      <c r="CK32" s="49"/>
      <c r="CL32" s="49"/>
      <c r="CM32" s="49"/>
      <c r="CN32" s="49"/>
    </row>
    <row r="33" spans="2:85" x14ac:dyDescent="0.15">
      <c r="B33" t="s">
        <v>79</v>
      </c>
      <c r="C33" s="51"/>
      <c r="D33" s="51"/>
      <c r="E33" s="51"/>
      <c r="F33" s="51">
        <v>251.4</v>
      </c>
      <c r="G33" s="51">
        <f>K33/1.01</f>
        <v>196.33663366336634</v>
      </c>
      <c r="H33" s="51">
        <v>201</v>
      </c>
      <c r="I33" s="51">
        <v>216</v>
      </c>
      <c r="J33" s="51">
        <v>251.4</v>
      </c>
      <c r="K33" s="51">
        <v>198.3</v>
      </c>
      <c r="L33" s="51">
        <v>201</v>
      </c>
      <c r="M33" s="51">
        <v>216</v>
      </c>
      <c r="N33" s="51">
        <v>236.6</v>
      </c>
      <c r="O33" s="51">
        <v>210</v>
      </c>
      <c r="P33" s="51">
        <v>214.7</v>
      </c>
      <c r="Q33" s="51">
        <v>236.8</v>
      </c>
      <c r="R33" s="51">
        <v>329.4</v>
      </c>
      <c r="S33" s="51"/>
      <c r="T33" s="51">
        <v>254.5</v>
      </c>
      <c r="U33" s="51">
        <v>277.10000000000002</v>
      </c>
      <c r="V33" s="51">
        <v>326.39999999999998</v>
      </c>
      <c r="W33" s="51">
        <v>264.10000000000002</v>
      </c>
      <c r="X33" s="51">
        <v>275.39999999999998</v>
      </c>
      <c r="Y33" s="51">
        <v>314.60000000000002</v>
      </c>
      <c r="Z33" s="51">
        <v>353.1</v>
      </c>
      <c r="AA33" s="51">
        <v>289.60000000000002</v>
      </c>
      <c r="AB33" s="51">
        <v>324.2</v>
      </c>
      <c r="AC33" s="51">
        <v>353.2</v>
      </c>
      <c r="AD33" s="51">
        <v>424.3</v>
      </c>
      <c r="AE33" s="51">
        <v>369.8</v>
      </c>
      <c r="AF33" s="51">
        <v>389.5</v>
      </c>
      <c r="AG33" s="51">
        <v>451</v>
      </c>
      <c r="AH33" s="51">
        <v>468.2</v>
      </c>
      <c r="AI33" s="51">
        <v>490.7</v>
      </c>
      <c r="AJ33" s="51">
        <v>512.20000000000005</v>
      </c>
      <c r="AK33" s="51">
        <v>479.4</v>
      </c>
      <c r="AL33" s="51">
        <f t="shared" ref="AL33:AM33" si="62">+AK33+5</f>
        <v>484.4</v>
      </c>
      <c r="AM33" s="51">
        <f t="shared" si="62"/>
        <v>489.4</v>
      </c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49"/>
      <c r="BK33" s="51"/>
      <c r="BL33" s="51">
        <v>693</v>
      </c>
      <c r="BM33" s="51">
        <v>727</v>
      </c>
      <c r="BN33" s="51">
        <v>798</v>
      </c>
      <c r="BO33" s="51">
        <v>864</v>
      </c>
      <c r="BP33" s="51">
        <v>882</v>
      </c>
      <c r="BQ33" s="51">
        <f>BP33*1.05</f>
        <v>926.1</v>
      </c>
      <c r="BR33" s="51">
        <f>SUM(S33:V33)</f>
        <v>858</v>
      </c>
      <c r="BS33" s="51">
        <f>SUM(W33:Z33)</f>
        <v>1207.2</v>
      </c>
      <c r="BT33" s="51">
        <f>SUM(AA33:AD33)</f>
        <v>1391.3</v>
      </c>
      <c r="BU33" s="51">
        <f>SUM(AE33:AH33)</f>
        <v>1678.5</v>
      </c>
      <c r="BV33" s="51">
        <f>SUM(AI33:AL33)</f>
        <v>1966.7000000000003</v>
      </c>
      <c r="BW33" s="51">
        <f t="shared" ref="BW33:BY33" si="63">BV33*1.05</f>
        <v>2065.0350000000003</v>
      </c>
      <c r="BX33" s="51">
        <f t="shared" si="63"/>
        <v>2168.2867500000002</v>
      </c>
      <c r="BY33" s="51">
        <f t="shared" si="63"/>
        <v>2276.7010875000005</v>
      </c>
      <c r="BZ33" s="51"/>
      <c r="CA33" s="51"/>
      <c r="CB33" s="51"/>
      <c r="CC33" s="51"/>
      <c r="CD33" s="49"/>
      <c r="CE33" s="49"/>
      <c r="CF33" s="49"/>
      <c r="CG33" s="49"/>
    </row>
    <row r="34" spans="2:85" s="38" customFormat="1" x14ac:dyDescent="0.15">
      <c r="B34" s="38" t="s">
        <v>263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22.6</v>
      </c>
      <c r="Z34" s="52">
        <v>4</v>
      </c>
      <c r="AA34" s="52">
        <v>8.8000000000000007</v>
      </c>
      <c r="AB34" s="52">
        <v>22.9</v>
      </c>
      <c r="AC34" s="52">
        <v>36.299999999999997</v>
      </c>
      <c r="AD34" s="52">
        <v>47</v>
      </c>
      <c r="AE34" s="52">
        <v>56.3</v>
      </c>
      <c r="AF34" s="52">
        <v>71.7</v>
      </c>
      <c r="AG34" s="52">
        <v>83.5</v>
      </c>
      <c r="AH34" s="52">
        <v>90.9</v>
      </c>
      <c r="AI34" s="52">
        <v>115.8</v>
      </c>
      <c r="AJ34" s="52">
        <v>111</v>
      </c>
      <c r="AK34" s="52">
        <v>109.7</v>
      </c>
      <c r="AL34" s="52">
        <f>+AK34+5</f>
        <v>114.7</v>
      </c>
      <c r="AM34" s="52">
        <f t="shared" ref="AM34" si="64">+AL34+5</f>
        <v>119.7</v>
      </c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0"/>
      <c r="BK34" s="52"/>
      <c r="BL34" s="52"/>
      <c r="BM34" s="52"/>
      <c r="BN34" s="52"/>
      <c r="BO34" s="52"/>
      <c r="BP34" s="52"/>
      <c r="BQ34" s="52"/>
      <c r="BR34" s="52"/>
      <c r="BS34" s="52">
        <f>SUM(W34:Z34)</f>
        <v>26.6</v>
      </c>
      <c r="BT34" s="52">
        <f>SUM(AA34:AD34)</f>
        <v>115</v>
      </c>
      <c r="BU34" s="51">
        <f>SUM(AE34:AH34)</f>
        <v>302.39999999999998</v>
      </c>
      <c r="BV34" s="51">
        <f>SUM(AI34:AL34)</f>
        <v>451.2</v>
      </c>
      <c r="BW34" s="52">
        <f>BV34*1.3</f>
        <v>586.56000000000006</v>
      </c>
      <c r="BX34" s="52">
        <f>BW34*1.1</f>
        <v>645.21600000000012</v>
      </c>
      <c r="BY34" s="52">
        <f>BX34*1.1</f>
        <v>709.73760000000016</v>
      </c>
      <c r="BZ34" s="52"/>
      <c r="CA34" s="52"/>
      <c r="CB34" s="52"/>
      <c r="CC34" s="52"/>
      <c r="CD34" s="49"/>
      <c r="CE34" s="49"/>
      <c r="CF34" s="49"/>
      <c r="CG34" s="49"/>
    </row>
    <row r="35" spans="2:85" x14ac:dyDescent="0.15">
      <c r="B35" t="s">
        <v>55</v>
      </c>
      <c r="C35" s="51">
        <v>279</v>
      </c>
      <c r="D35" s="51">
        <v>293.3</v>
      </c>
      <c r="E35" s="51">
        <v>312.7</v>
      </c>
      <c r="F35" s="51">
        <v>329.5</v>
      </c>
      <c r="G35" s="51">
        <v>304.60000000000002</v>
      </c>
      <c r="H35" s="51">
        <v>343</v>
      </c>
      <c r="I35" s="51">
        <v>334.3</v>
      </c>
      <c r="J35" s="51">
        <v>352.6</v>
      </c>
      <c r="K35" s="51">
        <v>339</v>
      </c>
      <c r="L35" s="51">
        <v>344</v>
      </c>
      <c r="M35" s="51">
        <v>355</v>
      </c>
      <c r="N35" s="51">
        <v>371.3</v>
      </c>
      <c r="O35" s="51">
        <v>376.9</v>
      </c>
      <c r="P35" s="51">
        <v>395.6</v>
      </c>
      <c r="Q35" s="51">
        <v>394.4</v>
      </c>
      <c r="R35" s="51">
        <v>425.5</v>
      </c>
      <c r="S35" s="51">
        <v>426.2</v>
      </c>
      <c r="T35" s="51">
        <v>440.1</v>
      </c>
      <c r="U35" s="51">
        <v>440.2</v>
      </c>
      <c r="V35" s="51">
        <v>413.3</v>
      </c>
      <c r="W35" s="51">
        <v>367.8</v>
      </c>
      <c r="X35" s="51">
        <v>353.2</v>
      </c>
      <c r="Y35" s="51">
        <v>331.8</v>
      </c>
      <c r="Z35" s="51">
        <v>310.5</v>
      </c>
      <c r="AA35" s="51">
        <v>287.8</v>
      </c>
      <c r="AB35" s="51">
        <v>293.39999999999998</v>
      </c>
      <c r="AC35" s="51">
        <v>324.60000000000002</v>
      </c>
      <c r="AD35" s="51">
        <v>243.6</v>
      </c>
      <c r="AE35" s="51">
        <v>156.1</v>
      </c>
      <c r="AF35" s="51">
        <v>112.4</v>
      </c>
      <c r="AG35" s="51">
        <v>91</v>
      </c>
      <c r="AH35" s="51">
        <v>92.6</v>
      </c>
      <c r="AI35" s="51">
        <v>0</v>
      </c>
      <c r="AJ35" s="51">
        <v>0</v>
      </c>
      <c r="AK35" s="51">
        <v>0</v>
      </c>
      <c r="AL35" s="52">
        <f t="shared" ref="AL35:AM35" si="65">+AK35</f>
        <v>0</v>
      </c>
      <c r="AM35" s="52">
        <f t="shared" si="65"/>
        <v>0</v>
      </c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49"/>
      <c r="BK35" s="51"/>
      <c r="BL35" s="51">
        <v>875</v>
      </c>
      <c r="BM35" s="51">
        <v>1022</v>
      </c>
      <c r="BN35" s="51">
        <v>1214</v>
      </c>
      <c r="BO35" s="51">
        <v>1335</v>
      </c>
      <c r="BP35" s="51">
        <f>SUM(K35:N35)</f>
        <v>1409.3</v>
      </c>
      <c r="BQ35" s="51">
        <f>SUM(O35:R35)</f>
        <v>1592.4</v>
      </c>
      <c r="BR35" s="51">
        <f>SUM(S35:V35)</f>
        <v>1719.8</v>
      </c>
      <c r="BS35" s="51">
        <f>SUM(W35:Z35)</f>
        <v>1363.3</v>
      </c>
      <c r="BT35" s="51">
        <f>SUM(AA35:AD35)</f>
        <v>1149.4000000000001</v>
      </c>
      <c r="BU35" s="51">
        <f>SUM(AE35:AH35)</f>
        <v>452.1</v>
      </c>
      <c r="BV35" s="51">
        <f>SUM(AI35:AL35)</f>
        <v>0</v>
      </c>
      <c r="BW35" s="51">
        <f>BV35*0.2</f>
        <v>0</v>
      </c>
      <c r="BX35" s="51">
        <f>BW35*0.2</f>
        <v>0</v>
      </c>
      <c r="BY35" s="51"/>
      <c r="BZ35" s="51"/>
      <c r="CA35" s="51"/>
      <c r="CB35" s="53"/>
      <c r="CC35" s="53"/>
      <c r="CD35" s="49"/>
      <c r="CE35" s="49"/>
      <c r="CF35" s="49"/>
      <c r="CG35" s="49"/>
    </row>
    <row r="36" spans="2:85" x14ac:dyDescent="0.15">
      <c r="B36" t="s">
        <v>70</v>
      </c>
      <c r="C36" s="51"/>
      <c r="D36" s="51"/>
      <c r="E36" s="51"/>
      <c r="F36" s="51"/>
      <c r="G36" s="51"/>
      <c r="H36" s="51"/>
      <c r="I36" s="51"/>
      <c r="J36" s="51">
        <v>25.7</v>
      </c>
      <c r="K36" s="51">
        <v>36</v>
      </c>
      <c r="L36" s="51">
        <v>52</v>
      </c>
      <c r="M36" s="51">
        <v>62</v>
      </c>
      <c r="N36" s="51">
        <f>R36/1.34</f>
        <v>68.731343283582078</v>
      </c>
      <c r="O36" s="51">
        <v>72</v>
      </c>
      <c r="P36" s="51">
        <v>152.1</v>
      </c>
      <c r="Q36" s="51">
        <v>87.1</v>
      </c>
      <c r="R36" s="51">
        <v>92.1</v>
      </c>
      <c r="S36" s="51">
        <v>82.7</v>
      </c>
      <c r="T36" s="51">
        <v>101.2</v>
      </c>
      <c r="U36" s="51">
        <v>109.2</v>
      </c>
      <c r="V36" s="51">
        <v>103</v>
      </c>
      <c r="W36" s="51">
        <v>97.5</v>
      </c>
      <c r="X36" s="51">
        <v>114.6</v>
      </c>
      <c r="Y36" s="51">
        <v>115.8</v>
      </c>
      <c r="Z36" s="51">
        <v>120.5</v>
      </c>
      <c r="AA36" s="51">
        <v>115.7</v>
      </c>
      <c r="AB36" s="51">
        <v>106.9</v>
      </c>
      <c r="AC36" s="51">
        <v>102.7</v>
      </c>
      <c r="AD36" s="51">
        <v>105.3</v>
      </c>
      <c r="AE36" s="51">
        <v>101.8</v>
      </c>
      <c r="AF36" s="51">
        <v>103.9</v>
      </c>
      <c r="AG36" s="51">
        <v>106.7</v>
      </c>
      <c r="AH36" s="51">
        <v>110.3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49"/>
      <c r="BK36" s="51"/>
      <c r="BL36" s="51"/>
      <c r="BM36" s="51"/>
      <c r="BN36" s="51"/>
      <c r="BO36" s="51">
        <v>36</v>
      </c>
      <c r="BP36" s="51">
        <v>193</v>
      </c>
      <c r="BQ36" s="51">
        <f>BP36*1.75</f>
        <v>337.75</v>
      </c>
      <c r="BR36" s="51">
        <f>SUM(S36:V36)</f>
        <v>396.1</v>
      </c>
      <c r="BS36" s="51">
        <f>SUM(W36:Z36)</f>
        <v>448.4</v>
      </c>
      <c r="BT36" s="51">
        <f>SUM(AA36:AD36)</f>
        <v>430.6</v>
      </c>
      <c r="BU36" s="51">
        <f>SUM(AE36:AH36)</f>
        <v>422.7</v>
      </c>
      <c r="BV36" s="51">
        <f>SUM(AI36:AL36)</f>
        <v>0</v>
      </c>
      <c r="BW36" s="51">
        <f>+BV36*2</f>
        <v>0</v>
      </c>
      <c r="BX36" s="51">
        <f>+BW36*1.05</f>
        <v>0</v>
      </c>
      <c r="BY36" s="51">
        <f t="shared" ref="BY36" si="66">+BX36*1.05</f>
        <v>0</v>
      </c>
      <c r="BZ36" s="51"/>
      <c r="CA36" s="51"/>
      <c r="CB36" s="53"/>
      <c r="CC36" s="53"/>
      <c r="CD36" s="49"/>
      <c r="CE36" s="49"/>
      <c r="CF36" s="49"/>
      <c r="CG36" s="49"/>
    </row>
    <row r="37" spans="2:85" x14ac:dyDescent="0.15">
      <c r="B37" t="s">
        <v>61</v>
      </c>
      <c r="C37" s="51">
        <v>165</v>
      </c>
      <c r="D37" s="51">
        <v>129.80000000000001</v>
      </c>
      <c r="E37" s="51">
        <v>141</v>
      </c>
      <c r="F37" s="51">
        <v>123.1</v>
      </c>
      <c r="G37" s="51">
        <v>112.5</v>
      </c>
      <c r="H37" s="51">
        <v>114.2</v>
      </c>
      <c r="I37" s="51">
        <v>102.6</v>
      </c>
      <c r="J37" s="51">
        <v>114.4</v>
      </c>
      <c r="K37" s="51"/>
      <c r="L37" s="51"/>
      <c r="M37" s="51">
        <v>78</v>
      </c>
      <c r="N37" s="51"/>
      <c r="O37" s="51">
        <f>M37</f>
        <v>78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49"/>
      <c r="BK37" s="51"/>
      <c r="BL37" s="51">
        <v>656</v>
      </c>
      <c r="BM37" s="51">
        <v>645</v>
      </c>
      <c r="BN37" s="51">
        <v>559</v>
      </c>
      <c r="BO37" s="51">
        <v>454</v>
      </c>
      <c r="BP37" s="51">
        <v>327</v>
      </c>
      <c r="BQ37" s="51">
        <f>BP37*0.95</f>
        <v>310.64999999999998</v>
      </c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3"/>
      <c r="CC37" s="53"/>
      <c r="CD37" s="49"/>
      <c r="CE37" s="49"/>
      <c r="CF37" s="49"/>
      <c r="CG37" s="49"/>
    </row>
    <row r="38" spans="2:85" x14ac:dyDescent="0.15">
      <c r="B38" t="s">
        <v>63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49"/>
      <c r="BK38" s="51"/>
      <c r="BL38" s="51">
        <v>198</v>
      </c>
      <c r="BM38" s="51">
        <v>171</v>
      </c>
      <c r="BN38" s="51">
        <v>138</v>
      </c>
      <c r="BO38" s="51">
        <v>118</v>
      </c>
      <c r="BP38" s="51">
        <v>90</v>
      </c>
      <c r="BQ38" s="51">
        <f>BP38*0.9</f>
        <v>81</v>
      </c>
      <c r="BR38" s="51">
        <f>BQ38*0.9</f>
        <v>72.900000000000006</v>
      </c>
      <c r="BS38" s="51"/>
      <c r="BT38" s="51"/>
      <c r="BU38" s="51"/>
      <c r="BV38" s="51"/>
      <c r="BW38" s="51"/>
      <c r="BX38" s="51"/>
      <c r="BY38" s="51"/>
      <c r="BZ38" s="51"/>
      <c r="CA38" s="51"/>
      <c r="CB38" s="53"/>
      <c r="CC38" s="53"/>
      <c r="CD38" s="49"/>
      <c r="CE38" s="49"/>
      <c r="CF38" s="49"/>
      <c r="CG38" s="49"/>
    </row>
    <row r="39" spans="2:85" x14ac:dyDescent="0.15">
      <c r="B39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49"/>
      <c r="BK39" s="51"/>
      <c r="BL39" s="51">
        <v>38</v>
      </c>
      <c r="BM39" s="51">
        <v>32</v>
      </c>
      <c r="BN39" s="51">
        <v>55</v>
      </c>
      <c r="BO39" s="51">
        <v>28</v>
      </c>
      <c r="BP39" s="51">
        <v>17</v>
      </c>
      <c r="BQ39" s="51">
        <v>16</v>
      </c>
      <c r="BR39" s="51">
        <v>16</v>
      </c>
      <c r="BS39" s="51"/>
      <c r="BT39" s="51"/>
      <c r="BU39" s="51"/>
      <c r="BV39" s="51"/>
      <c r="BW39" s="51"/>
      <c r="BX39" s="51"/>
      <c r="BY39" s="51"/>
      <c r="BZ39" s="51"/>
      <c r="CA39" s="51"/>
      <c r="CB39" s="53"/>
      <c r="CC39" s="53"/>
      <c r="CD39" s="49"/>
      <c r="CE39" s="49"/>
      <c r="CF39" s="49"/>
      <c r="CG39" s="49"/>
    </row>
    <row r="40" spans="2:85" x14ac:dyDescent="0.15">
      <c r="B40" t="s">
        <v>65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49"/>
      <c r="BK40" s="51"/>
      <c r="BL40" s="51">
        <v>75</v>
      </c>
      <c r="BM40" s="51">
        <v>52</v>
      </c>
      <c r="BN40" s="51">
        <v>46</v>
      </c>
      <c r="BO40" s="51">
        <v>34</v>
      </c>
      <c r="BP40" s="51">
        <v>32</v>
      </c>
      <c r="BQ40" s="51">
        <f>BP40*0.8</f>
        <v>25.6</v>
      </c>
      <c r="BR40" s="51">
        <f>BQ40*0.8</f>
        <v>20.480000000000004</v>
      </c>
      <c r="BS40" s="51"/>
      <c r="BT40" s="51"/>
      <c r="BU40" s="51"/>
      <c r="BV40" s="51"/>
      <c r="BW40" s="51"/>
      <c r="BX40" s="51"/>
      <c r="BY40" s="51"/>
      <c r="BZ40" s="51"/>
      <c r="CA40" s="51"/>
      <c r="CB40" s="53"/>
      <c r="CC40" s="53"/>
      <c r="CD40" s="49"/>
      <c r="CE40" s="49"/>
      <c r="CF40" s="49"/>
      <c r="CG40" s="49"/>
    </row>
    <row r="41" spans="2:85" x14ac:dyDescent="0.15">
      <c r="B41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>
        <v>25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49"/>
      <c r="BK41" s="51"/>
      <c r="BL41" s="51">
        <v>145</v>
      </c>
      <c r="BM41" s="51">
        <v>173</v>
      </c>
      <c r="BN41" s="51">
        <v>198</v>
      </c>
      <c r="BO41" s="51">
        <v>240</v>
      </c>
      <c r="BP41" s="51">
        <v>154</v>
      </c>
      <c r="BQ41" s="51">
        <v>136</v>
      </c>
      <c r="BR41" s="51">
        <v>143</v>
      </c>
      <c r="BS41" s="51"/>
      <c r="BT41" s="51"/>
      <c r="BU41" s="51"/>
      <c r="BV41" s="51"/>
      <c r="BW41" s="51"/>
      <c r="BX41" s="51"/>
      <c r="BY41" s="51"/>
      <c r="BZ41" s="51"/>
      <c r="CA41" s="51"/>
      <c r="CB41" s="53"/>
      <c r="CC41" s="53"/>
      <c r="CD41" s="49"/>
      <c r="CE41" s="49"/>
      <c r="CF41" s="49"/>
      <c r="CG41" s="49"/>
    </row>
    <row r="42" spans="2:85" x14ac:dyDescent="0.15">
      <c r="B42" t="s">
        <v>67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49"/>
      <c r="BK42" s="51"/>
      <c r="BL42" s="51">
        <v>122</v>
      </c>
      <c r="BM42" s="51">
        <v>63</v>
      </c>
      <c r="BN42" s="51">
        <v>44</v>
      </c>
      <c r="BO42" s="51">
        <v>25</v>
      </c>
      <c r="BP42" s="51">
        <v>31</v>
      </c>
      <c r="BQ42" s="51">
        <f>BP42*0.9</f>
        <v>27.900000000000002</v>
      </c>
      <c r="BR42" s="51">
        <f>BQ42*0.9</f>
        <v>25.110000000000003</v>
      </c>
      <c r="BS42" s="51">
        <f>BR42*0.9</f>
        <v>22.599000000000004</v>
      </c>
      <c r="BT42" s="51"/>
      <c r="BU42" s="51"/>
      <c r="BV42" s="51"/>
      <c r="BW42" s="51"/>
      <c r="BX42" s="51"/>
      <c r="BY42" s="51"/>
      <c r="BZ42" s="51"/>
      <c r="CA42" s="51"/>
      <c r="CB42" s="53"/>
      <c r="CC42" s="53"/>
      <c r="CD42" s="49"/>
      <c r="CE42" s="49"/>
      <c r="CF42" s="49"/>
      <c r="CG42" s="49"/>
    </row>
    <row r="43" spans="2:85" x14ac:dyDescent="0.15">
      <c r="B43" t="s">
        <v>69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>
        <v>102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>
        <v>88.7</v>
      </c>
      <c r="AS43" s="51">
        <v>46.2</v>
      </c>
      <c r="AT43" s="51">
        <v>50.7</v>
      </c>
      <c r="AU43" s="51">
        <v>110.8</v>
      </c>
      <c r="AV43" s="51">
        <v>64.900000000000006</v>
      </c>
      <c r="AW43" s="51">
        <v>22.4</v>
      </c>
      <c r="AX43" s="51">
        <v>50.2</v>
      </c>
      <c r="AY43" s="51">
        <v>51.4</v>
      </c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49"/>
      <c r="BK43" s="51"/>
      <c r="BL43" s="51">
        <v>329</v>
      </c>
      <c r="BM43" s="51">
        <v>371</v>
      </c>
      <c r="BN43" s="51">
        <v>430</v>
      </c>
      <c r="BO43" s="51">
        <v>414</v>
      </c>
      <c r="BP43" s="51">
        <v>413</v>
      </c>
      <c r="BQ43" s="51">
        <f>BP43*1.05</f>
        <v>433.65000000000003</v>
      </c>
      <c r="BR43" s="51">
        <f>BQ43*1.05</f>
        <v>455.33250000000004</v>
      </c>
      <c r="BS43" s="51">
        <f>BR43*1.05</f>
        <v>478.09912500000007</v>
      </c>
      <c r="BT43" s="51"/>
      <c r="BU43" s="51"/>
      <c r="BV43" s="51"/>
      <c r="BW43" s="51"/>
      <c r="BX43" s="51"/>
      <c r="BY43" s="51"/>
      <c r="BZ43" s="51"/>
      <c r="CA43" s="51"/>
      <c r="CB43" s="53"/>
      <c r="CC43" s="53"/>
      <c r="CD43" s="49">
        <f t="shared" ref="CD43" si="67">SUM(AR43:AU43)</f>
        <v>296.40000000000003</v>
      </c>
      <c r="CE43" s="49">
        <f t="shared" ref="CE43" si="68">SUM(AV43:AY43)</f>
        <v>188.9</v>
      </c>
      <c r="CF43" s="49">
        <f t="shared" ref="CF43" si="69">SUM(AZ43:BC43)</f>
        <v>0</v>
      </c>
      <c r="CG43" s="49">
        <f t="shared" ref="CG43" si="70">SUM(BD43:BG43)</f>
        <v>0</v>
      </c>
    </row>
    <row r="44" spans="2:85" x14ac:dyDescent="0.15">
      <c r="B44" t="s">
        <v>71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49"/>
      <c r="BK44" s="51"/>
      <c r="BL44" s="51">
        <v>46</v>
      </c>
      <c r="BM44" s="51">
        <v>43</v>
      </c>
      <c r="BN44" s="51">
        <v>34</v>
      </c>
      <c r="BO44" s="51">
        <v>52</v>
      </c>
      <c r="BP44" s="51">
        <v>34</v>
      </c>
      <c r="BQ44" s="51">
        <v>34</v>
      </c>
      <c r="BR44" s="51">
        <v>35</v>
      </c>
      <c r="BS44" s="51"/>
      <c r="BT44" s="51"/>
      <c r="BU44" s="51"/>
      <c r="BV44" s="51"/>
      <c r="BW44" s="51"/>
      <c r="BX44" s="51"/>
      <c r="BY44" s="51"/>
      <c r="BZ44" s="51"/>
      <c r="CA44" s="51"/>
      <c r="CB44" s="53"/>
      <c r="CC44" s="53"/>
      <c r="CD44" s="49"/>
      <c r="CE44" s="49"/>
      <c r="CF44" s="49"/>
      <c r="CG44" s="49"/>
    </row>
    <row r="45" spans="2:85" x14ac:dyDescent="0.15">
      <c r="B45" t="s">
        <v>72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>
        <v>67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49"/>
      <c r="BK45" s="51"/>
      <c r="BL45" s="51">
        <v>384</v>
      </c>
      <c r="BM45" s="51">
        <v>364</v>
      </c>
      <c r="BN45" s="51">
        <v>363</v>
      </c>
      <c r="BO45" s="51">
        <v>297</v>
      </c>
      <c r="BP45" s="51">
        <v>296</v>
      </c>
      <c r="BQ45" s="51">
        <f>BP45*0.95</f>
        <v>281.2</v>
      </c>
      <c r="BR45" s="51">
        <f>BQ45*0.95</f>
        <v>267.14</v>
      </c>
      <c r="BS45" s="51">
        <f>BR45*0.95</f>
        <v>253.78299999999999</v>
      </c>
      <c r="BT45" s="51"/>
      <c r="BU45" s="51"/>
      <c r="BV45" s="51"/>
      <c r="BW45" s="51"/>
      <c r="BX45" s="51"/>
      <c r="BY45" s="51"/>
      <c r="BZ45" s="51"/>
      <c r="CA45" s="51"/>
      <c r="CB45" s="53"/>
      <c r="CC45" s="53"/>
      <c r="CD45" s="49"/>
      <c r="CE45" s="49"/>
      <c r="CF45" s="49"/>
      <c r="CG45" s="49"/>
    </row>
    <row r="46" spans="2:85" x14ac:dyDescent="0.15">
      <c r="B46" t="s">
        <v>73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49"/>
      <c r="BK46" s="51"/>
      <c r="BL46" s="51">
        <v>60</v>
      </c>
      <c r="BM46" s="51">
        <v>70</v>
      </c>
      <c r="BN46" s="51">
        <v>42</v>
      </c>
      <c r="BO46" s="51">
        <v>34</v>
      </c>
      <c r="BP46" s="51">
        <v>23</v>
      </c>
      <c r="BQ46" s="51">
        <v>22</v>
      </c>
      <c r="BR46" s="51">
        <v>22</v>
      </c>
      <c r="BS46" s="51">
        <v>22</v>
      </c>
      <c r="BT46" s="51"/>
      <c r="BU46" s="51"/>
      <c r="BV46" s="51"/>
      <c r="BW46" s="51"/>
      <c r="BX46" s="51"/>
      <c r="BY46" s="51"/>
      <c r="BZ46" s="51"/>
      <c r="CA46" s="51"/>
      <c r="CB46" s="53"/>
      <c r="CC46" s="53"/>
      <c r="CD46" s="49"/>
      <c r="CE46" s="49"/>
      <c r="CF46" s="49"/>
      <c r="CG46" s="49"/>
    </row>
    <row r="47" spans="2:85" x14ac:dyDescent="0.15">
      <c r="B47" t="s">
        <v>68</v>
      </c>
      <c r="C47" s="51">
        <v>153.30000000000001</v>
      </c>
      <c r="D47" s="51">
        <v>112.4</v>
      </c>
      <c r="E47" s="51">
        <v>58.3</v>
      </c>
      <c r="F47" s="51">
        <v>128.9</v>
      </c>
      <c r="G47" s="51">
        <v>168.7</v>
      </c>
      <c r="H47" s="51">
        <v>105</v>
      </c>
      <c r="I47" s="51">
        <f>M47/1.2</f>
        <v>64.166666666666671</v>
      </c>
      <c r="J47" s="51">
        <v>155</v>
      </c>
      <c r="K47" s="51">
        <v>189</v>
      </c>
      <c r="L47" s="51">
        <v>93</v>
      </c>
      <c r="M47" s="51">
        <v>77</v>
      </c>
      <c r="N47" s="51">
        <f>R47/1.04</f>
        <v>89.615384615384613</v>
      </c>
      <c r="O47" s="51"/>
      <c r="P47" s="51"/>
      <c r="Q47" s="51">
        <v>97.8</v>
      </c>
      <c r="R47" s="51">
        <v>93.2</v>
      </c>
      <c r="S47" s="51">
        <v>84.1</v>
      </c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49"/>
      <c r="BK47" s="51"/>
      <c r="BL47" s="51">
        <v>391</v>
      </c>
      <c r="BM47" s="51">
        <v>430</v>
      </c>
      <c r="BN47" s="51">
        <v>453</v>
      </c>
      <c r="BO47" s="51">
        <v>493</v>
      </c>
      <c r="BP47" s="51">
        <v>428</v>
      </c>
      <c r="BQ47" s="51">
        <f>SUM(O47:R47)</f>
        <v>191</v>
      </c>
      <c r="BR47" s="51">
        <f>SUM(S47:V47)</f>
        <v>84.1</v>
      </c>
      <c r="BS47" s="51"/>
      <c r="BT47" s="51"/>
      <c r="BU47" s="51"/>
      <c r="BV47" s="51"/>
      <c r="BW47" s="51"/>
      <c r="BX47" s="51"/>
      <c r="BY47" s="51"/>
      <c r="BZ47" s="51"/>
      <c r="CA47" s="51"/>
      <c r="CB47" s="53"/>
      <c r="CC47" s="53"/>
      <c r="CD47" s="49"/>
      <c r="CE47" s="49"/>
      <c r="CF47" s="49"/>
      <c r="CG47" s="49"/>
    </row>
    <row r="48" spans="2:85" x14ac:dyDescent="0.15">
      <c r="B48" t="s">
        <v>74</v>
      </c>
      <c r="C48" s="51"/>
      <c r="D48" s="51"/>
      <c r="E48" s="51"/>
      <c r="F48" s="51">
        <f>J48*1.06</f>
        <v>54.908000000000001</v>
      </c>
      <c r="G48" s="51"/>
      <c r="H48" s="51"/>
      <c r="I48" s="51">
        <v>45.5</v>
      </c>
      <c r="J48" s="51">
        <v>51.8</v>
      </c>
      <c r="K48" s="51">
        <v>50</v>
      </c>
      <c r="L48" s="51">
        <v>48</v>
      </c>
      <c r="M48" s="51">
        <v>42</v>
      </c>
      <c r="N48" s="51"/>
      <c r="O48" s="51">
        <v>40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49"/>
      <c r="BK48" s="51"/>
      <c r="BL48" s="51">
        <v>98</v>
      </c>
      <c r="BM48" s="51">
        <v>161</v>
      </c>
      <c r="BN48" s="51">
        <v>202</v>
      </c>
      <c r="BO48" s="51">
        <v>215</v>
      </c>
      <c r="BP48" s="51">
        <v>212</v>
      </c>
      <c r="BQ48" s="51">
        <f>BP48*0.8</f>
        <v>169.60000000000002</v>
      </c>
      <c r="BR48" s="51">
        <f>BQ48*0.8</f>
        <v>135.68000000000004</v>
      </c>
      <c r="BS48" s="51">
        <f>BR48*0.8</f>
        <v>108.54400000000004</v>
      </c>
      <c r="BT48" s="51"/>
      <c r="BU48" s="51"/>
      <c r="BV48" s="51"/>
      <c r="BW48" s="51"/>
      <c r="BX48" s="51"/>
      <c r="BY48" s="51"/>
      <c r="BZ48" s="51"/>
      <c r="CA48" s="51"/>
      <c r="CB48" s="53"/>
      <c r="CC48" s="53"/>
      <c r="CD48" s="49"/>
      <c r="CE48" s="49"/>
      <c r="CF48" s="49"/>
      <c r="CG48" s="49"/>
    </row>
    <row r="49" spans="2:92" x14ac:dyDescent="0.15">
      <c r="B49" t="s">
        <v>17</v>
      </c>
      <c r="C49" s="51">
        <v>232.8</v>
      </c>
      <c r="D49" s="51">
        <v>276.60000000000002</v>
      </c>
      <c r="E49" s="51">
        <v>246.1</v>
      </c>
      <c r="F49" s="51">
        <v>257.3</v>
      </c>
      <c r="G49" s="51">
        <v>248.9</v>
      </c>
      <c r="H49" s="51">
        <v>261.60000000000002</v>
      </c>
      <c r="I49" s="51">
        <v>260.3</v>
      </c>
      <c r="J49" s="51">
        <v>265.3</v>
      </c>
      <c r="K49" s="51">
        <v>242</v>
      </c>
      <c r="L49" s="51">
        <v>276</v>
      </c>
      <c r="M49" s="51">
        <v>258</v>
      </c>
      <c r="N49" s="51">
        <v>270.3</v>
      </c>
      <c r="O49" s="51">
        <v>263.8</v>
      </c>
      <c r="P49" s="51">
        <v>278</v>
      </c>
      <c r="Q49" s="51">
        <v>263.2</v>
      </c>
      <c r="R49" s="51">
        <v>285.8</v>
      </c>
      <c r="S49" s="51">
        <v>261.10000000000002</v>
      </c>
      <c r="T49" s="51">
        <v>279.8</v>
      </c>
      <c r="U49" s="51">
        <v>265.7</v>
      </c>
      <c r="V49" s="51">
        <v>269</v>
      </c>
      <c r="W49" s="51">
        <v>256.89999999999998</v>
      </c>
      <c r="X49" s="51">
        <v>251.3</v>
      </c>
      <c r="Y49" s="51">
        <v>259.5</v>
      </c>
      <c r="Z49" s="51">
        <v>262.7</v>
      </c>
      <c r="AA49" s="51">
        <v>241.6</v>
      </c>
      <c r="AB49" s="51">
        <v>259.5</v>
      </c>
      <c r="AC49" s="51">
        <v>256.8</v>
      </c>
      <c r="AD49" s="51">
        <v>266.5</v>
      </c>
      <c r="AE49" s="51">
        <v>266.10000000000002</v>
      </c>
      <c r="AF49" s="51">
        <v>263.5</v>
      </c>
      <c r="AG49" s="51">
        <v>270.10000000000002</v>
      </c>
      <c r="AH49" s="51">
        <v>267.10000000000002</v>
      </c>
      <c r="AI49" s="51">
        <v>256.2</v>
      </c>
      <c r="AJ49" s="51">
        <v>265.89999999999998</v>
      </c>
      <c r="AK49" s="51">
        <v>247</v>
      </c>
      <c r="AL49" s="51">
        <f t="shared" ref="AL49:AM49" si="71">+AK49</f>
        <v>247</v>
      </c>
      <c r="AM49" s="51">
        <f t="shared" si="71"/>
        <v>247</v>
      </c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49"/>
      <c r="BK49" s="51"/>
      <c r="BL49" s="51">
        <v>822</v>
      </c>
      <c r="BM49" s="51">
        <v>922</v>
      </c>
      <c r="BN49" s="51">
        <v>1013</v>
      </c>
      <c r="BO49" s="51">
        <v>1036</v>
      </c>
      <c r="BP49" s="51">
        <f>SUM(K49:N49)</f>
        <v>1046.3</v>
      </c>
      <c r="BQ49" s="51">
        <f>SUM(O49:R49)</f>
        <v>1090.8</v>
      </c>
      <c r="BR49" s="51">
        <f>SUM(S49:V49)</f>
        <v>1075.6000000000001</v>
      </c>
      <c r="BS49" s="51">
        <f>SUM(W49:Z49)</f>
        <v>1030.4000000000001</v>
      </c>
      <c r="BT49" s="51">
        <f>SUM(AA49:AD49)</f>
        <v>1024.4000000000001</v>
      </c>
      <c r="BU49" s="51">
        <f>SUM(AE49:AH49)</f>
        <v>1066.8000000000002</v>
      </c>
      <c r="BV49" s="51">
        <f>SUM(AI49:AL49)</f>
        <v>1016.0999999999999</v>
      </c>
      <c r="BW49" s="51">
        <f>BV49*0.5</f>
        <v>508.04999999999995</v>
      </c>
      <c r="BX49" s="51"/>
      <c r="BY49" s="51"/>
      <c r="BZ49" s="51"/>
      <c r="CA49" s="51"/>
      <c r="CB49" s="51"/>
      <c r="CC49" s="51"/>
      <c r="CD49" s="49"/>
      <c r="CE49" s="49"/>
      <c r="CF49" s="49"/>
      <c r="CG49" s="49"/>
    </row>
    <row r="50" spans="2:92" x14ac:dyDescent="0.15">
      <c r="B50" s="38" t="s">
        <v>239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49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3"/>
      <c r="CC50" s="53"/>
      <c r="CD50" s="49"/>
      <c r="CE50" s="49"/>
      <c r="CF50" s="49"/>
      <c r="CG50" s="49"/>
    </row>
    <row r="51" spans="2:92" s="38" customFormat="1" x14ac:dyDescent="0.15">
      <c r="B51" s="38" t="s">
        <v>278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0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>
        <v>200</v>
      </c>
      <c r="BX51" s="52">
        <v>250</v>
      </c>
      <c r="BY51" s="52">
        <v>300</v>
      </c>
      <c r="BZ51" s="52"/>
      <c r="CA51" s="52"/>
      <c r="CB51" s="52"/>
      <c r="CC51" s="52"/>
      <c r="CD51" s="49"/>
      <c r="CE51" s="49"/>
      <c r="CF51" s="49"/>
      <c r="CG51" s="49"/>
    </row>
    <row r="52" spans="2:92" x14ac:dyDescent="0.15">
      <c r="B52" t="s">
        <v>80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>
        <v>155.19999999999999</v>
      </c>
      <c r="X52" s="51">
        <v>179.5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49"/>
      <c r="BK52" s="51"/>
      <c r="BL52" s="51">
        <v>59</v>
      </c>
      <c r="BM52" s="51">
        <v>58</v>
      </c>
      <c r="BN52" s="51">
        <v>57</v>
      </c>
      <c r="BO52" s="51">
        <v>69</v>
      </c>
      <c r="BP52" s="51">
        <v>65</v>
      </c>
      <c r="BQ52" s="51">
        <v>65</v>
      </c>
      <c r="BR52" s="51">
        <v>65</v>
      </c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49"/>
      <c r="CE52" s="49"/>
      <c r="CF52" s="49"/>
      <c r="CG52" s="49"/>
    </row>
    <row r="53" spans="2:92" x14ac:dyDescent="0.15">
      <c r="B53" t="s">
        <v>76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49"/>
      <c r="BK53" s="51"/>
      <c r="BL53" s="51">
        <v>35</v>
      </c>
      <c r="BM53" s="51">
        <v>32</v>
      </c>
      <c r="BN53" s="51">
        <v>19</v>
      </c>
      <c r="BO53" s="51">
        <v>12</v>
      </c>
      <c r="BP53" s="51">
        <v>14</v>
      </c>
      <c r="BQ53" s="51">
        <v>10</v>
      </c>
      <c r="BR53" s="51">
        <v>10</v>
      </c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49"/>
      <c r="CE53" s="49"/>
      <c r="CF53" s="49"/>
      <c r="CG53" s="49"/>
    </row>
    <row r="54" spans="2:92" x14ac:dyDescent="0.15">
      <c r="B54" s="38" t="s">
        <v>250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>
        <f>5210.5-SUM(V6:V53)</f>
        <v>481.80000000000018</v>
      </c>
      <c r="W54" s="51">
        <f>4891.8-SUM(W6:W53)</f>
        <v>186.30000000000018</v>
      </c>
      <c r="X54" s="51">
        <f>5113.5-SUM(X6:X53)</f>
        <v>71.599999999999454</v>
      </c>
      <c r="Y54" s="51">
        <f>5562-SUM(Y6:Y50)</f>
        <v>424.29999999999927</v>
      </c>
      <c r="Z54" s="51">
        <f>5934-SUM(Z6:Z50)</f>
        <v>449</v>
      </c>
      <c r="AA54" s="51">
        <f>5485.5-SUM(AA6:AA50)</f>
        <v>390.59999999999945</v>
      </c>
      <c r="AB54" s="51">
        <f>5748.7-SUM(AB6:AB50)</f>
        <v>410.40000000000055</v>
      </c>
      <c r="AC54" s="51">
        <f>5654.8-SUM(AC6:AC50)</f>
        <v>381.39999999999964</v>
      </c>
      <c r="AD54" s="51"/>
      <c r="AE54" s="51">
        <f>5839.2-SUM(AE6:AE50)</f>
        <v>410.09999999999854</v>
      </c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2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49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CB54" s="47"/>
      <c r="CC54" s="47"/>
      <c r="CD54" s="49"/>
      <c r="CE54" s="49"/>
      <c r="CF54" s="49"/>
      <c r="CG54" s="49"/>
    </row>
    <row r="55" spans="2:92" s="55" customFormat="1" x14ac:dyDescent="0.15">
      <c r="B55" s="55" t="s">
        <v>359</v>
      </c>
      <c r="C55" s="56"/>
      <c r="D55" s="56"/>
      <c r="E55" s="56"/>
      <c r="F55" s="56">
        <f t="shared" ref="F55:AK55" si="72">SUM(F6:F54)</f>
        <v>3152.5080000000003</v>
      </c>
      <c r="G55" s="56">
        <f t="shared" si="72"/>
        <v>2999.8366336633662</v>
      </c>
      <c r="H55" s="56">
        <f t="shared" si="72"/>
        <v>3165.6</v>
      </c>
      <c r="I55" s="56">
        <f t="shared" si="72"/>
        <v>3164.1333333333332</v>
      </c>
      <c r="J55" s="56">
        <f t="shared" si="72"/>
        <v>3455.3000000000006</v>
      </c>
      <c r="K55" s="56">
        <f t="shared" si="72"/>
        <v>3227.7000000000003</v>
      </c>
      <c r="L55" s="56">
        <f t="shared" si="72"/>
        <v>3423</v>
      </c>
      <c r="M55" s="56">
        <f t="shared" si="72"/>
        <v>3699.7</v>
      </c>
      <c r="N55" s="56">
        <f t="shared" si="72"/>
        <v>5680.6</v>
      </c>
      <c r="O55" s="56">
        <f t="shared" si="72"/>
        <v>4236</v>
      </c>
      <c r="P55" s="56">
        <f t="shared" si="72"/>
        <v>4193.8</v>
      </c>
      <c r="Q55" s="56">
        <f t="shared" si="72"/>
        <v>5899.2999999999993</v>
      </c>
      <c r="R55" s="56">
        <f t="shared" si="72"/>
        <v>6665.7000000000007</v>
      </c>
      <c r="S55" s="56">
        <f t="shared" si="72"/>
        <v>6241.8000000000011</v>
      </c>
      <c r="T55" s="56">
        <f t="shared" si="72"/>
        <v>6703.4999999999991</v>
      </c>
      <c r="U55" s="56">
        <f t="shared" si="72"/>
        <v>6796.9000000000005</v>
      </c>
      <c r="V55" s="56">
        <f t="shared" si="72"/>
        <v>5210.5</v>
      </c>
      <c r="W55" s="56">
        <f t="shared" si="72"/>
        <v>4891.8</v>
      </c>
      <c r="X55" s="56">
        <f t="shared" si="72"/>
        <v>5113.5</v>
      </c>
      <c r="Y55" s="56">
        <f t="shared" si="72"/>
        <v>5562</v>
      </c>
      <c r="Z55" s="56">
        <f t="shared" si="72"/>
        <v>5934</v>
      </c>
      <c r="AA55" s="56">
        <f t="shared" si="72"/>
        <v>5485.5</v>
      </c>
      <c r="AB55" s="56">
        <f t="shared" si="72"/>
        <v>5748.7</v>
      </c>
      <c r="AC55" s="56">
        <f t="shared" si="72"/>
        <v>5654.8</v>
      </c>
      <c r="AD55" s="56">
        <f t="shared" si="72"/>
        <v>6187.2000000000007</v>
      </c>
      <c r="AE55" s="56">
        <f t="shared" si="72"/>
        <v>5839.2</v>
      </c>
      <c r="AF55" s="56">
        <f t="shared" si="72"/>
        <v>6252.7999999999984</v>
      </c>
      <c r="AG55" s="56">
        <f t="shared" si="72"/>
        <v>6148.1</v>
      </c>
      <c r="AH55" s="56">
        <f t="shared" si="72"/>
        <v>6047.3</v>
      </c>
      <c r="AI55" s="56">
        <f t="shared" si="72"/>
        <v>5602.4000000000005</v>
      </c>
      <c r="AJ55" s="56">
        <f t="shared" si="72"/>
        <v>5600.4999999999991</v>
      </c>
      <c r="AK55" s="56">
        <f t="shared" si="72"/>
        <v>5442.5</v>
      </c>
      <c r="AL55" s="56">
        <f t="shared" ref="AL55:AQ55" si="73">SUM(AL6:AL54)</f>
        <v>5371.2</v>
      </c>
      <c r="AM55" s="56">
        <f t="shared" si="73"/>
        <v>5526.2</v>
      </c>
      <c r="AN55" s="56">
        <f t="shared" si="73"/>
        <v>5092.1000000000004</v>
      </c>
      <c r="AO55" s="56">
        <f t="shared" si="73"/>
        <v>5636.7000000000007</v>
      </c>
      <c r="AP55" s="56">
        <f t="shared" si="73"/>
        <v>5476.8</v>
      </c>
      <c r="AQ55" s="56">
        <f t="shared" si="73"/>
        <v>6114.2999999999993</v>
      </c>
      <c r="AR55" s="56">
        <f>SUM(AR3:AR54)</f>
        <v>5859.7999999999975</v>
      </c>
      <c r="AS55" s="56">
        <f>SUM(AS3:AS54)</f>
        <v>5499.3999999999987</v>
      </c>
      <c r="AT55" s="56">
        <f>SUM(AT3:AT44)</f>
        <v>5740.5999999999985</v>
      </c>
      <c r="AU55" s="56">
        <f>SUM(AU3:AU46)</f>
        <v>7440.0999999999995</v>
      </c>
      <c r="AV55" s="56">
        <f>SUM(AV3:AV44)</f>
        <v>6805.6</v>
      </c>
      <c r="AW55" s="56">
        <f>SUM(AW3:AW46)</f>
        <v>6739.9999999999973</v>
      </c>
      <c r="AX55" s="56">
        <f>SUM(AX3:AX44)</f>
        <v>6772.9999999999982</v>
      </c>
      <c r="AY55" s="56">
        <f>SUM(AY3:AY46)</f>
        <v>7999.9</v>
      </c>
      <c r="AZ55" s="56">
        <f>SUM(AZ3:AZ29)</f>
        <v>7810.0999999999995</v>
      </c>
      <c r="BA55" s="56">
        <f>SUM(BA3:BA34)</f>
        <v>6487.9000000000015</v>
      </c>
      <c r="BB55" s="56">
        <f t="shared" ref="BB55:BG55" si="74">SUM(BB3:BB29)</f>
        <v>6802.8885000000028</v>
      </c>
      <c r="BC55" s="56">
        <f t="shared" si="74"/>
        <v>7408.7193125000013</v>
      </c>
      <c r="BD55" s="56">
        <f t="shared" si="74"/>
        <v>6919.7543390625024</v>
      </c>
      <c r="BE55" s="56">
        <f t="shared" si="74"/>
        <v>7224.7283200390639</v>
      </c>
      <c r="BF55" s="56">
        <f t="shared" si="74"/>
        <v>7522.9893152509758</v>
      </c>
      <c r="BG55" s="56">
        <f t="shared" si="74"/>
        <v>8251.6109017254166</v>
      </c>
      <c r="BH55" s="56"/>
      <c r="BI55" s="56"/>
      <c r="BJ55" s="57"/>
      <c r="BK55" s="56">
        <v>11629</v>
      </c>
      <c r="BL55" s="56">
        <f t="shared" ref="BL55:BY55" si="75">SUM(BL6:BL54)</f>
        <v>11077</v>
      </c>
      <c r="BM55" s="56">
        <f t="shared" si="75"/>
        <v>12585</v>
      </c>
      <c r="BN55" s="56">
        <f t="shared" si="75"/>
        <v>13859</v>
      </c>
      <c r="BO55" s="56">
        <f t="shared" si="75"/>
        <v>14650</v>
      </c>
      <c r="BP55" s="56">
        <f t="shared" si="75"/>
        <v>15783.499999999998</v>
      </c>
      <c r="BQ55" s="56">
        <f t="shared" si="75"/>
        <v>18492.3</v>
      </c>
      <c r="BR55" s="56">
        <f t="shared" si="75"/>
        <v>19604.942499999997</v>
      </c>
      <c r="BS55" s="56">
        <f t="shared" si="75"/>
        <v>20974.425124999998</v>
      </c>
      <c r="BT55" s="56">
        <f t="shared" si="75"/>
        <v>21893.8</v>
      </c>
      <c r="BU55" s="56">
        <f t="shared" si="75"/>
        <v>23877.3</v>
      </c>
      <c r="BV55" s="56">
        <f t="shared" si="75"/>
        <v>22016.6</v>
      </c>
      <c r="BW55" s="56">
        <f t="shared" si="75"/>
        <v>21778.462</v>
      </c>
      <c r="BX55" s="56">
        <f t="shared" si="75"/>
        <v>18061.697930000002</v>
      </c>
      <c r="BY55" s="56">
        <f t="shared" si="75"/>
        <v>6326.4320500000013</v>
      </c>
      <c r="BZ55" s="56">
        <f t="shared" ref="BZ55:CM55" si="76">SUM(BZ3:BZ54)</f>
        <v>0</v>
      </c>
      <c r="CA55" s="56">
        <f t="shared" si="76"/>
        <v>19974.100000000002</v>
      </c>
      <c r="CB55" s="56">
        <f t="shared" si="76"/>
        <v>21492.899999999998</v>
      </c>
      <c r="CC55" s="56">
        <f t="shared" si="76"/>
        <v>22319.4</v>
      </c>
      <c r="CD55" s="56">
        <f t="shared" si="76"/>
        <v>24539.899999999998</v>
      </c>
      <c r="CE55" s="56">
        <f t="shared" si="76"/>
        <v>28318.499999999996</v>
      </c>
      <c r="CF55" s="56">
        <f t="shared" si="76"/>
        <v>28509.607812499999</v>
      </c>
      <c r="CG55" s="56">
        <f t="shared" si="76"/>
        <v>29919.082876077962</v>
      </c>
      <c r="CH55" s="56">
        <f t="shared" si="76"/>
        <v>32696.207253970158</v>
      </c>
      <c r="CI55" s="56">
        <f t="shared" si="76"/>
        <v>34463.07542689814</v>
      </c>
      <c r="CJ55" s="56">
        <f t="shared" si="76"/>
        <v>36635.569495903073</v>
      </c>
      <c r="CK55" s="56">
        <f t="shared" si="76"/>
        <v>37704.787906973237</v>
      </c>
      <c r="CL55" s="56">
        <f t="shared" si="76"/>
        <v>40998.2291984119</v>
      </c>
      <c r="CM55" s="56">
        <f t="shared" si="76"/>
        <v>43325.307469726686</v>
      </c>
      <c r="CN55" s="56">
        <f>SUM(CN3:CN54)</f>
        <v>35169.366486301609</v>
      </c>
    </row>
    <row r="56" spans="2:92" x14ac:dyDescent="0.15">
      <c r="B56" t="s">
        <v>58</v>
      </c>
      <c r="C56" s="51"/>
      <c r="D56" s="51"/>
      <c r="E56" s="51"/>
      <c r="F56" s="51">
        <v>865.7</v>
      </c>
      <c r="G56" s="51">
        <v>859</v>
      </c>
      <c r="H56" s="51">
        <v>871.3</v>
      </c>
      <c r="I56" s="51">
        <v>845.7</v>
      </c>
      <c r="J56" s="51">
        <v>898.2</v>
      </c>
      <c r="K56" s="51">
        <v>806.5</v>
      </c>
      <c r="L56" s="47">
        <v>861</v>
      </c>
      <c r="M56" s="51">
        <v>906.2</v>
      </c>
      <c r="N56" s="51">
        <v>1066.7</v>
      </c>
      <c r="O56" s="51">
        <v>922.5</v>
      </c>
      <c r="P56" s="51">
        <v>998.9</v>
      </c>
      <c r="Q56" s="51">
        <v>1054.5999999999999</v>
      </c>
      <c r="R56" s="51">
        <v>1272.8</v>
      </c>
      <c r="S56" s="51">
        <v>1111.3</v>
      </c>
      <c r="T56" s="51">
        <v>1200.9000000000001</v>
      </c>
      <c r="U56" s="51">
        <v>1155.2</v>
      </c>
      <c r="V56" s="51">
        <v>899.6</v>
      </c>
      <c r="W56" s="51">
        <v>816.4</v>
      </c>
      <c r="X56" s="51">
        <v>947.4</v>
      </c>
      <c r="Y56" s="51">
        <v>1051.9000000000001</v>
      </c>
      <c r="Z56" s="51">
        <v>1431.3</v>
      </c>
      <c r="AA56" s="51">
        <v>1122.5</v>
      </c>
      <c r="AB56" s="51">
        <v>1023.9</v>
      </c>
      <c r="AC56" s="51">
        <v>987.6</v>
      </c>
      <c r="AD56" s="51">
        <v>1232.2</v>
      </c>
      <c r="AE56" s="51">
        <v>1180.0999999999999</v>
      </c>
      <c r="AF56" s="51">
        <v>1228</v>
      </c>
      <c r="AG56" s="51">
        <v>1338.1</v>
      </c>
      <c r="AH56" s="51">
        <v>1321.7</v>
      </c>
      <c r="AI56" s="51">
        <v>1197.9000000000001</v>
      </c>
      <c r="AJ56" s="51">
        <v>1146.7</v>
      </c>
      <c r="AK56" s="51">
        <v>1203.5999999999999</v>
      </c>
      <c r="AL56" s="51">
        <f>+AH56</f>
        <v>1321.7</v>
      </c>
      <c r="AM56" s="51">
        <f>+AI56</f>
        <v>1197.9000000000001</v>
      </c>
      <c r="AN56" s="51">
        <v>1010.5</v>
      </c>
      <c r="AO56" s="51">
        <v>1073.3</v>
      </c>
      <c r="AP56" s="51">
        <v>1118.4000000000001</v>
      </c>
      <c r="AQ56" s="51">
        <v>1229.4000000000001</v>
      </c>
      <c r="AR56" s="51">
        <v>1156.5</v>
      </c>
      <c r="AS56" s="51">
        <v>1119.2</v>
      </c>
      <c r="AT56" s="51">
        <v>1199.9000000000001</v>
      </c>
      <c r="AU56" s="51">
        <v>1719.8</v>
      </c>
      <c r="AV56" s="51">
        <v>1671.4</v>
      </c>
      <c r="AW56" s="51">
        <v>1398</v>
      </c>
      <c r="AX56" s="51">
        <v>1421.8</v>
      </c>
      <c r="AY56" s="51">
        <v>2050.1999999999998</v>
      </c>
      <c r="AZ56" s="51">
        <v>1867.5</v>
      </c>
      <c r="BA56" s="51">
        <v>1309.2</v>
      </c>
      <c r="BB56" s="51">
        <f t="shared" ref="BB56:BG56" si="77">+BB55-BB57</f>
        <v>1428.6065850000005</v>
      </c>
      <c r="BC56" s="51">
        <f t="shared" si="77"/>
        <v>1555.8310556249999</v>
      </c>
      <c r="BD56" s="51">
        <f t="shared" si="77"/>
        <v>1453.1484112031249</v>
      </c>
      <c r="BE56" s="51">
        <f t="shared" si="77"/>
        <v>1517.1929472082029</v>
      </c>
      <c r="BF56" s="51">
        <f t="shared" si="77"/>
        <v>1579.8277562027042</v>
      </c>
      <c r="BG56" s="51">
        <f t="shared" si="77"/>
        <v>1732.8382893623375</v>
      </c>
      <c r="BH56" s="51"/>
      <c r="BI56" s="51"/>
      <c r="BK56" s="51">
        <v>2160</v>
      </c>
      <c r="BL56" s="51">
        <v>2177</v>
      </c>
      <c r="BM56" s="51">
        <v>2675</v>
      </c>
      <c r="BN56" s="51">
        <v>3224</v>
      </c>
      <c r="BO56" s="51">
        <v>3474</v>
      </c>
      <c r="BP56" s="51">
        <v>3501</v>
      </c>
      <c r="BQ56" s="51">
        <f>BQ55-BQ57</f>
        <v>4068.3059999999987</v>
      </c>
      <c r="BR56" s="51">
        <f>BR55-BR57</f>
        <v>-980.75749999999971</v>
      </c>
      <c r="BS56" s="51">
        <f>BS55-BS57</f>
        <v>3720.1251249999987</v>
      </c>
      <c r="BT56" s="51">
        <f>SUM(AA56:AD56)</f>
        <v>4366.2</v>
      </c>
      <c r="BU56" s="51">
        <f>SUM(AE56:AH56)</f>
        <v>5067.8999999999996</v>
      </c>
      <c r="BV56" s="51">
        <f>SUM(AI56:AL56)</f>
        <v>4869.9000000000005</v>
      </c>
      <c r="BW56" s="51">
        <f t="shared" ref="BW56:BX56" si="78">BW55-BW57</f>
        <v>21778.462</v>
      </c>
      <c r="BX56" s="51">
        <f t="shared" si="78"/>
        <v>18061.697930000002</v>
      </c>
      <c r="BY56" s="51"/>
      <c r="BZ56" s="51"/>
      <c r="CA56" s="51">
        <v>4447.7</v>
      </c>
      <c r="CB56" s="51">
        <v>4681.7</v>
      </c>
      <c r="CC56" s="51">
        <v>4721.2</v>
      </c>
      <c r="CD56" s="49">
        <f t="shared" ref="CD56" si="79">SUM(AR56:AU56)</f>
        <v>5195.3999999999996</v>
      </c>
      <c r="CE56" s="49">
        <f t="shared" ref="CE56" si="80">SUM(AV56:AY56)</f>
        <v>6541.4</v>
      </c>
      <c r="CF56" s="49">
        <f>SUM(AZ56:BC56)</f>
        <v>6161.1376406250001</v>
      </c>
      <c r="CG56" s="49">
        <f>SUM(BD56:BG56)</f>
        <v>6283.0074039763695</v>
      </c>
      <c r="CH56" s="49">
        <f>CH55-CH57</f>
        <v>6866.2035233337338</v>
      </c>
      <c r="CI56" s="49">
        <f t="shared" ref="CI56:CN56" si="81">CI55-CI57</f>
        <v>7237.2458396486072</v>
      </c>
      <c r="CJ56" s="49">
        <f t="shared" si="81"/>
        <v>7693.4695941396458</v>
      </c>
      <c r="CK56" s="49">
        <f t="shared" si="81"/>
        <v>7918.0054604643774</v>
      </c>
      <c r="CL56" s="49">
        <f t="shared" si="81"/>
        <v>8609.6281316664972</v>
      </c>
      <c r="CM56" s="49">
        <f t="shared" si="81"/>
        <v>9098.3145686425996</v>
      </c>
      <c r="CN56" s="49">
        <f t="shared" si="81"/>
        <v>7385.5669621233355</v>
      </c>
    </row>
    <row r="57" spans="2:92" x14ac:dyDescent="0.15">
      <c r="B57" t="s">
        <v>123</v>
      </c>
      <c r="C57" s="51"/>
      <c r="D57" s="51"/>
      <c r="E57" s="51"/>
      <c r="F57" s="51">
        <f t="shared" ref="F57:N57" si="82">F55-F56</f>
        <v>2286.808</v>
      </c>
      <c r="G57" s="51">
        <f t="shared" si="82"/>
        <v>2140.8366336633662</v>
      </c>
      <c r="H57" s="51">
        <f t="shared" si="82"/>
        <v>2294.3000000000002</v>
      </c>
      <c r="I57" s="51">
        <f t="shared" si="82"/>
        <v>2318.4333333333334</v>
      </c>
      <c r="J57" s="51">
        <f t="shared" si="82"/>
        <v>2557.1000000000004</v>
      </c>
      <c r="K57" s="51">
        <f t="shared" si="82"/>
        <v>2421.2000000000003</v>
      </c>
      <c r="L57" s="51">
        <f t="shared" si="82"/>
        <v>2562</v>
      </c>
      <c r="M57" s="51">
        <f t="shared" si="82"/>
        <v>2793.5</v>
      </c>
      <c r="N57" s="51">
        <f t="shared" si="82"/>
        <v>4613.9000000000005</v>
      </c>
      <c r="O57" s="51">
        <f t="shared" ref="O57:W57" si="83">O55-O56</f>
        <v>3313.5</v>
      </c>
      <c r="P57" s="51">
        <f t="shared" si="83"/>
        <v>3194.9</v>
      </c>
      <c r="Q57" s="51">
        <f t="shared" si="83"/>
        <v>4844.6999999999989</v>
      </c>
      <c r="R57" s="51">
        <f t="shared" si="83"/>
        <v>5392.9000000000005</v>
      </c>
      <c r="S57" s="51">
        <f t="shared" si="83"/>
        <v>5130.5000000000009</v>
      </c>
      <c r="T57" s="51">
        <f t="shared" si="83"/>
        <v>5502.5999999999985</v>
      </c>
      <c r="U57" s="51">
        <f t="shared" si="83"/>
        <v>5641.7000000000007</v>
      </c>
      <c r="V57" s="51">
        <f t="shared" si="83"/>
        <v>4310.8999999999996</v>
      </c>
      <c r="W57" s="51">
        <f t="shared" si="83"/>
        <v>4075.4</v>
      </c>
      <c r="X57" s="51">
        <f t="shared" ref="X57:AC57" si="84">X55-X56</f>
        <v>4166.1000000000004</v>
      </c>
      <c r="Y57" s="51">
        <f t="shared" si="84"/>
        <v>4510.1000000000004</v>
      </c>
      <c r="Z57" s="51">
        <f t="shared" si="84"/>
        <v>4502.7</v>
      </c>
      <c r="AA57" s="51">
        <f t="shared" si="84"/>
        <v>4363</v>
      </c>
      <c r="AB57" s="51">
        <f t="shared" si="84"/>
        <v>4724.8</v>
      </c>
      <c r="AC57" s="51">
        <f t="shared" si="84"/>
        <v>4667.2</v>
      </c>
      <c r="AD57" s="51">
        <f>+AD55-AD56</f>
        <v>4955.0000000000009</v>
      </c>
      <c r="AE57" s="51">
        <f>+AE55-AE56</f>
        <v>4659.1000000000004</v>
      </c>
      <c r="AF57" s="51">
        <f>AF55-AF56</f>
        <v>5024.7999999999984</v>
      </c>
      <c r="AG57" s="51">
        <f>AG55-AG56</f>
        <v>4810</v>
      </c>
      <c r="AH57" s="51">
        <f>+AH55-AH56</f>
        <v>4725.6000000000004</v>
      </c>
      <c r="AI57" s="51">
        <f>+AI55-AI56</f>
        <v>4404.5</v>
      </c>
      <c r="AJ57" s="51">
        <f>+AJ55-AJ56</f>
        <v>4453.7999999999993</v>
      </c>
      <c r="AK57" s="51">
        <f>+AK55-AK56</f>
        <v>4238.8999999999996</v>
      </c>
      <c r="AL57" s="51">
        <f>+AL55-AL56</f>
        <v>4049.5</v>
      </c>
      <c r="AM57" s="51">
        <f t="shared" ref="AM57" si="85">+AM55-AM56</f>
        <v>4328.2999999999993</v>
      </c>
      <c r="AN57" s="51">
        <f t="shared" ref="AN57:AZ57" si="86">AN55-AN56</f>
        <v>4081.6000000000004</v>
      </c>
      <c r="AO57" s="51">
        <f t="shared" si="86"/>
        <v>4563.4000000000005</v>
      </c>
      <c r="AP57" s="51">
        <f t="shared" si="86"/>
        <v>4358.3999999999996</v>
      </c>
      <c r="AQ57" s="51">
        <f t="shared" si="86"/>
        <v>4884.8999999999996</v>
      </c>
      <c r="AR57" s="51">
        <f t="shared" si="86"/>
        <v>4703.2999999999975</v>
      </c>
      <c r="AS57" s="51">
        <f t="shared" si="86"/>
        <v>4380.1999999999989</v>
      </c>
      <c r="AT57" s="51">
        <f t="shared" si="86"/>
        <v>4540.6999999999989</v>
      </c>
      <c r="AU57" s="51">
        <f t="shared" si="86"/>
        <v>5720.2999999999993</v>
      </c>
      <c r="AV57" s="51">
        <f t="shared" si="86"/>
        <v>5134.2000000000007</v>
      </c>
      <c r="AW57" s="51">
        <f t="shared" si="86"/>
        <v>5341.9999999999973</v>
      </c>
      <c r="AX57" s="51">
        <f t="shared" si="86"/>
        <v>5351.199999999998</v>
      </c>
      <c r="AY57" s="51">
        <f>AY55-AY56</f>
        <v>5949.7</v>
      </c>
      <c r="AZ57" s="51">
        <f t="shared" si="86"/>
        <v>5942.5999999999995</v>
      </c>
      <c r="BA57" s="51">
        <f>BA55-BA56</f>
        <v>5178.7000000000016</v>
      </c>
      <c r="BB57" s="51">
        <f t="shared" ref="BB57:BG57" si="87">+BB55*0.79</f>
        <v>5374.2819150000023</v>
      </c>
      <c r="BC57" s="51">
        <f t="shared" si="87"/>
        <v>5852.8882568750014</v>
      </c>
      <c r="BD57" s="51">
        <f t="shared" si="87"/>
        <v>5466.6059278593775</v>
      </c>
      <c r="BE57" s="51">
        <f t="shared" si="87"/>
        <v>5707.535372830861</v>
      </c>
      <c r="BF57" s="51">
        <f t="shared" si="87"/>
        <v>5943.1615590482716</v>
      </c>
      <c r="BG57" s="51">
        <f t="shared" si="87"/>
        <v>6518.7726123630791</v>
      </c>
      <c r="BH57" s="51"/>
      <c r="BI57" s="51"/>
      <c r="BK57" s="51">
        <f t="shared" ref="BK57:BP57" si="88">BK55-BK56</f>
        <v>9469</v>
      </c>
      <c r="BL57" s="51">
        <f t="shared" si="88"/>
        <v>8900</v>
      </c>
      <c r="BM57" s="51">
        <f t="shared" si="88"/>
        <v>9910</v>
      </c>
      <c r="BN57" s="51">
        <f t="shared" si="88"/>
        <v>10635</v>
      </c>
      <c r="BO57" s="51">
        <f t="shared" si="88"/>
        <v>11176</v>
      </c>
      <c r="BP57" s="51">
        <f t="shared" si="88"/>
        <v>12282.499999999998</v>
      </c>
      <c r="BQ57" s="51">
        <f>BQ55*BQ76</f>
        <v>14423.994000000001</v>
      </c>
      <c r="BR57" s="51">
        <f>SUM(S57:V57)</f>
        <v>20585.699999999997</v>
      </c>
      <c r="BS57" s="51">
        <f>SUM(W57:Z57)</f>
        <v>17254.3</v>
      </c>
      <c r="BT57" s="51">
        <f>BT55-BT56</f>
        <v>17527.599999999999</v>
      </c>
      <c r="BU57" s="51">
        <f>BU55-BU56</f>
        <v>18809.400000000001</v>
      </c>
      <c r="BV57" s="51">
        <f>BV55-BV56</f>
        <v>17146.699999999997</v>
      </c>
      <c r="BW57" s="51">
        <f t="shared" ref="BW57:BX57" si="89">BW55*BW76</f>
        <v>0</v>
      </c>
      <c r="BX57" s="51">
        <f t="shared" si="89"/>
        <v>0</v>
      </c>
      <c r="BY57" s="51"/>
      <c r="BZ57" s="51"/>
      <c r="CA57" s="51">
        <f t="shared" ref="CA57:CB57" si="90">+CA55-CA56</f>
        <v>15526.400000000001</v>
      </c>
      <c r="CB57" s="51">
        <f t="shared" si="90"/>
        <v>16811.199999999997</v>
      </c>
      <c r="CC57" s="51">
        <f>+CC55-CC56</f>
        <v>17598.2</v>
      </c>
      <c r="CD57" s="51">
        <f>+CD55-CD56</f>
        <v>19344.5</v>
      </c>
      <c r="CE57" s="51">
        <f t="shared" ref="CE57" si="91">+CE55-CE56</f>
        <v>21777.1</v>
      </c>
      <c r="CF57" s="51">
        <f>+CF55-CF56</f>
        <v>22348.470171875</v>
      </c>
      <c r="CG57" s="51">
        <f>+CG55-CG56</f>
        <v>23636.075472101591</v>
      </c>
      <c r="CH57" s="51">
        <f>CH55*0.79</f>
        <v>25830.003730636425</v>
      </c>
      <c r="CI57" s="51">
        <f t="shared" ref="CI57:CN57" si="92">CI55*0.79</f>
        <v>27225.829587249533</v>
      </c>
      <c r="CJ57" s="51">
        <f t="shared" si="92"/>
        <v>28942.099901763428</v>
      </c>
      <c r="CK57" s="51">
        <f t="shared" si="92"/>
        <v>29786.78244650886</v>
      </c>
      <c r="CL57" s="51">
        <f t="shared" si="92"/>
        <v>32388.601066745403</v>
      </c>
      <c r="CM57" s="51">
        <f t="shared" si="92"/>
        <v>34226.992901084086</v>
      </c>
      <c r="CN57" s="51">
        <f t="shared" si="92"/>
        <v>27783.799524178274</v>
      </c>
    </row>
    <row r="58" spans="2:92" x14ac:dyDescent="0.15">
      <c r="B58" t="s">
        <v>59</v>
      </c>
      <c r="C58" s="51"/>
      <c r="D58" s="51"/>
      <c r="E58" s="51"/>
      <c r="F58" s="51">
        <v>1098</v>
      </c>
      <c r="G58" s="51">
        <v>1090</v>
      </c>
      <c r="H58" s="51">
        <v>1146.0999999999999</v>
      </c>
      <c r="I58" s="51">
        <v>1070.9000000000001</v>
      </c>
      <c r="J58" s="51">
        <v>1190</v>
      </c>
      <c r="K58" s="51">
        <v>1143</v>
      </c>
      <c r="L58" s="51">
        <v>1238</v>
      </c>
      <c r="M58" s="51">
        <v>1302.3</v>
      </c>
      <c r="N58" s="51">
        <v>1422.1</v>
      </c>
      <c r="O58" s="51">
        <v>1336.8</v>
      </c>
      <c r="P58" s="51">
        <v>1524.7</v>
      </c>
      <c r="Q58" s="51">
        <v>1477.8</v>
      </c>
      <c r="R58" s="51">
        <v>1755.8</v>
      </c>
      <c r="S58" s="51">
        <v>1550.5</v>
      </c>
      <c r="T58" s="51">
        <v>1700.1</v>
      </c>
      <c r="U58" s="51">
        <v>1649.2</v>
      </c>
      <c r="V58" s="51">
        <v>1718.6</v>
      </c>
      <c r="W58" s="51">
        <v>1529.2</v>
      </c>
      <c r="X58" s="51">
        <v>1708.2</v>
      </c>
      <c r="Y58" s="51">
        <v>1701.8</v>
      </c>
      <c r="Z58" s="51">
        <v>1953.3</v>
      </c>
      <c r="AA58" s="51">
        <v>1614.4</v>
      </c>
      <c r="AB58" s="51">
        <v>1755.4</v>
      </c>
      <c r="AC58" s="51">
        <v>1694.9</v>
      </c>
      <c r="AD58" s="51">
        <v>1988.7</v>
      </c>
      <c r="AE58" s="51">
        <v>1785.7</v>
      </c>
      <c r="AF58" s="51">
        <v>2043</v>
      </c>
      <c r="AG58" s="51">
        <v>1917.8</v>
      </c>
      <c r="AH58" s="51">
        <v>2133.4</v>
      </c>
      <c r="AI58" s="51">
        <v>1847.5</v>
      </c>
      <c r="AJ58" s="51">
        <v>1931.1</v>
      </c>
      <c r="AK58" s="51">
        <v>1757.4</v>
      </c>
      <c r="AL58" s="51">
        <f>+AH58-200</f>
        <v>1933.4</v>
      </c>
      <c r="AM58" s="51">
        <f>+AI58</f>
        <v>1847.5</v>
      </c>
      <c r="AN58" s="51">
        <v>1517.1</v>
      </c>
      <c r="AO58" s="51">
        <v>1586.3</v>
      </c>
      <c r="AP58" s="51">
        <v>1412.3</v>
      </c>
      <c r="AQ58" s="51">
        <v>1698.1</v>
      </c>
      <c r="AR58" s="51">
        <v>1549.6</v>
      </c>
      <c r="AS58" s="51">
        <v>1448.6</v>
      </c>
      <c r="AT58" s="51">
        <v>1569.1</v>
      </c>
      <c r="AU58" s="51">
        <v>1553.9</v>
      </c>
      <c r="AV58" s="51">
        <v>1576</v>
      </c>
      <c r="AW58" s="51">
        <v>1685.7</v>
      </c>
      <c r="AX58" s="51">
        <v>1577.9</v>
      </c>
      <c r="AY58" s="51">
        <v>1592</v>
      </c>
      <c r="AZ58" s="51">
        <v>1557.9</v>
      </c>
      <c r="BA58" s="51">
        <v>1781.9</v>
      </c>
      <c r="BB58" s="51">
        <f t="shared" ref="BB58:BB59" si="93">+AX58</f>
        <v>1577.9</v>
      </c>
      <c r="BC58" s="51">
        <f t="shared" ref="BC58:BC59" si="94">+AY58</f>
        <v>1592</v>
      </c>
      <c r="BD58" s="51">
        <f t="shared" ref="BD58:BD59" si="95">+AZ58</f>
        <v>1557.9</v>
      </c>
      <c r="BE58" s="51">
        <f t="shared" ref="BE58:BE59" si="96">+BA58</f>
        <v>1781.9</v>
      </c>
      <c r="BF58" s="51">
        <f t="shared" ref="BF58:BF59" si="97">+BB58</f>
        <v>1577.9</v>
      </c>
      <c r="BG58" s="51">
        <f t="shared" ref="BG58:BG59" si="98">+BC58</f>
        <v>1592</v>
      </c>
      <c r="BH58" s="51"/>
      <c r="BI58" s="51"/>
      <c r="BK58" s="51">
        <v>3417</v>
      </c>
      <c r="BL58" s="51">
        <v>3424</v>
      </c>
      <c r="BM58" s="51">
        <v>4055</v>
      </c>
      <c r="BN58" s="51">
        <v>4284</v>
      </c>
      <c r="BO58" s="51">
        <v>4497</v>
      </c>
      <c r="BP58" s="51">
        <v>4752</v>
      </c>
      <c r="BQ58" s="51">
        <f>BP58*1.03</f>
        <v>4894.5600000000004</v>
      </c>
      <c r="BR58" s="51">
        <f>SUM(S58:V58)</f>
        <v>6618.4</v>
      </c>
      <c r="BS58" s="51">
        <f>SUM(W58:Z58)</f>
        <v>6892.5</v>
      </c>
      <c r="BT58" s="51">
        <f>SUM(AA58:AD58)</f>
        <v>7053.4000000000005</v>
      </c>
      <c r="BU58" s="51">
        <f>SUM(AE58:AH58)</f>
        <v>7879.9</v>
      </c>
      <c r="BV58" s="51">
        <f>SUM(AI58:AL58)</f>
        <v>7469.4</v>
      </c>
      <c r="BW58" s="51">
        <f>BV58*0.95</f>
        <v>7095.9299999999994</v>
      </c>
      <c r="BX58" s="51">
        <f>BW58*0.8</f>
        <v>5676.7439999999997</v>
      </c>
      <c r="BY58" s="51"/>
      <c r="BZ58" s="51"/>
      <c r="CA58" s="51">
        <v>5982.4</v>
      </c>
      <c r="CB58" s="51">
        <v>5975.1</v>
      </c>
      <c r="CC58" s="51">
        <v>6213.8</v>
      </c>
      <c r="CD58" s="49">
        <f t="shared" ref="CD58:CD59" si="99">SUM(AR58:AU58)</f>
        <v>6121.1999999999989</v>
      </c>
      <c r="CE58" s="49">
        <f t="shared" ref="CE58:CE59" si="100">SUM(AV58:AY58)</f>
        <v>6431.6</v>
      </c>
      <c r="CF58" s="49">
        <f t="shared" ref="CF58:CF59" si="101">SUM(AZ58:BC58)</f>
        <v>6509.7000000000007</v>
      </c>
      <c r="CG58" s="49">
        <f t="shared" ref="CG58:CG59" si="102">SUM(BD58:BG58)</f>
        <v>6509.7000000000007</v>
      </c>
      <c r="CH58" s="49">
        <f>+CH55*0.25</f>
        <v>8174.0518134925396</v>
      </c>
      <c r="CI58" s="49">
        <f t="shared" ref="CI58:CN58" si="103">+CI55*0.25</f>
        <v>8615.768856724535</v>
      </c>
      <c r="CJ58" s="49">
        <f t="shared" si="103"/>
        <v>9158.8923739757684</v>
      </c>
      <c r="CK58" s="49">
        <f t="shared" si="103"/>
        <v>9426.1969767433093</v>
      </c>
      <c r="CL58" s="49">
        <f t="shared" si="103"/>
        <v>10249.557299602975</v>
      </c>
      <c r="CM58" s="49">
        <f t="shared" si="103"/>
        <v>10831.326867431671</v>
      </c>
      <c r="CN58" s="49">
        <f t="shared" si="103"/>
        <v>8792.3416215754023</v>
      </c>
    </row>
    <row r="59" spans="2:92" x14ac:dyDescent="0.15">
      <c r="B59" t="s">
        <v>60</v>
      </c>
      <c r="C59" s="51"/>
      <c r="D59" s="51"/>
      <c r="E59" s="51"/>
      <c r="F59" s="51">
        <v>706</v>
      </c>
      <c r="G59" s="51">
        <v>702</v>
      </c>
      <c r="H59" s="51">
        <v>762.4</v>
      </c>
      <c r="I59" s="51">
        <v>751</v>
      </c>
      <c r="J59" s="51">
        <v>810</v>
      </c>
      <c r="K59" s="51">
        <v>741</v>
      </c>
      <c r="L59" s="51">
        <v>775</v>
      </c>
      <c r="M59" s="51">
        <v>788.8</v>
      </c>
      <c r="N59" s="51">
        <v>890</v>
      </c>
      <c r="O59" s="51">
        <v>834.2</v>
      </c>
      <c r="P59" s="51">
        <v>854.4</v>
      </c>
      <c r="Q59" s="51">
        <v>844.5</v>
      </c>
      <c r="R59" s="51">
        <v>953.6</v>
      </c>
      <c r="S59" s="51">
        <v>877.1</v>
      </c>
      <c r="T59" s="51">
        <v>951.5</v>
      </c>
      <c r="U59" s="51">
        <v>953</v>
      </c>
      <c r="V59" s="51">
        <v>1036.0999999999999</v>
      </c>
      <c r="W59" s="51">
        <v>947.3</v>
      </c>
      <c r="X59" s="51">
        <v>1040.4000000000001</v>
      </c>
      <c r="Y59" s="51">
        <v>1122.0999999999999</v>
      </c>
      <c r="Z59" s="51">
        <v>1216.7</v>
      </c>
      <c r="AA59" s="51">
        <v>1039.0999999999999</v>
      </c>
      <c r="AB59" s="51">
        <v>1187.2</v>
      </c>
      <c r="AC59" s="51">
        <v>1219.8</v>
      </c>
      <c r="AD59" s="51">
        <v>1438.1</v>
      </c>
      <c r="AE59" s="51">
        <v>1124</v>
      </c>
      <c r="AF59" s="51">
        <v>1260.5999999999999</v>
      </c>
      <c r="AG59" s="51">
        <v>1280.9000000000001</v>
      </c>
      <c r="AH59" s="51">
        <v>1355.3</v>
      </c>
      <c r="AI59" s="51">
        <v>1151.5</v>
      </c>
      <c r="AJ59" s="51">
        <v>1320.7</v>
      </c>
      <c r="AK59" s="51">
        <v>1342.8</v>
      </c>
      <c r="AL59" s="51">
        <f>+AH59-50</f>
        <v>1305.3</v>
      </c>
      <c r="AM59" s="51">
        <f t="shared" ref="AM59" si="104">+AI59</f>
        <v>1151.5</v>
      </c>
      <c r="AN59" s="51">
        <v>1230.5</v>
      </c>
      <c r="AO59" s="51">
        <v>1402.2</v>
      </c>
      <c r="AP59" s="51">
        <v>1380.9</v>
      </c>
      <c r="AQ59" s="51">
        <v>1581.4</v>
      </c>
      <c r="AR59" s="51">
        <v>1392.1</v>
      </c>
      <c r="AS59" s="51">
        <v>1390.2</v>
      </c>
      <c r="AT59" s="51">
        <v>1465.4</v>
      </c>
      <c r="AU59" s="51">
        <v>1838</v>
      </c>
      <c r="AV59" s="51">
        <v>1672.1</v>
      </c>
      <c r="AW59" s="51">
        <v>1672.8</v>
      </c>
      <c r="AX59" s="51">
        <v>1708.9</v>
      </c>
      <c r="AY59" s="51">
        <v>1959.4</v>
      </c>
      <c r="AZ59" s="51">
        <v>1610.1</v>
      </c>
      <c r="BA59" s="51">
        <v>1625.1</v>
      </c>
      <c r="BB59" s="51">
        <f t="shared" si="93"/>
        <v>1708.9</v>
      </c>
      <c r="BC59" s="51">
        <f t="shared" si="94"/>
        <v>1959.4</v>
      </c>
      <c r="BD59" s="51">
        <f t="shared" si="95"/>
        <v>1610.1</v>
      </c>
      <c r="BE59" s="51">
        <f t="shared" si="96"/>
        <v>1625.1</v>
      </c>
      <c r="BF59" s="51">
        <f t="shared" si="97"/>
        <v>1708.9</v>
      </c>
      <c r="BG59" s="51">
        <f t="shared" si="98"/>
        <v>1959.4</v>
      </c>
      <c r="BH59" s="51"/>
      <c r="BI59" s="51"/>
      <c r="BK59" s="51">
        <v>2235</v>
      </c>
      <c r="BL59" s="51">
        <v>2149</v>
      </c>
      <c r="BM59" s="51">
        <v>2350</v>
      </c>
      <c r="BN59" s="51">
        <v>2691</v>
      </c>
      <c r="BO59" s="51">
        <v>3026</v>
      </c>
      <c r="BP59" s="51">
        <v>3130</v>
      </c>
      <c r="BQ59" s="51">
        <f>BP59*1.02</f>
        <v>3192.6</v>
      </c>
      <c r="BR59" s="51">
        <f>SUM(S59:V59)</f>
        <v>3817.7</v>
      </c>
      <c r="BS59" s="51">
        <f>SUM(W59:Z59)</f>
        <v>4326.5</v>
      </c>
      <c r="BT59" s="51">
        <f>SUM(AA59:AD59)</f>
        <v>4884.2000000000007</v>
      </c>
      <c r="BU59" s="51">
        <f>SUM(AE59:AH59)</f>
        <v>5020.8</v>
      </c>
      <c r="BV59" s="51">
        <f>SUM(AI59:AL59)</f>
        <v>5120.3</v>
      </c>
      <c r="BW59" s="51"/>
      <c r="BX59" s="51"/>
      <c r="BY59" s="51"/>
      <c r="BZ59" s="51"/>
      <c r="CA59" s="51">
        <v>5096.2</v>
      </c>
      <c r="CB59" s="51">
        <v>5051.2</v>
      </c>
      <c r="CC59" s="51">
        <v>5595</v>
      </c>
      <c r="CD59" s="49">
        <f t="shared" si="99"/>
        <v>6085.7000000000007</v>
      </c>
      <c r="CE59" s="49">
        <f t="shared" si="100"/>
        <v>7013.1999999999989</v>
      </c>
      <c r="CF59" s="49">
        <f t="shared" si="101"/>
        <v>6903.5</v>
      </c>
      <c r="CG59" s="49">
        <f t="shared" si="102"/>
        <v>6903.5</v>
      </c>
      <c r="CH59" s="49"/>
      <c r="CI59" s="49"/>
      <c r="CJ59" s="49"/>
      <c r="CK59" s="49"/>
      <c r="CL59" s="49"/>
      <c r="CM59" s="49"/>
      <c r="CN59" s="49"/>
    </row>
    <row r="60" spans="2:92" x14ac:dyDescent="0.15">
      <c r="B60" s="38" t="s">
        <v>251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>
        <f t="shared" ref="V60:AA60" si="105">V59+V58</f>
        <v>2754.7</v>
      </c>
      <c r="W60" s="51">
        <f t="shared" si="105"/>
        <v>2476.5</v>
      </c>
      <c r="X60" s="51">
        <f t="shared" si="105"/>
        <v>2748.6000000000004</v>
      </c>
      <c r="Y60" s="51">
        <f t="shared" si="105"/>
        <v>2823.8999999999996</v>
      </c>
      <c r="Z60" s="51">
        <f t="shared" si="105"/>
        <v>3170</v>
      </c>
      <c r="AA60" s="51">
        <f t="shared" si="105"/>
        <v>2653.5</v>
      </c>
      <c r="AB60" s="51">
        <f t="shared" ref="AB60:AD60" si="106">AB59+AB58</f>
        <v>2942.6000000000004</v>
      </c>
      <c r="AC60" s="51">
        <f t="shared" si="106"/>
        <v>2914.7</v>
      </c>
      <c r="AD60" s="51">
        <f t="shared" si="106"/>
        <v>3426.8</v>
      </c>
      <c r="AE60" s="51">
        <f>AE59+AE58</f>
        <v>2909.7</v>
      </c>
      <c r="AF60" s="51">
        <f>AF59+AF58</f>
        <v>3303.6</v>
      </c>
      <c r="AG60" s="51">
        <f>AG59+AG58</f>
        <v>3198.7</v>
      </c>
      <c r="AH60" s="51">
        <f>AH59+AH58</f>
        <v>3488.7</v>
      </c>
      <c r="AI60" s="51">
        <f>+AI59+AI58</f>
        <v>2999</v>
      </c>
      <c r="AJ60" s="51">
        <f>+AJ59+AJ58</f>
        <v>3251.8</v>
      </c>
      <c r="AK60" s="51">
        <f>+AK59+AK58</f>
        <v>3100.2</v>
      </c>
      <c r="AL60" s="51">
        <f>+AL59+AL58</f>
        <v>3238.7</v>
      </c>
      <c r="AM60" s="51">
        <f t="shared" ref="AM60" si="107">+AM59+AM58</f>
        <v>2999</v>
      </c>
      <c r="AN60" s="51">
        <f t="shared" ref="AN60:AZ60" si="108">SUM(AN58:AN59)</f>
        <v>2747.6</v>
      </c>
      <c r="AO60" s="51">
        <f t="shared" si="108"/>
        <v>2988.5</v>
      </c>
      <c r="AP60" s="51">
        <f t="shared" si="108"/>
        <v>2793.2</v>
      </c>
      <c r="AQ60" s="51">
        <f t="shared" si="108"/>
        <v>3279.5</v>
      </c>
      <c r="AR60" s="51">
        <f t="shared" si="108"/>
        <v>2941.7</v>
      </c>
      <c r="AS60" s="51">
        <f t="shared" si="108"/>
        <v>2838.8</v>
      </c>
      <c r="AT60" s="51">
        <f t="shared" si="108"/>
        <v>3034.5</v>
      </c>
      <c r="AU60" s="51">
        <f t="shared" si="108"/>
        <v>3391.9</v>
      </c>
      <c r="AV60" s="51">
        <f t="shared" si="108"/>
        <v>3248.1</v>
      </c>
      <c r="AW60" s="51">
        <f t="shared" si="108"/>
        <v>3358.5</v>
      </c>
      <c r="AX60" s="51">
        <f t="shared" si="108"/>
        <v>3286.8</v>
      </c>
      <c r="AY60" s="51">
        <f t="shared" si="108"/>
        <v>3551.4</v>
      </c>
      <c r="AZ60" s="51">
        <f t="shared" si="108"/>
        <v>3168</v>
      </c>
      <c r="BA60" s="51">
        <f t="shared" ref="BA60:BG60" si="109">SUM(BA58:BA59)</f>
        <v>3407</v>
      </c>
      <c r="BB60" s="51">
        <f t="shared" si="109"/>
        <v>3286.8</v>
      </c>
      <c r="BC60" s="51">
        <f t="shared" si="109"/>
        <v>3551.4</v>
      </c>
      <c r="BD60" s="51">
        <f t="shared" si="109"/>
        <v>3168</v>
      </c>
      <c r="BE60" s="51">
        <f t="shared" si="109"/>
        <v>3407</v>
      </c>
      <c r="BF60" s="51">
        <f t="shared" si="109"/>
        <v>3286.8</v>
      </c>
      <c r="BG60" s="51">
        <f t="shared" si="109"/>
        <v>3551.4</v>
      </c>
      <c r="BH60" s="51"/>
      <c r="BI60" s="51"/>
      <c r="BK60" s="51">
        <f t="shared" ref="BK60:BQ60" si="110">BK59+BK58</f>
        <v>5652</v>
      </c>
      <c r="BL60" s="51">
        <f t="shared" si="110"/>
        <v>5573</v>
      </c>
      <c r="BM60" s="51">
        <f t="shared" si="110"/>
        <v>6405</v>
      </c>
      <c r="BN60" s="51">
        <f t="shared" si="110"/>
        <v>6975</v>
      </c>
      <c r="BO60" s="51">
        <f t="shared" si="110"/>
        <v>7523</v>
      </c>
      <c r="BP60" s="51">
        <f t="shared" si="110"/>
        <v>7882</v>
      </c>
      <c r="BQ60" s="51">
        <f t="shared" si="110"/>
        <v>8087.16</v>
      </c>
      <c r="BR60" s="51">
        <f>BR59+BR58</f>
        <v>10436.099999999999</v>
      </c>
      <c r="BS60" s="51">
        <f t="shared" ref="BS60:BY60" si="111">BS59+BS58</f>
        <v>11219</v>
      </c>
      <c r="BT60" s="51">
        <f>BT59+BT58</f>
        <v>11937.600000000002</v>
      </c>
      <c r="BU60" s="51">
        <f>BU59+BU58</f>
        <v>12900.7</v>
      </c>
      <c r="BV60" s="51">
        <f>BV59+BV58</f>
        <v>12589.7</v>
      </c>
      <c r="BW60" s="51">
        <f t="shared" si="111"/>
        <v>7095.9299999999994</v>
      </c>
      <c r="BX60" s="51">
        <f t="shared" si="111"/>
        <v>5676.7439999999997</v>
      </c>
      <c r="BY60" s="51">
        <f t="shared" si="111"/>
        <v>0</v>
      </c>
      <c r="BZ60" s="51"/>
      <c r="CA60" s="51">
        <f>CA59+CA58</f>
        <v>11078.599999999999</v>
      </c>
      <c r="CB60" s="51">
        <f t="shared" ref="CB60:CC60" si="112">CB59+CB58</f>
        <v>11026.3</v>
      </c>
      <c r="CC60" s="51">
        <f t="shared" si="112"/>
        <v>11808.8</v>
      </c>
      <c r="CD60" s="51">
        <f>CD59+CD58</f>
        <v>12206.9</v>
      </c>
      <c r="CE60" s="51">
        <f t="shared" ref="CE60:CG60" si="113">CE59+CE58</f>
        <v>13444.8</v>
      </c>
      <c r="CF60" s="51">
        <f t="shared" si="113"/>
        <v>13413.2</v>
      </c>
      <c r="CG60" s="51">
        <f t="shared" si="113"/>
        <v>13413.2</v>
      </c>
      <c r="CH60" s="51">
        <f t="shared" ref="CH60" si="114">CH59+CH58</f>
        <v>8174.0518134925396</v>
      </c>
      <c r="CI60" s="51">
        <f t="shared" ref="CI60" si="115">CI59+CI58</f>
        <v>8615.768856724535</v>
      </c>
      <c r="CJ60" s="51">
        <f t="shared" ref="CJ60" si="116">CJ59+CJ58</f>
        <v>9158.8923739757684</v>
      </c>
      <c r="CK60" s="51">
        <f t="shared" ref="CK60" si="117">CK59+CK58</f>
        <v>9426.1969767433093</v>
      </c>
      <c r="CL60" s="51">
        <f t="shared" ref="CL60" si="118">CL59+CL58</f>
        <v>10249.557299602975</v>
      </c>
      <c r="CM60" s="51">
        <f t="shared" ref="CM60" si="119">CM59+CM58</f>
        <v>10831.326867431671</v>
      </c>
      <c r="CN60" s="51">
        <f t="shared" ref="CN60" si="120">CN59+CN58</f>
        <v>8792.3416215754023</v>
      </c>
    </row>
    <row r="61" spans="2:92" x14ac:dyDescent="0.15">
      <c r="B61" s="38" t="s">
        <v>252</v>
      </c>
      <c r="C61" s="51"/>
      <c r="D61" s="51"/>
      <c r="E61" s="51"/>
      <c r="F61" s="51">
        <f t="shared" ref="F61:O61" si="121">F57-F58-F59</f>
        <v>482.80799999999999</v>
      </c>
      <c r="G61" s="51">
        <f t="shared" si="121"/>
        <v>348.83663366336623</v>
      </c>
      <c r="H61" s="51">
        <f t="shared" si="121"/>
        <v>385.8000000000003</v>
      </c>
      <c r="I61" s="51">
        <f t="shared" si="121"/>
        <v>496.5333333333333</v>
      </c>
      <c r="J61" s="51">
        <f t="shared" si="121"/>
        <v>557.10000000000036</v>
      </c>
      <c r="K61" s="51">
        <f t="shared" si="121"/>
        <v>537.20000000000027</v>
      </c>
      <c r="L61" s="51">
        <f t="shared" si="121"/>
        <v>549</v>
      </c>
      <c r="M61" s="51">
        <f t="shared" si="121"/>
        <v>702.40000000000009</v>
      </c>
      <c r="N61" s="51">
        <f t="shared" si="121"/>
        <v>2301.8000000000006</v>
      </c>
      <c r="O61" s="51">
        <f t="shared" si="121"/>
        <v>1142.5</v>
      </c>
      <c r="P61" s="51">
        <f t="shared" ref="P61:U61" si="122">P57-P58-P59</f>
        <v>815.80000000000007</v>
      </c>
      <c r="Q61" s="51">
        <f t="shared" si="122"/>
        <v>2522.3999999999987</v>
      </c>
      <c r="R61" s="51">
        <f t="shared" si="122"/>
        <v>2683.5000000000005</v>
      </c>
      <c r="S61" s="51">
        <f t="shared" si="122"/>
        <v>2702.900000000001</v>
      </c>
      <c r="T61" s="51">
        <f t="shared" si="122"/>
        <v>2850.9999999999986</v>
      </c>
      <c r="U61" s="51">
        <f t="shared" si="122"/>
        <v>3039.5000000000009</v>
      </c>
      <c r="V61" s="51">
        <f t="shared" ref="V61:AA61" si="123">V57-V60</f>
        <v>1556.1999999999998</v>
      </c>
      <c r="W61" s="51">
        <f t="shared" si="123"/>
        <v>1598.9</v>
      </c>
      <c r="X61" s="51">
        <f t="shared" si="123"/>
        <v>1417.5</v>
      </c>
      <c r="Y61" s="51">
        <f t="shared" si="123"/>
        <v>1686.2000000000007</v>
      </c>
      <c r="Z61" s="51">
        <f t="shared" si="123"/>
        <v>1332.6999999999998</v>
      </c>
      <c r="AA61" s="51">
        <f t="shared" si="123"/>
        <v>1709.5</v>
      </c>
      <c r="AB61" s="51">
        <f t="shared" ref="AB61:AD61" si="124">AB57-AB60</f>
        <v>1782.1999999999998</v>
      </c>
      <c r="AC61" s="51">
        <f t="shared" si="124"/>
        <v>1752.5</v>
      </c>
      <c r="AD61" s="51">
        <f t="shared" si="124"/>
        <v>1528.2000000000007</v>
      </c>
      <c r="AE61" s="51">
        <f>AE57-AE60</f>
        <v>1749.4000000000005</v>
      </c>
      <c r="AF61" s="51">
        <f>AF57-AF60</f>
        <v>1721.1999999999985</v>
      </c>
      <c r="AG61" s="51">
        <f>AG57-AG60</f>
        <v>1611.3000000000002</v>
      </c>
      <c r="AH61" s="51">
        <f>AH57-AH60</f>
        <v>1236.9000000000005</v>
      </c>
      <c r="AI61" s="51">
        <f>+AI57-AI60</f>
        <v>1405.5</v>
      </c>
      <c r="AJ61" s="51">
        <f>+AJ57-AJ60</f>
        <v>1201.9999999999991</v>
      </c>
      <c r="AK61" s="51">
        <f>+AK57-AK60</f>
        <v>1138.6999999999998</v>
      </c>
      <c r="AL61" s="51">
        <f>+AL57-AL60</f>
        <v>810.80000000000018</v>
      </c>
      <c r="AM61" s="51">
        <f t="shared" ref="AM61" si="125">+AM57-AM60</f>
        <v>1329.2999999999993</v>
      </c>
      <c r="AN61" s="51">
        <f t="shared" ref="AN61:AZ61" si="126">AN57-AN60</f>
        <v>1334.0000000000005</v>
      </c>
      <c r="AO61" s="51">
        <f t="shared" si="126"/>
        <v>1574.9000000000005</v>
      </c>
      <c r="AP61" s="51">
        <f t="shared" si="126"/>
        <v>1565.1999999999998</v>
      </c>
      <c r="AQ61" s="51">
        <f t="shared" si="126"/>
        <v>1605.3999999999996</v>
      </c>
      <c r="AR61" s="51">
        <f t="shared" si="126"/>
        <v>1761.5999999999976</v>
      </c>
      <c r="AS61" s="51">
        <f t="shared" si="126"/>
        <v>1541.3999999999987</v>
      </c>
      <c r="AT61" s="51">
        <f t="shared" si="126"/>
        <v>1506.1999999999989</v>
      </c>
      <c r="AU61" s="51">
        <f t="shared" si="126"/>
        <v>2328.3999999999992</v>
      </c>
      <c r="AV61" s="51">
        <f t="shared" si="126"/>
        <v>1886.1000000000008</v>
      </c>
      <c r="AW61" s="51">
        <f t="shared" si="126"/>
        <v>1983.4999999999973</v>
      </c>
      <c r="AX61" s="51">
        <f t="shared" si="126"/>
        <v>2064.3999999999978</v>
      </c>
      <c r="AY61" s="51">
        <f t="shared" si="126"/>
        <v>2398.2999999999997</v>
      </c>
      <c r="AZ61" s="51">
        <f t="shared" si="126"/>
        <v>2774.5999999999995</v>
      </c>
      <c r="BA61" s="51">
        <f t="shared" ref="BA61:BG61" si="127">BA57-BA60</f>
        <v>1771.7000000000016</v>
      </c>
      <c r="BB61" s="51">
        <f t="shared" si="127"/>
        <v>2087.4819150000021</v>
      </c>
      <c r="BC61" s="51">
        <f t="shared" si="127"/>
        <v>2301.4882568750013</v>
      </c>
      <c r="BD61" s="51">
        <f t="shared" si="127"/>
        <v>2298.6059278593775</v>
      </c>
      <c r="BE61" s="51">
        <f t="shared" si="127"/>
        <v>2300.535372830861</v>
      </c>
      <c r="BF61" s="51">
        <f t="shared" si="127"/>
        <v>2656.3615590482714</v>
      </c>
      <c r="BG61" s="51">
        <f t="shared" si="127"/>
        <v>2967.372612363079</v>
      </c>
      <c r="BH61" s="51"/>
      <c r="BI61" s="51"/>
      <c r="BK61" s="51">
        <f t="shared" ref="BK61:BS61" si="128">BK57-BK58-BK59</f>
        <v>3817</v>
      </c>
      <c r="BL61" s="51">
        <f t="shared" si="128"/>
        <v>3327</v>
      </c>
      <c r="BM61" s="51">
        <f t="shared" si="128"/>
        <v>3505</v>
      </c>
      <c r="BN61" s="51">
        <f t="shared" si="128"/>
        <v>3660</v>
      </c>
      <c r="BO61" s="51">
        <f t="shared" si="128"/>
        <v>3653</v>
      </c>
      <c r="BP61" s="51">
        <f t="shared" si="128"/>
        <v>4400.4999999999982</v>
      </c>
      <c r="BQ61" s="51">
        <f t="shared" si="128"/>
        <v>6336.8340000000007</v>
      </c>
      <c r="BR61" s="51">
        <f>BR57-BR58-BR59</f>
        <v>10149.599999999999</v>
      </c>
      <c r="BS61" s="51">
        <f t="shared" si="128"/>
        <v>6035.2999999999993</v>
      </c>
      <c r="BT61" s="51">
        <f>BT57-BT58-BT59</f>
        <v>5589.9999999999964</v>
      </c>
      <c r="BU61" s="51">
        <f>BU57-BU58-BU59</f>
        <v>5908.7000000000016</v>
      </c>
      <c r="BV61" s="51">
        <f>BV57-BV58-BV59</f>
        <v>4556.9999999999973</v>
      </c>
      <c r="BW61" s="51">
        <f t="shared" ref="BW61:BY61" si="129">BW57-BW58-BW59</f>
        <v>-7095.9299999999994</v>
      </c>
      <c r="BX61" s="51">
        <f t="shared" si="129"/>
        <v>-5676.7439999999997</v>
      </c>
      <c r="BY61" s="51">
        <f t="shared" si="129"/>
        <v>0</v>
      </c>
      <c r="BZ61" s="51"/>
      <c r="CA61" s="51">
        <f t="shared" ref="CA61:CC61" si="130">+CA57-CA60</f>
        <v>4447.8000000000029</v>
      </c>
      <c r="CB61" s="51">
        <f t="shared" si="130"/>
        <v>5784.8999999999978</v>
      </c>
      <c r="CC61" s="51">
        <f t="shared" si="130"/>
        <v>5789.4000000000015</v>
      </c>
      <c r="CD61" s="51">
        <f>+CD57-CD60</f>
        <v>7137.6</v>
      </c>
      <c r="CE61" s="51">
        <f>+CE57-CE60</f>
        <v>8332.2999999999993</v>
      </c>
      <c r="CF61" s="51">
        <f t="shared" ref="CF61:CG61" si="131">+CF57-CF60</f>
        <v>8935.2701718749995</v>
      </c>
      <c r="CG61" s="51">
        <f t="shared" si="131"/>
        <v>10222.87547210159</v>
      </c>
      <c r="CH61" s="51">
        <f t="shared" ref="CH61" si="132">+CH57-CH60</f>
        <v>17655.951917143884</v>
      </c>
      <c r="CI61" s="51">
        <f t="shared" ref="CI61" si="133">+CI57-CI60</f>
        <v>18610.060730524998</v>
      </c>
      <c r="CJ61" s="51">
        <f t="shared" ref="CJ61" si="134">+CJ57-CJ60</f>
        <v>19783.207527787657</v>
      </c>
      <c r="CK61" s="51">
        <f t="shared" ref="CK61" si="135">+CK57-CK60</f>
        <v>20360.585469765552</v>
      </c>
      <c r="CL61" s="51">
        <f t="shared" ref="CL61" si="136">+CL57-CL60</f>
        <v>22139.04376714243</v>
      </c>
      <c r="CM61" s="51">
        <f t="shared" ref="CM61" si="137">+CM57-CM60</f>
        <v>23395.666033652415</v>
      </c>
      <c r="CN61" s="51">
        <f t="shared" ref="CN61" si="138">+CN57-CN60</f>
        <v>18991.457902602873</v>
      </c>
    </row>
    <row r="62" spans="2:92" x14ac:dyDescent="0.15">
      <c r="B62" t="s">
        <v>78</v>
      </c>
      <c r="C62" s="51"/>
      <c r="D62" s="51"/>
      <c r="E62" s="51"/>
      <c r="F62" s="51">
        <v>69.099999999999994</v>
      </c>
      <c r="G62" s="51">
        <v>99</v>
      </c>
      <c r="H62" s="51">
        <v>45.4</v>
      </c>
      <c r="I62" s="51">
        <v>85</v>
      </c>
      <c r="J62" s="51">
        <v>85.2</v>
      </c>
      <c r="K62" s="51">
        <v>32</v>
      </c>
      <c r="L62" s="51">
        <v>47</v>
      </c>
      <c r="M62" s="51">
        <v>-4.8</v>
      </c>
      <c r="N62" s="51">
        <v>38.9</v>
      </c>
      <c r="O62" s="51">
        <v>38.299999999999997</v>
      </c>
      <c r="P62" s="51">
        <v>1.8</v>
      </c>
      <c r="Q62" s="51">
        <v>49.8</v>
      </c>
      <c r="R62" s="51">
        <v>32.1</v>
      </c>
      <c r="S62" s="51">
        <v>20.3</v>
      </c>
      <c r="T62" s="51">
        <v>32.299999999999997</v>
      </c>
      <c r="U62" s="51">
        <v>2.5</v>
      </c>
      <c r="V62" s="51">
        <v>-48.2</v>
      </c>
      <c r="W62" s="51">
        <v>-70.7</v>
      </c>
      <c r="X62" s="51">
        <v>-24.1</v>
      </c>
      <c r="Y62" s="51">
        <f>-44-22.9</f>
        <v>-66.900000000000006</v>
      </c>
      <c r="Z62" s="51">
        <v>-67.8</v>
      </c>
      <c r="AA62" s="51">
        <v>74.5</v>
      </c>
      <c r="AB62" s="51">
        <f>-36.5+18.1-18.4</f>
        <v>-36.799999999999997</v>
      </c>
      <c r="AC62" s="51">
        <f>-30.9+9.2-21.7</f>
        <v>-43.4</v>
      </c>
      <c r="AD62" s="51">
        <v>-39.4</v>
      </c>
      <c r="AE62" s="51">
        <v>-11.2</v>
      </c>
      <c r="AF62" s="51">
        <v>-57.6</v>
      </c>
      <c r="AG62" s="51">
        <f>-22.8-60.6</f>
        <v>-83.4</v>
      </c>
      <c r="AH62" s="51">
        <v>-26.8</v>
      </c>
      <c r="AI62" s="51">
        <f>-19.2-26.8</f>
        <v>-46</v>
      </c>
      <c r="AJ62" s="51">
        <f>-15.8-0.7</f>
        <v>-16.5</v>
      </c>
      <c r="AK62" s="51">
        <f>-21.3+22</f>
        <v>0.69999999999999929</v>
      </c>
      <c r="AL62" s="51">
        <f>+AH62</f>
        <v>-26.8</v>
      </c>
      <c r="AM62" s="51">
        <f t="shared" ref="AM62" si="139">+AI62</f>
        <v>-46</v>
      </c>
      <c r="AN62" s="51">
        <v>55.9</v>
      </c>
      <c r="AO62" s="51">
        <v>91.5</v>
      </c>
      <c r="AP62" s="51">
        <v>90.1</v>
      </c>
      <c r="AQ62" s="51">
        <v>82.7</v>
      </c>
      <c r="AR62" s="51">
        <v>78.2</v>
      </c>
      <c r="AS62" s="51">
        <v>81.2</v>
      </c>
      <c r="AT62" s="51">
        <v>83.8</v>
      </c>
      <c r="AU62" s="51">
        <v>83.4</v>
      </c>
      <c r="AV62" s="51">
        <v>-34.6</v>
      </c>
      <c r="AW62" s="51">
        <v>81.5</v>
      </c>
      <c r="AX62" s="51">
        <v>77.599999999999994</v>
      </c>
      <c r="AY62" s="51">
        <v>77.3</v>
      </c>
      <c r="AZ62" s="51">
        <v>-37.700000000000003</v>
      </c>
      <c r="BA62" s="51">
        <f>-71-48.2</f>
        <v>-119.2</v>
      </c>
      <c r="BB62" s="51">
        <v>0</v>
      </c>
      <c r="BC62" s="51">
        <v>0</v>
      </c>
      <c r="BD62" s="51">
        <v>0</v>
      </c>
      <c r="BE62" s="51">
        <v>0</v>
      </c>
      <c r="BF62" s="51">
        <v>0</v>
      </c>
      <c r="BG62" s="51">
        <v>0</v>
      </c>
      <c r="BH62" s="51"/>
      <c r="BI62" s="51"/>
      <c r="BK62" s="51">
        <v>134</v>
      </c>
      <c r="BL62" s="51">
        <v>214</v>
      </c>
      <c r="BM62" s="51">
        <v>85</v>
      </c>
      <c r="BN62" s="51">
        <v>279</v>
      </c>
      <c r="BO62" s="51">
        <v>313</v>
      </c>
      <c r="BP62" s="51">
        <v>201</v>
      </c>
      <c r="BQ62" s="51">
        <v>100</v>
      </c>
      <c r="BR62" s="51">
        <f>SUM(S62:V62)</f>
        <v>6.8999999999999915</v>
      </c>
      <c r="BS62" s="51">
        <f>SUM(W62:Z62)</f>
        <v>-229.5</v>
      </c>
      <c r="BT62" s="51">
        <f>SUM(AA62:AD62)</f>
        <v>-45.099999999999994</v>
      </c>
      <c r="BU62" s="51">
        <f>SUM(AE62:AH62)</f>
        <v>-179</v>
      </c>
      <c r="BV62" s="51">
        <f>SUM(AI62:AL62)</f>
        <v>-88.6</v>
      </c>
      <c r="BW62" s="51"/>
      <c r="BX62" s="51"/>
      <c r="BY62" s="51"/>
      <c r="BZ62" s="51"/>
      <c r="CA62" s="51"/>
      <c r="CB62" s="53"/>
      <c r="CC62" s="53"/>
      <c r="CH62" s="49">
        <f>+CG81*$CP$79</f>
        <v>16.607610795789352</v>
      </c>
      <c r="CI62" s="49">
        <f t="shared" ref="CI62:CN62" si="140">+CH81*$CP$79</f>
        <v>157.98808701930673</v>
      </c>
      <c r="CJ62" s="49">
        <f t="shared" si="140"/>
        <v>308.1324775596612</v>
      </c>
      <c r="CK62" s="49">
        <f t="shared" si="140"/>
        <v>468.86319760243975</v>
      </c>
      <c r="CL62" s="49">
        <f t="shared" si="140"/>
        <v>635.49878694138374</v>
      </c>
      <c r="CM62" s="49">
        <f t="shared" si="140"/>
        <v>817.69512737405432</v>
      </c>
      <c r="CN62" s="49">
        <f t="shared" si="140"/>
        <v>1011.4020166622661</v>
      </c>
    </row>
    <row r="63" spans="2:92" x14ac:dyDescent="0.15">
      <c r="B63" t="s">
        <v>81</v>
      </c>
      <c r="C63" s="51"/>
      <c r="D63" s="51"/>
      <c r="E63" s="51"/>
      <c r="F63" s="51">
        <f t="shared" ref="F63:O63" si="141">F61+F62</f>
        <v>551.90800000000002</v>
      </c>
      <c r="G63" s="51">
        <f t="shared" si="141"/>
        <v>447.83663366336623</v>
      </c>
      <c r="H63" s="51">
        <f t="shared" si="141"/>
        <v>431.20000000000027</v>
      </c>
      <c r="I63" s="51">
        <f t="shared" si="141"/>
        <v>581.5333333333333</v>
      </c>
      <c r="J63" s="51">
        <f t="shared" si="141"/>
        <v>642.30000000000041</v>
      </c>
      <c r="K63" s="51">
        <f t="shared" si="141"/>
        <v>569.20000000000027</v>
      </c>
      <c r="L63" s="51">
        <f t="shared" si="141"/>
        <v>596</v>
      </c>
      <c r="M63" s="51">
        <f t="shared" si="141"/>
        <v>697.60000000000014</v>
      </c>
      <c r="N63" s="51">
        <f t="shared" si="141"/>
        <v>2340.7000000000007</v>
      </c>
      <c r="O63" s="51">
        <f t="shared" si="141"/>
        <v>1180.8</v>
      </c>
      <c r="P63" s="51">
        <f t="shared" ref="P63:W63" si="142">P61+P62</f>
        <v>817.6</v>
      </c>
      <c r="Q63" s="51">
        <f t="shared" si="142"/>
        <v>2572.1999999999989</v>
      </c>
      <c r="R63" s="51">
        <f t="shared" si="142"/>
        <v>2715.6000000000004</v>
      </c>
      <c r="S63" s="51">
        <f t="shared" si="142"/>
        <v>2723.2000000000012</v>
      </c>
      <c r="T63" s="51">
        <f t="shared" si="142"/>
        <v>2883.2999999999988</v>
      </c>
      <c r="U63" s="51">
        <f t="shared" si="142"/>
        <v>3042.0000000000009</v>
      </c>
      <c r="V63" s="51">
        <f t="shared" si="142"/>
        <v>1507.9999999999998</v>
      </c>
      <c r="W63" s="51">
        <f t="shared" si="142"/>
        <v>1528.2</v>
      </c>
      <c r="X63" s="51">
        <f t="shared" ref="X63:AC63" si="143">X61+X62</f>
        <v>1393.4</v>
      </c>
      <c r="Y63" s="51">
        <f t="shared" si="143"/>
        <v>1619.3000000000006</v>
      </c>
      <c r="Z63" s="51">
        <f t="shared" si="143"/>
        <v>1264.8999999999999</v>
      </c>
      <c r="AA63" s="51">
        <f t="shared" si="143"/>
        <v>1784</v>
      </c>
      <c r="AB63" s="51">
        <f t="shared" si="143"/>
        <v>1745.3999999999999</v>
      </c>
      <c r="AC63" s="51">
        <f t="shared" si="143"/>
        <v>1709.1</v>
      </c>
      <c r="AD63" s="51">
        <f>AD61+AD62</f>
        <v>1488.8000000000006</v>
      </c>
      <c r="AE63" s="51">
        <f>AE61+AE62</f>
        <v>1738.2000000000005</v>
      </c>
      <c r="AF63" s="51">
        <f>AF61+AF62</f>
        <v>1663.5999999999985</v>
      </c>
      <c r="AG63" s="51">
        <f>AG61+AG62</f>
        <v>1527.9</v>
      </c>
      <c r="AH63" s="51">
        <f>AH61+AH62</f>
        <v>1210.1000000000006</v>
      </c>
      <c r="AI63" s="51">
        <f>+AI61+AI62</f>
        <v>1359.5</v>
      </c>
      <c r="AJ63" s="51">
        <f>+AJ61+AJ62</f>
        <v>1185.4999999999991</v>
      </c>
      <c r="AK63" s="51">
        <f>+AK61+AK62</f>
        <v>1139.3999999999999</v>
      </c>
      <c r="AL63" s="51">
        <f>+AL61+AL62</f>
        <v>784.00000000000023</v>
      </c>
      <c r="AM63" s="51">
        <f t="shared" ref="AM63" si="144">+AM61+AM62</f>
        <v>1283.2999999999993</v>
      </c>
      <c r="AN63" s="51">
        <f t="shared" ref="AN63:BG63" si="145">AN61-AN62</f>
        <v>1278.1000000000004</v>
      </c>
      <c r="AO63" s="51">
        <f t="shared" si="145"/>
        <v>1483.4000000000005</v>
      </c>
      <c r="AP63" s="51">
        <f t="shared" si="145"/>
        <v>1475.1</v>
      </c>
      <c r="AQ63" s="51">
        <f t="shared" si="145"/>
        <v>1522.6999999999996</v>
      </c>
      <c r="AR63" s="51">
        <f t="shared" si="145"/>
        <v>1683.3999999999976</v>
      </c>
      <c r="AS63" s="51">
        <f t="shared" si="145"/>
        <v>1460.1999999999987</v>
      </c>
      <c r="AT63" s="51">
        <f t="shared" si="145"/>
        <v>1422.399999999999</v>
      </c>
      <c r="AU63" s="51">
        <f t="shared" si="145"/>
        <v>2244.9999999999991</v>
      </c>
      <c r="AV63" s="51">
        <f t="shared" si="145"/>
        <v>1920.7000000000007</v>
      </c>
      <c r="AW63" s="51">
        <f t="shared" si="145"/>
        <v>1901.9999999999973</v>
      </c>
      <c r="AX63" s="51">
        <f t="shared" si="145"/>
        <v>1986.7999999999979</v>
      </c>
      <c r="AY63" s="51">
        <f t="shared" si="145"/>
        <v>2320.9999999999995</v>
      </c>
      <c r="AZ63" s="51">
        <f t="shared" si="145"/>
        <v>2812.2999999999993</v>
      </c>
      <c r="BA63" s="51">
        <f t="shared" si="145"/>
        <v>1890.9000000000017</v>
      </c>
      <c r="BB63" s="51">
        <f t="shared" si="145"/>
        <v>2087.4819150000021</v>
      </c>
      <c r="BC63" s="51">
        <f t="shared" si="145"/>
        <v>2301.4882568750013</v>
      </c>
      <c r="BD63" s="51">
        <f t="shared" si="145"/>
        <v>2298.6059278593775</v>
      </c>
      <c r="BE63" s="51">
        <f t="shared" si="145"/>
        <v>2300.535372830861</v>
      </c>
      <c r="BF63" s="51">
        <f t="shared" si="145"/>
        <v>2656.3615590482714</v>
      </c>
      <c r="BG63" s="51">
        <f t="shared" si="145"/>
        <v>2967.372612363079</v>
      </c>
      <c r="BH63" s="51"/>
      <c r="BI63" s="51"/>
      <c r="BK63" s="51">
        <f t="shared" ref="BK63:BP63" si="146">BK61+BK62</f>
        <v>3951</v>
      </c>
      <c r="BL63" s="51">
        <f t="shared" si="146"/>
        <v>3541</v>
      </c>
      <c r="BM63" s="51">
        <f t="shared" si="146"/>
        <v>3590</v>
      </c>
      <c r="BN63" s="51">
        <f t="shared" si="146"/>
        <v>3939</v>
      </c>
      <c r="BO63" s="51">
        <f t="shared" si="146"/>
        <v>3966</v>
      </c>
      <c r="BP63" s="51">
        <f t="shared" si="146"/>
        <v>4601.4999999999982</v>
      </c>
      <c r="BQ63" s="51">
        <f t="shared" ref="BQ63" si="147">BQ61+BQ62</f>
        <v>6436.8340000000007</v>
      </c>
      <c r="BR63" s="51">
        <f t="shared" ref="BR63:CA63" si="148">BR61+BR62</f>
        <v>10156.499999999998</v>
      </c>
      <c r="BS63" s="51">
        <f t="shared" si="148"/>
        <v>5805.7999999999993</v>
      </c>
      <c r="BT63" s="51">
        <f t="shared" si="148"/>
        <v>5544.899999999996</v>
      </c>
      <c r="BU63" s="51">
        <f t="shared" si="148"/>
        <v>5729.7000000000016</v>
      </c>
      <c r="BV63" s="51">
        <f t="shared" si="148"/>
        <v>4468.3999999999969</v>
      </c>
      <c r="BW63" s="51">
        <f t="shared" si="148"/>
        <v>-7095.9299999999994</v>
      </c>
      <c r="BX63" s="51">
        <f t="shared" si="148"/>
        <v>-5676.7439999999997</v>
      </c>
      <c r="BY63" s="51">
        <f t="shared" si="148"/>
        <v>0</v>
      </c>
      <c r="BZ63" s="51">
        <f t="shared" si="148"/>
        <v>0</v>
      </c>
      <c r="CA63" s="51">
        <f t="shared" si="148"/>
        <v>4447.8000000000029</v>
      </c>
      <c r="CB63" s="51">
        <f t="shared" ref="CB63:CN63" si="149">CB61+CB62</f>
        <v>5784.8999999999978</v>
      </c>
      <c r="CC63" s="51">
        <f t="shared" si="149"/>
        <v>5789.4000000000015</v>
      </c>
      <c r="CD63" s="51">
        <f t="shared" si="149"/>
        <v>7137.6</v>
      </c>
      <c r="CE63" s="51">
        <f t="shared" si="149"/>
        <v>8332.2999999999993</v>
      </c>
      <c r="CF63" s="51">
        <f t="shared" si="149"/>
        <v>8935.2701718749995</v>
      </c>
      <c r="CG63" s="51">
        <f t="shared" si="149"/>
        <v>10222.87547210159</v>
      </c>
      <c r="CH63" s="51">
        <f t="shared" si="149"/>
        <v>17672.559527939673</v>
      </c>
      <c r="CI63" s="51">
        <f t="shared" si="149"/>
        <v>18768.048817544306</v>
      </c>
      <c r="CJ63" s="51">
        <f t="shared" si="149"/>
        <v>20091.34000534732</v>
      </c>
      <c r="CK63" s="51">
        <f t="shared" si="149"/>
        <v>20829.448667367993</v>
      </c>
      <c r="CL63" s="51">
        <f t="shared" si="149"/>
        <v>22774.542554083815</v>
      </c>
      <c r="CM63" s="51">
        <f t="shared" si="149"/>
        <v>24213.361161026471</v>
      </c>
      <c r="CN63" s="51">
        <f t="shared" si="149"/>
        <v>20002.859919265138</v>
      </c>
    </row>
    <row r="64" spans="2:92" x14ac:dyDescent="0.15">
      <c r="B64" t="s">
        <v>82</v>
      </c>
      <c r="C64" s="51"/>
      <c r="D64" s="51"/>
      <c r="E64" s="51"/>
      <c r="F64" s="51">
        <v>230</v>
      </c>
      <c r="G64" s="51">
        <v>208</v>
      </c>
      <c r="H64" s="51">
        <v>205.3</v>
      </c>
      <c r="I64" s="51">
        <v>224.1</v>
      </c>
      <c r="J64" s="51">
        <v>195</v>
      </c>
      <c r="K64" s="51">
        <v>222</v>
      </c>
      <c r="L64" s="51">
        <v>219</v>
      </c>
      <c r="M64" s="51">
        <v>220.6</v>
      </c>
      <c r="N64" s="51">
        <v>226.6</v>
      </c>
      <c r="O64" s="51">
        <v>257.60000000000002</v>
      </c>
      <c r="P64" s="51">
        <v>263.10000000000002</v>
      </c>
      <c r="Q64" s="51">
        <v>263.3</v>
      </c>
      <c r="R64" s="51">
        <v>197.9</v>
      </c>
      <c r="S64" s="51">
        <v>-8</v>
      </c>
      <c r="T64" s="51">
        <v>247.5</v>
      </c>
      <c r="U64" s="51">
        <v>320</v>
      </c>
      <c r="V64" s="51">
        <v>295.89999999999998</v>
      </c>
      <c r="W64" s="51">
        <v>370.3</v>
      </c>
      <c r="X64" s="51">
        <v>346</v>
      </c>
      <c r="Y64" s="51">
        <v>127.7</v>
      </c>
      <c r="Z64" s="51">
        <v>265.7</v>
      </c>
      <c r="AA64" s="51">
        <v>486.4</v>
      </c>
      <c r="AB64" s="51">
        <v>387.6</v>
      </c>
      <c r="AC64" s="51">
        <v>368.4</v>
      </c>
      <c r="AD64" s="51">
        <v>240</v>
      </c>
      <c r="AE64" s="51">
        <v>363.3</v>
      </c>
      <c r="AF64" s="51">
        <v>334</v>
      </c>
      <c r="AG64" s="51">
        <v>273.89999999999998</v>
      </c>
      <c r="AH64" s="51">
        <v>240.5</v>
      </c>
      <c r="AI64" s="51">
        <v>332.2</v>
      </c>
      <c r="AJ64" s="51">
        <v>262.10000000000002</v>
      </c>
      <c r="AK64" s="51">
        <v>251.9</v>
      </c>
      <c r="AL64" s="51">
        <f>+AL63*0.2</f>
        <v>156.80000000000007</v>
      </c>
      <c r="AM64" s="51">
        <f t="shared" ref="AM64" si="150">+AM63*0.2</f>
        <v>256.65999999999985</v>
      </c>
      <c r="AN64" s="51">
        <v>183.4</v>
      </c>
      <c r="AO64" s="51">
        <v>154.5</v>
      </c>
      <c r="AP64" s="51">
        <v>180.1</v>
      </c>
      <c r="AQ64" s="51">
        <v>167.4</v>
      </c>
      <c r="AR64" s="51">
        <v>251.9</v>
      </c>
      <c r="AS64" s="51">
        <v>231.7</v>
      </c>
      <c r="AT64" s="51">
        <v>258.2</v>
      </c>
      <c r="AU64" s="51">
        <v>352.3</v>
      </c>
      <c r="AV64" s="51">
        <v>143.19999999999999</v>
      </c>
      <c r="AW64" s="51">
        <v>203.7</v>
      </c>
      <c r="AX64" s="51">
        <v>293.2</v>
      </c>
      <c r="AY64" s="51">
        <v>113.8</v>
      </c>
      <c r="AZ64" s="51">
        <v>273.8</v>
      </c>
      <c r="BA64" s="51">
        <v>187.2</v>
      </c>
      <c r="BB64" s="51">
        <f t="shared" ref="BB64:BG64" si="151">+BB63*0.1</f>
        <v>208.74819150000022</v>
      </c>
      <c r="BC64" s="51">
        <f t="shared" si="151"/>
        <v>230.14882568750014</v>
      </c>
      <c r="BD64" s="51">
        <f t="shared" si="151"/>
        <v>229.86059278593777</v>
      </c>
      <c r="BE64" s="51">
        <f t="shared" si="151"/>
        <v>230.05353728308611</v>
      </c>
      <c r="BF64" s="51">
        <f t="shared" si="151"/>
        <v>265.63615590482715</v>
      </c>
      <c r="BG64" s="51">
        <f t="shared" si="151"/>
        <v>296.73726123630792</v>
      </c>
      <c r="BH64" s="51"/>
      <c r="BI64" s="51"/>
      <c r="BK64" s="51">
        <v>850</v>
      </c>
      <c r="BL64" s="51">
        <v>779</v>
      </c>
      <c r="BM64" s="51">
        <v>788</v>
      </c>
      <c r="BN64" s="51">
        <v>866</v>
      </c>
      <c r="BO64" s="51">
        <v>832</v>
      </c>
      <c r="BP64" s="51">
        <v>912</v>
      </c>
      <c r="BQ64" s="51">
        <f>BQ63*0.22</f>
        <v>1416.1034800000002</v>
      </c>
      <c r="BR64" s="51">
        <f>SUM(S64:V64)</f>
        <v>855.4</v>
      </c>
      <c r="BS64" s="51">
        <f>SUM(W64:Z64)</f>
        <v>1109.7</v>
      </c>
      <c r="BT64" s="51">
        <f>SUM(AA64:AD64)</f>
        <v>1482.4</v>
      </c>
      <c r="BU64" s="51">
        <f>SUM(AE64:AH64)</f>
        <v>1211.6999999999998</v>
      </c>
      <c r="BV64" s="51">
        <f>SUM(AI64:AL64)</f>
        <v>1003</v>
      </c>
      <c r="BW64" s="51">
        <f t="shared" ref="BW64:BY64" si="152">BW63*0.28</f>
        <v>-1986.8604</v>
      </c>
      <c r="BX64" s="51">
        <f t="shared" si="152"/>
        <v>-1589.4883200000002</v>
      </c>
      <c r="BY64" s="51">
        <f t="shared" si="152"/>
        <v>0</v>
      </c>
      <c r="BZ64" s="51"/>
      <c r="CA64" s="51"/>
      <c r="CB64" s="51"/>
      <c r="CC64" s="51"/>
      <c r="CD64" s="51"/>
      <c r="CE64" s="51"/>
      <c r="CF64" s="49">
        <f t="shared" ref="CF64" si="153">SUM(AZ64:BC64)</f>
        <v>899.8970171875003</v>
      </c>
      <c r="CG64" s="49">
        <f t="shared" ref="CG64" si="154">SUM(BD64:BG64)</f>
        <v>1022.2875472101589</v>
      </c>
      <c r="CH64" s="51">
        <f>CH63*0.2</f>
        <v>3534.511905587935</v>
      </c>
      <c r="CI64" s="51">
        <f t="shared" ref="CI64:CN64" si="155">CI63*0.2</f>
        <v>3753.6097635088613</v>
      </c>
      <c r="CJ64" s="51">
        <f t="shared" si="155"/>
        <v>4018.2680010694639</v>
      </c>
      <c r="CK64" s="51">
        <f t="shared" si="155"/>
        <v>4165.8897334735984</v>
      </c>
      <c r="CL64" s="51">
        <f t="shared" si="155"/>
        <v>4554.9085108167628</v>
      </c>
      <c r="CM64" s="51">
        <f t="shared" si="155"/>
        <v>4842.6722322052947</v>
      </c>
      <c r="CN64" s="51">
        <f t="shared" si="155"/>
        <v>4000.5719838530276</v>
      </c>
    </row>
    <row r="65" spans="2:170" x14ac:dyDescent="0.15">
      <c r="B65" t="s">
        <v>83</v>
      </c>
      <c r="C65" s="51"/>
      <c r="D65" s="51"/>
      <c r="E65" s="51"/>
      <c r="F65" s="51">
        <f t="shared" ref="F65:P65" si="156">F63-F64</f>
        <v>321.90800000000002</v>
      </c>
      <c r="G65" s="51">
        <f t="shared" si="156"/>
        <v>239.83663366336623</v>
      </c>
      <c r="H65" s="51">
        <f t="shared" si="156"/>
        <v>225.90000000000026</v>
      </c>
      <c r="I65" s="51">
        <f t="shared" si="156"/>
        <v>357.43333333333328</v>
      </c>
      <c r="J65" s="51">
        <f t="shared" si="156"/>
        <v>447.30000000000041</v>
      </c>
      <c r="K65" s="51">
        <f t="shared" si="156"/>
        <v>347.20000000000027</v>
      </c>
      <c r="L65" s="51">
        <f t="shared" si="156"/>
        <v>377</v>
      </c>
      <c r="M65" s="51">
        <f t="shared" si="156"/>
        <v>477.00000000000011</v>
      </c>
      <c r="N65" s="51">
        <f t="shared" si="156"/>
        <v>2114.1000000000008</v>
      </c>
      <c r="O65" s="51">
        <f t="shared" si="156"/>
        <v>923.19999999999993</v>
      </c>
      <c r="P65" s="51">
        <f t="shared" si="156"/>
        <v>554.5</v>
      </c>
      <c r="Q65" s="51">
        <f t="shared" ref="Q65:V65" si="157">Q63-Q64</f>
        <v>2308.8999999999987</v>
      </c>
      <c r="R65" s="51">
        <f t="shared" si="157"/>
        <v>2517.7000000000003</v>
      </c>
      <c r="S65" s="51">
        <f t="shared" si="157"/>
        <v>2731.2000000000012</v>
      </c>
      <c r="T65" s="51">
        <f t="shared" si="157"/>
        <v>2635.7999999999988</v>
      </c>
      <c r="U65" s="51">
        <f t="shared" si="157"/>
        <v>2722.0000000000009</v>
      </c>
      <c r="V65" s="51">
        <f t="shared" si="157"/>
        <v>1212.0999999999999</v>
      </c>
      <c r="W65" s="51">
        <f t="shared" ref="W65:AB65" si="158">W63-W64</f>
        <v>1157.9000000000001</v>
      </c>
      <c r="X65" s="51">
        <f t="shared" si="158"/>
        <v>1047.4000000000001</v>
      </c>
      <c r="Y65" s="51">
        <f t="shared" si="158"/>
        <v>1491.6000000000006</v>
      </c>
      <c r="Z65" s="51">
        <f t="shared" si="158"/>
        <v>999.19999999999982</v>
      </c>
      <c r="AA65" s="51">
        <f t="shared" si="158"/>
        <v>1297.5999999999999</v>
      </c>
      <c r="AB65" s="51">
        <f t="shared" si="158"/>
        <v>1357.7999999999997</v>
      </c>
      <c r="AC65" s="51">
        <f t="shared" ref="AC65:AI65" si="159">AC63-AC64</f>
        <v>1340.6999999999998</v>
      </c>
      <c r="AD65" s="51">
        <f t="shared" si="159"/>
        <v>1248.8000000000006</v>
      </c>
      <c r="AE65" s="51">
        <f>AE63-AE64</f>
        <v>1374.9000000000005</v>
      </c>
      <c r="AF65" s="51">
        <f>AF63-AF64</f>
        <v>1329.5999999999985</v>
      </c>
      <c r="AG65" s="51">
        <f>AG63-AG64</f>
        <v>1254</v>
      </c>
      <c r="AH65" s="51">
        <f t="shared" si="159"/>
        <v>969.60000000000059</v>
      </c>
      <c r="AI65" s="51">
        <f t="shared" si="159"/>
        <v>1027.3</v>
      </c>
      <c r="AJ65" s="51">
        <f t="shared" ref="AJ65:AL65" si="160">AJ63-AJ64</f>
        <v>923.39999999999907</v>
      </c>
      <c r="AK65" s="51">
        <f t="shared" si="160"/>
        <v>887.49999999999989</v>
      </c>
      <c r="AL65" s="51">
        <f t="shared" si="160"/>
        <v>627.20000000000016</v>
      </c>
      <c r="AM65" s="51">
        <f t="shared" ref="AM65" si="161">AM63-AM64</f>
        <v>1026.6399999999994</v>
      </c>
      <c r="AN65" s="51">
        <f t="shared" ref="AN65:AZ65" si="162">AN63-AN64</f>
        <v>1094.7000000000003</v>
      </c>
      <c r="AO65" s="51">
        <f t="shared" si="162"/>
        <v>1328.9000000000005</v>
      </c>
      <c r="AP65" s="51">
        <f t="shared" si="162"/>
        <v>1295</v>
      </c>
      <c r="AQ65" s="51">
        <f t="shared" si="162"/>
        <v>1355.2999999999995</v>
      </c>
      <c r="AR65" s="51">
        <f t="shared" si="162"/>
        <v>1431.4999999999975</v>
      </c>
      <c r="AS65" s="51">
        <f t="shared" si="162"/>
        <v>1228.4999999999986</v>
      </c>
      <c r="AT65" s="51">
        <f t="shared" si="162"/>
        <v>1164.1999999999989</v>
      </c>
      <c r="AU65" s="51">
        <f t="shared" si="162"/>
        <v>1892.6999999999991</v>
      </c>
      <c r="AV65" s="51">
        <f t="shared" si="162"/>
        <v>1777.5000000000007</v>
      </c>
      <c r="AW65" s="51">
        <f t="shared" si="162"/>
        <v>1698.2999999999972</v>
      </c>
      <c r="AX65" s="51">
        <f t="shared" si="162"/>
        <v>1693.5999999999979</v>
      </c>
      <c r="AY65" s="51">
        <f t="shared" si="162"/>
        <v>2207.1999999999994</v>
      </c>
      <c r="AZ65" s="51">
        <f t="shared" si="162"/>
        <v>2538.4999999999991</v>
      </c>
      <c r="BA65" s="51">
        <f>+BA63-BA64</f>
        <v>1703.7000000000016</v>
      </c>
      <c r="BB65" s="51">
        <f t="shared" ref="BB65:BG65" si="163">+BB63-BB64</f>
        <v>1878.7337235000018</v>
      </c>
      <c r="BC65" s="51">
        <f t="shared" si="163"/>
        <v>2071.3394311875013</v>
      </c>
      <c r="BD65" s="51">
        <f t="shared" si="163"/>
        <v>2068.7453350734399</v>
      </c>
      <c r="BE65" s="51">
        <f t="shared" si="163"/>
        <v>2070.4818355477751</v>
      </c>
      <c r="BF65" s="51">
        <f t="shared" si="163"/>
        <v>2390.7254031434441</v>
      </c>
      <c r="BG65" s="51">
        <f t="shared" si="163"/>
        <v>2670.6353511267712</v>
      </c>
      <c r="BH65" s="51"/>
      <c r="BI65" s="51"/>
      <c r="BK65" s="51">
        <f t="shared" ref="BK65:BQ65" si="164">BK63-BK64</f>
        <v>3101</v>
      </c>
      <c r="BL65" s="51">
        <f t="shared" si="164"/>
        <v>2762</v>
      </c>
      <c r="BM65" s="51">
        <f t="shared" si="164"/>
        <v>2802</v>
      </c>
      <c r="BN65" s="51">
        <f t="shared" si="164"/>
        <v>3073</v>
      </c>
      <c r="BO65" s="51">
        <f t="shared" si="164"/>
        <v>3134</v>
      </c>
      <c r="BP65" s="51">
        <f t="shared" si="164"/>
        <v>3689.4999999999982</v>
      </c>
      <c r="BQ65" s="51">
        <f t="shared" si="164"/>
        <v>5020.730520000001</v>
      </c>
      <c r="BR65" s="51">
        <f>BR63-BR64</f>
        <v>9301.0999999999985</v>
      </c>
      <c r="BS65" s="51">
        <f>BS63-BS64</f>
        <v>4696.0999999999995</v>
      </c>
      <c r="BT65" s="51">
        <f>BT63-BT64</f>
        <v>4062.4999999999959</v>
      </c>
      <c r="BU65" s="51">
        <f>BU63-BU64</f>
        <v>4518.0000000000018</v>
      </c>
      <c r="BV65" s="51">
        <f t="shared" ref="BV65:BY65" si="165">BV63-BV64</f>
        <v>3465.3999999999969</v>
      </c>
      <c r="BW65" s="51">
        <f t="shared" si="165"/>
        <v>-5109.0695999999989</v>
      </c>
      <c r="BX65" s="51">
        <f t="shared" si="165"/>
        <v>-4087.2556799999993</v>
      </c>
      <c r="BY65" s="51">
        <f t="shared" si="165"/>
        <v>0</v>
      </c>
      <c r="BZ65" s="51">
        <f>BZ63-BZ64</f>
        <v>0</v>
      </c>
      <c r="CA65" s="51">
        <f>CA63-CA64</f>
        <v>4447.8000000000029</v>
      </c>
      <c r="CB65" s="51">
        <f t="shared" ref="CB65:CE65" si="166">CB63-CB64</f>
        <v>5784.8999999999978</v>
      </c>
      <c r="CC65" s="51">
        <f t="shared" si="166"/>
        <v>5789.4000000000015</v>
      </c>
      <c r="CD65" s="51">
        <f t="shared" si="166"/>
        <v>7137.6</v>
      </c>
      <c r="CE65" s="51">
        <f t="shared" si="166"/>
        <v>8332.2999999999993</v>
      </c>
      <c r="CF65" s="51">
        <f>+CF63-CF64</f>
        <v>8035.3731546874988</v>
      </c>
      <c r="CG65" s="51">
        <f t="shared" ref="CG65:CL65" si="167">+CG63-CG64</f>
        <v>9200.5879248914316</v>
      </c>
      <c r="CH65" s="51">
        <f t="shared" si="167"/>
        <v>14138.047622351738</v>
      </c>
      <c r="CI65" s="51">
        <f t="shared" si="167"/>
        <v>15014.439054035445</v>
      </c>
      <c r="CJ65" s="51">
        <f t="shared" si="167"/>
        <v>16073.072004277856</v>
      </c>
      <c r="CK65" s="51">
        <f t="shared" si="167"/>
        <v>16663.558933894394</v>
      </c>
      <c r="CL65" s="51">
        <f t="shared" si="167"/>
        <v>18219.634043267051</v>
      </c>
      <c r="CM65" s="51">
        <f>+CM63-CM64</f>
        <v>19370.688928821175</v>
      </c>
      <c r="CN65" s="51">
        <f>+CN63-CN64</f>
        <v>16002.287935412111</v>
      </c>
      <c r="CO65" s="54">
        <f>+CN65*(1+$CP$80)</f>
        <v>15842.26505605799</v>
      </c>
      <c r="CP65" s="54">
        <f t="shared" ref="CP65:FA65" si="168">+CO65*(1+$CP$80)</f>
        <v>15683.842405497409</v>
      </c>
      <c r="CQ65" s="54">
        <f t="shared" si="168"/>
        <v>15527.003981442434</v>
      </c>
      <c r="CR65" s="54">
        <f t="shared" si="168"/>
        <v>15371.73394162801</v>
      </c>
      <c r="CS65" s="54">
        <f t="shared" si="168"/>
        <v>15218.01660221173</v>
      </c>
      <c r="CT65" s="54">
        <f t="shared" si="168"/>
        <v>15065.836436189613</v>
      </c>
      <c r="CU65" s="54">
        <f t="shared" si="168"/>
        <v>14915.178071827717</v>
      </c>
      <c r="CV65" s="54">
        <f t="shared" si="168"/>
        <v>14766.02629110944</v>
      </c>
      <c r="CW65" s="54">
        <f t="shared" si="168"/>
        <v>14618.366028198345</v>
      </c>
      <c r="CX65" s="54">
        <f t="shared" si="168"/>
        <v>14472.182367916361</v>
      </c>
      <c r="CY65" s="54">
        <f t="shared" si="168"/>
        <v>14327.460544237198</v>
      </c>
      <c r="CZ65" s="54">
        <f t="shared" si="168"/>
        <v>14184.185938794826</v>
      </c>
      <c r="DA65" s="54">
        <f t="shared" si="168"/>
        <v>14042.344079406877</v>
      </c>
      <c r="DB65" s="54">
        <f t="shared" si="168"/>
        <v>13901.920638612808</v>
      </c>
      <c r="DC65" s="54">
        <f t="shared" si="168"/>
        <v>13762.901432226679</v>
      </c>
      <c r="DD65" s="54">
        <f t="shared" si="168"/>
        <v>13625.272417904413</v>
      </c>
      <c r="DE65" s="54">
        <f t="shared" si="168"/>
        <v>13489.019693725368</v>
      </c>
      <c r="DF65" s="54">
        <f t="shared" si="168"/>
        <v>13354.129496788113</v>
      </c>
      <c r="DG65" s="54">
        <f t="shared" si="168"/>
        <v>13220.588201820232</v>
      </c>
      <c r="DH65" s="54">
        <f t="shared" si="168"/>
        <v>13088.382319802029</v>
      </c>
      <c r="DI65" s="54">
        <f t="shared" si="168"/>
        <v>12957.498496604008</v>
      </c>
      <c r="DJ65" s="54">
        <f t="shared" si="168"/>
        <v>12827.923511637968</v>
      </c>
      <c r="DK65" s="54">
        <f t="shared" si="168"/>
        <v>12699.644276521589</v>
      </c>
      <c r="DL65" s="54">
        <f t="shared" si="168"/>
        <v>12572.647833756373</v>
      </c>
      <c r="DM65" s="54">
        <f t="shared" si="168"/>
        <v>12446.92135541881</v>
      </c>
      <c r="DN65" s="54">
        <f t="shared" si="168"/>
        <v>12322.452141864622</v>
      </c>
      <c r="DO65" s="54">
        <f t="shared" si="168"/>
        <v>12199.227620445976</v>
      </c>
      <c r="DP65" s="54">
        <f t="shared" si="168"/>
        <v>12077.235344241515</v>
      </c>
      <c r="DQ65" s="54">
        <f t="shared" si="168"/>
        <v>11956.4629907991</v>
      </c>
      <c r="DR65" s="54">
        <f t="shared" si="168"/>
        <v>11836.898360891109</v>
      </c>
      <c r="DS65" s="54">
        <f t="shared" si="168"/>
        <v>11718.529377282199</v>
      </c>
      <c r="DT65" s="54">
        <f t="shared" si="168"/>
        <v>11601.344083509377</v>
      </c>
      <c r="DU65" s="54">
        <f t="shared" si="168"/>
        <v>11485.330642674284</v>
      </c>
      <c r="DV65" s="54">
        <f t="shared" si="168"/>
        <v>11370.477336247541</v>
      </c>
      <c r="DW65" s="54">
        <f t="shared" si="168"/>
        <v>11256.772562885066</v>
      </c>
      <c r="DX65" s="54">
        <f t="shared" si="168"/>
        <v>11144.204837256215</v>
      </c>
      <c r="DY65" s="54">
        <f t="shared" si="168"/>
        <v>11032.762788883652</v>
      </c>
      <c r="DZ65" s="54">
        <f t="shared" si="168"/>
        <v>10922.435160994815</v>
      </c>
      <c r="EA65" s="54">
        <f t="shared" si="168"/>
        <v>10813.210809384867</v>
      </c>
      <c r="EB65" s="54">
        <f t="shared" si="168"/>
        <v>10705.078701291019</v>
      </c>
      <c r="EC65" s="54">
        <f t="shared" si="168"/>
        <v>10598.027914278109</v>
      </c>
      <c r="ED65" s="54">
        <f t="shared" si="168"/>
        <v>10492.047635135328</v>
      </c>
      <c r="EE65" s="54">
        <f t="shared" si="168"/>
        <v>10387.127158783975</v>
      </c>
      <c r="EF65" s="54">
        <f t="shared" si="168"/>
        <v>10283.255887196136</v>
      </c>
      <c r="EG65" s="54">
        <f t="shared" si="168"/>
        <v>10180.423328324174</v>
      </c>
      <c r="EH65" s="54">
        <f t="shared" si="168"/>
        <v>10078.619095040933</v>
      </c>
      <c r="EI65" s="54">
        <f t="shared" si="168"/>
        <v>9977.8329040905228</v>
      </c>
      <c r="EJ65" s="54">
        <f t="shared" si="168"/>
        <v>9878.0545750496167</v>
      </c>
      <c r="EK65" s="54">
        <f t="shared" si="168"/>
        <v>9779.2740292991202</v>
      </c>
      <c r="EL65" s="54">
        <f t="shared" si="168"/>
        <v>9681.4812890061294</v>
      </c>
      <c r="EM65" s="54">
        <f t="shared" si="168"/>
        <v>9584.6664761160682</v>
      </c>
      <c r="EN65" s="54">
        <f t="shared" si="168"/>
        <v>9488.8198113549079</v>
      </c>
      <c r="EO65" s="54">
        <f t="shared" si="168"/>
        <v>9393.9316132413587</v>
      </c>
      <c r="EP65" s="54">
        <f t="shared" si="168"/>
        <v>9299.9922971089454</v>
      </c>
      <c r="EQ65" s="54">
        <f t="shared" si="168"/>
        <v>9206.9923741378552</v>
      </c>
      <c r="ER65" s="54">
        <f t="shared" si="168"/>
        <v>9114.9224503964761</v>
      </c>
      <c r="ES65" s="54">
        <f t="shared" si="168"/>
        <v>9023.7732258925116</v>
      </c>
      <c r="ET65" s="54">
        <f t="shared" si="168"/>
        <v>8933.5354936335862</v>
      </c>
      <c r="EU65" s="54">
        <f t="shared" si="168"/>
        <v>8844.2001386972497</v>
      </c>
      <c r="EV65" s="54">
        <f t="shared" si="168"/>
        <v>8755.7581373102767</v>
      </c>
      <c r="EW65" s="54">
        <f t="shared" si="168"/>
        <v>8668.2005559371737</v>
      </c>
      <c r="EX65" s="54">
        <f t="shared" si="168"/>
        <v>8581.5185503778011</v>
      </c>
      <c r="EY65" s="54">
        <f t="shared" si="168"/>
        <v>8495.7033648740235</v>
      </c>
      <c r="EZ65" s="54">
        <f t="shared" si="168"/>
        <v>8410.7463312252839</v>
      </c>
      <c r="FA65" s="54">
        <f t="shared" si="168"/>
        <v>8326.6388679130305</v>
      </c>
      <c r="FB65" s="54">
        <f t="shared" ref="FB65:FN65" si="169">+FA65*(1+$CP$80)</f>
        <v>8243.3724792338999</v>
      </c>
      <c r="FC65" s="54">
        <f t="shared" si="169"/>
        <v>8160.9387544415604</v>
      </c>
      <c r="FD65" s="54">
        <f t="shared" si="169"/>
        <v>8079.3293668971446</v>
      </c>
      <c r="FE65" s="54">
        <f t="shared" si="169"/>
        <v>7998.5360732281733</v>
      </c>
      <c r="FF65" s="54">
        <f t="shared" si="169"/>
        <v>7918.5507124958913</v>
      </c>
      <c r="FG65" s="54">
        <f t="shared" si="169"/>
        <v>7839.365205370932</v>
      </c>
      <c r="FH65" s="54">
        <f t="shared" si="169"/>
        <v>7760.971553317223</v>
      </c>
      <c r="FI65" s="54">
        <f t="shared" si="169"/>
        <v>7683.3618377840503</v>
      </c>
      <c r="FJ65" s="54">
        <f t="shared" si="169"/>
        <v>7606.5282194062102</v>
      </c>
      <c r="FK65" s="54">
        <f t="shared" si="169"/>
        <v>7530.4629372121481</v>
      </c>
      <c r="FL65" s="54">
        <f t="shared" si="169"/>
        <v>7455.1583078400263</v>
      </c>
      <c r="FM65" s="54">
        <f t="shared" si="169"/>
        <v>7380.6067247616256</v>
      </c>
      <c r="FN65" s="54">
        <f t="shared" si="169"/>
        <v>7306.8006575140089</v>
      </c>
    </row>
    <row r="66" spans="2:170" s="58" customFormat="1" x14ac:dyDescent="0.15">
      <c r="B66" s="58" t="s">
        <v>56</v>
      </c>
      <c r="C66" s="59"/>
      <c r="D66" s="59"/>
      <c r="E66" s="59"/>
      <c r="F66" s="59">
        <f t="shared" ref="F66:O66" si="170">F65/F67</f>
        <v>0.29554535438854207</v>
      </c>
      <c r="G66" s="59">
        <f t="shared" si="170"/>
        <v>0.22023565992962923</v>
      </c>
      <c r="H66" s="59">
        <f t="shared" si="170"/>
        <v>0.20724770642201859</v>
      </c>
      <c r="I66" s="59">
        <f t="shared" si="170"/>
        <v>0.32761992056217532</v>
      </c>
      <c r="J66" s="59">
        <f t="shared" si="170"/>
        <v>0.40905349794238721</v>
      </c>
      <c r="K66" s="59">
        <f t="shared" si="170"/>
        <v>0.31941122355105822</v>
      </c>
      <c r="L66" s="59">
        <f t="shared" si="170"/>
        <v>0.34736939095181057</v>
      </c>
      <c r="M66" s="59">
        <f t="shared" si="170"/>
        <v>0.43905995147329013</v>
      </c>
      <c r="N66" s="59">
        <f t="shared" si="170"/>
        <v>1.9411494109340131</v>
      </c>
      <c r="O66" s="59">
        <f t="shared" si="170"/>
        <v>0.84706650921799576</v>
      </c>
      <c r="P66" s="59">
        <f t="shared" ref="P66:V66" si="171">P65/P67</f>
        <v>0.50877207469820052</v>
      </c>
      <c r="Q66" s="59">
        <f t="shared" si="171"/>
        <v>2.117813888471034</v>
      </c>
      <c r="R66" s="59">
        <f t="shared" si="171"/>
        <v>2.3042440483381479</v>
      </c>
      <c r="S66" s="59">
        <f t="shared" si="171"/>
        <v>2.4963987218204564</v>
      </c>
      <c r="T66" s="59">
        <f t="shared" si="171"/>
        <v>2.4096936275406082</v>
      </c>
      <c r="U66" s="59">
        <f t="shared" si="171"/>
        <v>2.4881693125175399</v>
      </c>
      <c r="V66" s="59">
        <f t="shared" si="171"/>
        <v>1.1054354299305693</v>
      </c>
      <c r="W66" s="59">
        <f t="shared" ref="W66:AB66" si="172">W65/W67</f>
        <v>1.0552687795737732</v>
      </c>
      <c r="X66" s="59">
        <f t="shared" si="172"/>
        <v>0.95460042854031091</v>
      </c>
      <c r="Y66" s="59">
        <f t="shared" si="172"/>
        <v>1.3588746375286636</v>
      </c>
      <c r="Z66" s="59">
        <f t="shared" si="172"/>
        <v>0.90717029507547786</v>
      </c>
      <c r="AA66" s="59">
        <f t="shared" si="172"/>
        <v>1.1759950553105565</v>
      </c>
      <c r="AB66" s="59">
        <f t="shared" si="172"/>
        <v>1.2301063501137424</v>
      </c>
      <c r="AC66" s="59">
        <f>AC65/AC67</f>
        <v>1.2130858000104956</v>
      </c>
      <c r="AD66" s="59">
        <f>AD65/AD67</f>
        <v>1.1256930791689996</v>
      </c>
      <c r="AE66" s="59">
        <f>+AE65/AE67</f>
        <v>1.236420863309353</v>
      </c>
      <c r="AF66" s="59">
        <f t="shared" ref="AF66:AL66" si="173">AF65/AF67</f>
        <v>1.1491789109766626</v>
      </c>
      <c r="AG66" s="59">
        <f t="shared" si="173"/>
        <v>1.125833938596263</v>
      </c>
      <c r="AH66" s="59">
        <f t="shared" si="173"/>
        <v>0.86959641255605435</v>
      </c>
      <c r="AI66" s="59">
        <f t="shared" si="173"/>
        <v>0.91970961062075252</v>
      </c>
      <c r="AJ66" s="59">
        <f t="shared" si="173"/>
        <v>0.82593917710196696</v>
      </c>
      <c r="AK66" s="59">
        <f t="shared" si="173"/>
        <v>0.79266479166089832</v>
      </c>
      <c r="AL66" s="59">
        <f t="shared" si="173"/>
        <v>0.56017955755460913</v>
      </c>
      <c r="AM66" s="59">
        <f t="shared" ref="AM66" si="174">AM65/AM67</f>
        <v>0.91693676812478231</v>
      </c>
      <c r="AN66" s="59">
        <f t="shared" ref="AN66:BG66" si="175">AN65/AN67</f>
        <v>1.1124988694117184</v>
      </c>
      <c r="AO66" s="59">
        <f t="shared" si="175"/>
        <v>1.4372235380638747</v>
      </c>
      <c r="AP66" s="59">
        <f t="shared" si="175"/>
        <v>1.4099780718468209</v>
      </c>
      <c r="AQ66" s="59">
        <f t="shared" si="175"/>
        <v>1.481723622958024</v>
      </c>
      <c r="AR66" s="59">
        <f t="shared" si="175"/>
        <v>1.5701212991368967</v>
      </c>
      <c r="AS66" s="59">
        <f t="shared" si="175"/>
        <v>1.3486809603794077</v>
      </c>
      <c r="AT66" s="59">
        <f t="shared" si="175"/>
        <v>1.2773432314084667</v>
      </c>
      <c r="AU66" s="59">
        <f t="shared" si="175"/>
        <v>2.0739849505419174</v>
      </c>
      <c r="AV66" s="59">
        <f t="shared" si="175"/>
        <v>1.9481587023235432</v>
      </c>
      <c r="AW66" s="59">
        <f t="shared" si="175"/>
        <v>1.8654765461607379</v>
      </c>
      <c r="AX66" s="59">
        <f t="shared" si="175"/>
        <v>1.8595642497235774</v>
      </c>
      <c r="AY66" s="59">
        <f t="shared" si="175"/>
        <v>2.4266811792579883</v>
      </c>
      <c r="AZ66" s="59">
        <f t="shared" si="175"/>
        <v>2.8006398940864949</v>
      </c>
      <c r="BA66" s="59">
        <f t="shared" si="175"/>
        <v>1.8868363346401771</v>
      </c>
      <c r="BB66" s="59">
        <f t="shared" si="175"/>
        <v>2.0806850106319374</v>
      </c>
      <c r="BC66" s="59">
        <f t="shared" si="175"/>
        <v>2.2939945413731824</v>
      </c>
      <c r="BD66" s="59">
        <f t="shared" si="175"/>
        <v>2.2911215973081709</v>
      </c>
      <c r="BE66" s="59">
        <f t="shared" si="175"/>
        <v>2.293044759948363</v>
      </c>
      <c r="BF66" s="59">
        <f t="shared" si="175"/>
        <v>2.6477123653215537</v>
      </c>
      <c r="BG66" s="59">
        <f t="shared" si="175"/>
        <v>2.9577107572228178</v>
      </c>
      <c r="BH66" s="59"/>
      <c r="BI66" s="59"/>
      <c r="BK66" s="59">
        <f t="shared" ref="BK66:BP66" si="176">BK65/BK67</f>
        <v>2.842346471127406</v>
      </c>
      <c r="BL66" s="59">
        <f t="shared" si="176"/>
        <v>2.5456221198156683</v>
      </c>
      <c r="BM66" s="59">
        <f t="shared" si="176"/>
        <v>2.5920444033302497</v>
      </c>
      <c r="BN66" s="59">
        <f t="shared" si="176"/>
        <v>2.8218549127640036</v>
      </c>
      <c r="BO66" s="59">
        <f t="shared" si="176"/>
        <v>2.8752293577981654</v>
      </c>
      <c r="BP66" s="59">
        <f t="shared" si="176"/>
        <v>3.3973296500920793</v>
      </c>
      <c r="BQ66" s="59">
        <f>BQ65/BQ67</f>
        <v>4.6034064101817682</v>
      </c>
      <c r="BR66" s="59">
        <f>BR65/BR67</f>
        <v>8.4973446654406342</v>
      </c>
      <c r="BS66" s="59">
        <f>BS65/BS67</f>
        <v>4.275411286763509</v>
      </c>
      <c r="BT66" s="59">
        <f>BT65/BT67</f>
        <v>3.6749972635404955</v>
      </c>
      <c r="BU66" s="59">
        <f>BU65/BU67</f>
        <v>4.0179277124291426</v>
      </c>
      <c r="BV66" s="59">
        <f t="shared" ref="BV66:CA66" si="177">BV65/BV67</f>
        <v>3.0980730913345513</v>
      </c>
      <c r="BW66" s="59">
        <f t="shared" si="177"/>
        <v>-4.5675163183226726</v>
      </c>
      <c r="BX66" s="59">
        <f t="shared" si="177"/>
        <v>-3.6540130546581384</v>
      </c>
      <c r="BY66" s="59">
        <f t="shared" si="177"/>
        <v>0</v>
      </c>
      <c r="BZ66" s="59">
        <f t="shared" si="177"/>
        <v>0</v>
      </c>
      <c r="CA66" s="59">
        <f t="shared" si="177"/>
        <v>4.2278543339831955</v>
      </c>
      <c r="CB66" s="59">
        <f t="shared" ref="CB66:CN66" si="178">CB65/CB67</f>
        <v>5.5964832001021589</v>
      </c>
      <c r="CC66" s="59">
        <f t="shared" si="178"/>
        <v>6.1873453003364398</v>
      </c>
      <c r="CD66" s="59" t="e">
        <f t="shared" si="178"/>
        <v>#DIV/0!</v>
      </c>
      <c r="CE66" s="59">
        <f t="shared" si="178"/>
        <v>9.1486073635293117</v>
      </c>
      <c r="CF66" s="59">
        <f t="shared" si="178"/>
        <v>8.8906048923025409</v>
      </c>
      <c r="CG66" s="59">
        <f t="shared" si="178"/>
        <v>10.189589479800906</v>
      </c>
      <c r="CH66" s="59">
        <f t="shared" si="178"/>
        <v>15.657793012106826</v>
      </c>
      <c r="CI66" s="59">
        <f t="shared" si="178"/>
        <v>16.628390650580819</v>
      </c>
      <c r="CJ66" s="59">
        <f t="shared" si="178"/>
        <v>17.800819549779447</v>
      </c>
      <c r="CK66" s="59">
        <f t="shared" si="178"/>
        <v>18.454779867869838</v>
      </c>
      <c r="CL66" s="59">
        <f t="shared" si="178"/>
        <v>20.178122625276377</v>
      </c>
      <c r="CM66" s="59">
        <f t="shared" si="178"/>
        <v>21.45290819857485</v>
      </c>
      <c r="CN66" s="59">
        <f t="shared" si="178"/>
        <v>17.72242666778757</v>
      </c>
    </row>
    <row r="67" spans="2:170" x14ac:dyDescent="0.15">
      <c r="B67" t="s">
        <v>84</v>
      </c>
      <c r="C67" s="51"/>
      <c r="D67" s="51"/>
      <c r="E67" s="51"/>
      <c r="F67" s="51">
        <v>1089.2</v>
      </c>
      <c r="G67" s="51">
        <v>1089</v>
      </c>
      <c r="H67" s="51">
        <v>1090</v>
      </c>
      <c r="I67" s="51">
        <v>1091</v>
      </c>
      <c r="J67" s="51">
        <v>1093.5</v>
      </c>
      <c r="K67" s="51">
        <v>1087</v>
      </c>
      <c r="L67" s="51">
        <v>1085.3</v>
      </c>
      <c r="M67" s="51">
        <v>1086.412</v>
      </c>
      <c r="N67" s="51">
        <v>1089.097</v>
      </c>
      <c r="O67" s="51">
        <v>1089.8789999999999</v>
      </c>
      <c r="P67" s="51">
        <f>O67</f>
        <v>1089.8789999999999</v>
      </c>
      <c r="Q67" s="51">
        <v>1090.2280000000001</v>
      </c>
      <c r="R67" s="51">
        <v>1092.636</v>
      </c>
      <c r="S67" s="51">
        <v>1094.056</v>
      </c>
      <c r="T67" s="51">
        <v>1093.8320000000001</v>
      </c>
      <c r="U67" s="51">
        <v>1093.9770000000001</v>
      </c>
      <c r="V67" s="51">
        <v>1096.491</v>
      </c>
      <c r="W67" s="51">
        <v>1097.2560000000001</v>
      </c>
      <c r="X67" s="51">
        <v>1097.213</v>
      </c>
      <c r="Y67" s="51">
        <v>1097.673</v>
      </c>
      <c r="Z67" s="51">
        <v>1101.4469999999999</v>
      </c>
      <c r="AA67" s="51">
        <v>1103.4059999999999</v>
      </c>
      <c r="AB67" s="51">
        <v>1103.807</v>
      </c>
      <c r="AC67" s="51">
        <v>1105.1980000000001</v>
      </c>
      <c r="AD67" s="51">
        <v>1109.3610000000001</v>
      </c>
      <c r="AE67" s="51">
        <v>1112</v>
      </c>
      <c r="AF67" s="51">
        <v>1157</v>
      </c>
      <c r="AG67" s="51">
        <v>1113.8409999999999</v>
      </c>
      <c r="AH67" s="51">
        <v>1115</v>
      </c>
      <c r="AI67" s="51">
        <v>1116.9829999999999</v>
      </c>
      <c r="AJ67" s="51">
        <v>1118</v>
      </c>
      <c r="AK67" s="51">
        <v>1119.6410000000001</v>
      </c>
      <c r="AL67" s="51">
        <f>+AK67</f>
        <v>1119.6410000000001</v>
      </c>
      <c r="AM67" s="51">
        <f t="shared" ref="AM67" si="179">+AL67</f>
        <v>1119.6410000000001</v>
      </c>
      <c r="AN67" s="51">
        <v>984.00099999999998</v>
      </c>
      <c r="AO67" s="51">
        <v>924.63</v>
      </c>
      <c r="AP67" s="51">
        <v>918.45399999999995</v>
      </c>
      <c r="AQ67" s="51">
        <v>914.678</v>
      </c>
      <c r="AR67" s="51">
        <v>911.71299999999997</v>
      </c>
      <c r="AS67" s="51">
        <v>910.89</v>
      </c>
      <c r="AT67" s="51">
        <v>911.423</v>
      </c>
      <c r="AU67" s="51">
        <v>912.59100000000001</v>
      </c>
      <c r="AV67" s="51">
        <v>912.4</v>
      </c>
      <c r="AW67" s="51">
        <v>910.38400000000001</v>
      </c>
      <c r="AX67" s="51">
        <v>910.75099999999998</v>
      </c>
      <c r="AY67" s="51">
        <v>909.55499999999995</v>
      </c>
      <c r="AZ67" s="51">
        <v>906.4</v>
      </c>
      <c r="BA67" s="51">
        <v>902.94</v>
      </c>
      <c r="BB67" s="51">
        <f t="shared" ref="BB67:BG67" si="180">+BA67</f>
        <v>902.94</v>
      </c>
      <c r="BC67" s="51">
        <f t="shared" si="180"/>
        <v>902.94</v>
      </c>
      <c r="BD67" s="51">
        <f t="shared" si="180"/>
        <v>902.94</v>
      </c>
      <c r="BE67" s="51">
        <f t="shared" si="180"/>
        <v>902.94</v>
      </c>
      <c r="BF67" s="51">
        <f t="shared" si="180"/>
        <v>902.94</v>
      </c>
      <c r="BG67" s="51">
        <f t="shared" si="180"/>
        <v>902.94</v>
      </c>
      <c r="BH67" s="51"/>
      <c r="BI67" s="51"/>
      <c r="BK67" s="51">
        <v>1091</v>
      </c>
      <c r="BL67" s="51">
        <v>1085</v>
      </c>
      <c r="BM67" s="51">
        <v>1081</v>
      </c>
      <c r="BN67" s="51">
        <v>1089</v>
      </c>
      <c r="BO67" s="51">
        <v>1090</v>
      </c>
      <c r="BP67" s="51">
        <v>1086</v>
      </c>
      <c r="BQ67" s="51">
        <f>AVERAGE(O67:R67)</f>
        <v>1090.6554999999998</v>
      </c>
      <c r="BR67" s="51">
        <f>AVERAGE(S67:V67)</f>
        <v>1094.5889999999999</v>
      </c>
      <c r="BS67" s="51">
        <f>AVERAGE(W67:Z67)</f>
        <v>1098.39725</v>
      </c>
      <c r="BT67" s="51">
        <f>AVERAGE(AA67:AD67)</f>
        <v>1105.443</v>
      </c>
      <c r="BU67" s="51">
        <f>AVERAGE(AE67:AH67)</f>
        <v>1124.4602500000001</v>
      </c>
      <c r="BV67" s="51">
        <f>AVERAGE(AI67:AL67)</f>
        <v>1118.5662500000001</v>
      </c>
      <c r="BW67" s="51">
        <f t="shared" ref="BW67:BZ67" si="181">BV67</f>
        <v>1118.5662500000001</v>
      </c>
      <c r="BX67" s="51">
        <f t="shared" si="181"/>
        <v>1118.5662500000001</v>
      </c>
      <c r="BY67" s="51">
        <f t="shared" si="181"/>
        <v>1118.5662500000001</v>
      </c>
      <c r="BZ67" s="51">
        <f t="shared" si="181"/>
        <v>1118.5662500000001</v>
      </c>
      <c r="CA67" s="51">
        <v>1052.0229999999999</v>
      </c>
      <c r="CB67" s="51">
        <v>1033.6669999999999</v>
      </c>
      <c r="CC67" s="51">
        <v>935.68399999999997</v>
      </c>
      <c r="CD67" s="51"/>
      <c r="CE67" s="51">
        <f>AVERAGE(AV67:AY67)</f>
        <v>910.77249999999992</v>
      </c>
      <c r="CF67" s="49">
        <f>AVERAGE(AZ67:BC67)</f>
        <v>903.80500000000006</v>
      </c>
      <c r="CG67" s="49">
        <f>AVERAGE(BD67:BG67)</f>
        <v>902.94</v>
      </c>
      <c r="CH67" s="49">
        <f>+CG67</f>
        <v>902.94</v>
      </c>
      <c r="CI67" s="49">
        <f t="shared" ref="CI67:CN67" si="182">+CH67</f>
        <v>902.94</v>
      </c>
      <c r="CJ67" s="49">
        <f t="shared" si="182"/>
        <v>902.94</v>
      </c>
      <c r="CK67" s="49">
        <f t="shared" si="182"/>
        <v>902.94</v>
      </c>
      <c r="CL67" s="49">
        <f t="shared" si="182"/>
        <v>902.94</v>
      </c>
      <c r="CM67" s="49">
        <f t="shared" si="182"/>
        <v>902.94</v>
      </c>
      <c r="CN67" s="49">
        <f t="shared" si="182"/>
        <v>902.94</v>
      </c>
    </row>
    <row r="68" spans="2:170" x14ac:dyDescent="0.15">
      <c r="M68" s="51"/>
    </row>
    <row r="69" spans="2:170" s="55" customFormat="1" x14ac:dyDescent="0.15">
      <c r="B69" s="55" t="s">
        <v>360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>
        <f t="shared" ref="T69:AL69" si="183">T55/P55-1</f>
        <v>0.59843101721588976</v>
      </c>
      <c r="U69" s="61">
        <f t="shared" si="183"/>
        <v>0.15215364534775344</v>
      </c>
      <c r="V69" s="61">
        <f t="shared" si="183"/>
        <v>-0.21831165519000262</v>
      </c>
      <c r="W69" s="61">
        <f t="shared" si="183"/>
        <v>-0.21628376429876006</v>
      </c>
      <c r="X69" s="61">
        <f t="shared" si="183"/>
        <v>-0.23718952785858127</v>
      </c>
      <c r="Y69" s="61">
        <f t="shared" si="183"/>
        <v>-0.18168576851211593</v>
      </c>
      <c r="Z69" s="61">
        <f t="shared" si="183"/>
        <v>0.13885423663755869</v>
      </c>
      <c r="AA69" s="61">
        <f t="shared" si="183"/>
        <v>0.12136636820802149</v>
      </c>
      <c r="AB69" s="61">
        <f t="shared" si="183"/>
        <v>0.12422020142759349</v>
      </c>
      <c r="AC69" s="61">
        <f t="shared" si="183"/>
        <v>1.6684645810859378E-2</v>
      </c>
      <c r="AD69" s="61">
        <f t="shared" si="183"/>
        <v>4.2669362992922233E-2</v>
      </c>
      <c r="AE69" s="61">
        <f t="shared" si="183"/>
        <v>6.4479081214109835E-2</v>
      </c>
      <c r="AF69" s="61">
        <f t="shared" si="183"/>
        <v>8.768939064484127E-2</v>
      </c>
      <c r="AG69" s="61">
        <f t="shared" si="183"/>
        <v>8.7235622833698789E-2</v>
      </c>
      <c r="AH69" s="61">
        <f t="shared" si="183"/>
        <v>-2.2611197310576814E-2</v>
      </c>
      <c r="AI69" s="61">
        <f t="shared" si="183"/>
        <v>-4.0553500479517668E-2</v>
      </c>
      <c r="AJ69" s="61">
        <f t="shared" si="183"/>
        <v>-0.10432126407369491</v>
      </c>
      <c r="AK69" s="61">
        <f t="shared" si="183"/>
        <v>-0.11476716383923491</v>
      </c>
      <c r="AL69" s="61">
        <f t="shared" si="183"/>
        <v>-0.11180196120582742</v>
      </c>
      <c r="AM69" s="61">
        <f t="shared" ref="AM69" si="184">AM55/AI55-1</f>
        <v>-1.3601313722690356E-2</v>
      </c>
      <c r="AN69" s="61"/>
      <c r="AO69" s="61"/>
      <c r="AP69" s="61"/>
      <c r="AQ69" s="61"/>
      <c r="AR69" s="61">
        <f t="shared" ref="AR69:AZ69" si="185">AR55/AN55-1</f>
        <v>0.15076294652500866</v>
      </c>
      <c r="AS69" s="61">
        <f t="shared" si="185"/>
        <v>-2.4358223783419675E-2</v>
      </c>
      <c r="AT69" s="61">
        <f t="shared" si="185"/>
        <v>4.8166812737364673E-2</v>
      </c>
      <c r="AU69" s="61">
        <f t="shared" si="185"/>
        <v>0.21683594197209821</v>
      </c>
      <c r="AV69" s="61">
        <f t="shared" si="185"/>
        <v>0.16140482610328055</v>
      </c>
      <c r="AW69" s="61">
        <f t="shared" si="185"/>
        <v>0.22558824599047145</v>
      </c>
      <c r="AX69" s="61">
        <f t="shared" si="185"/>
        <v>0.17984182838030871</v>
      </c>
      <c r="AY69" s="61">
        <f>AY55/AU55-1</f>
        <v>7.5240924181126712E-2</v>
      </c>
      <c r="AZ69" s="61">
        <f t="shared" si="185"/>
        <v>0.14759903608792735</v>
      </c>
      <c r="BA69" s="61">
        <f t="shared" ref="BA69" si="186">BA55/AW55-1</f>
        <v>-3.7403560830859939E-2</v>
      </c>
      <c r="BB69" s="61">
        <f t="shared" ref="BB69" si="187">BB55/AX55-1</f>
        <v>4.4128894138497632E-3</v>
      </c>
      <c r="BC69" s="61">
        <f>BC55/AY55-1</f>
        <v>-7.3898509668870682E-2</v>
      </c>
      <c r="BD69" s="61">
        <f t="shared" ref="BD69" si="188">BD55/AZ55-1</f>
        <v>-0.11399926517426118</v>
      </c>
      <c r="BE69" s="61">
        <f t="shared" ref="BE69" si="189">BE55/BA55-1</f>
        <v>0.11356961729358694</v>
      </c>
      <c r="BF69" s="61">
        <f t="shared" ref="BF69" si="190">BF55/BB55-1</f>
        <v>0.10585221487181107</v>
      </c>
      <c r="BG69" s="61">
        <f t="shared" ref="BG69" si="191">BG55/BC55-1</f>
        <v>0.11377021502262719</v>
      </c>
      <c r="BH69" s="61"/>
      <c r="BI69" s="61"/>
      <c r="BJ69" s="61"/>
      <c r="BK69" s="60"/>
      <c r="BL69" s="60"/>
      <c r="BM69" s="60"/>
      <c r="BN69" s="60"/>
      <c r="BO69" s="62">
        <f t="shared" ref="BO69:CA69" si="192">BO55/BN55-1</f>
        <v>5.7074825023450515E-2</v>
      </c>
      <c r="BP69" s="62">
        <f t="shared" si="192"/>
        <v>7.7372013651876959E-2</v>
      </c>
      <c r="BQ69" s="62">
        <f t="shared" si="192"/>
        <v>0.17162226375645462</v>
      </c>
      <c r="BR69" s="62">
        <f t="shared" si="192"/>
        <v>6.0167880685474406E-2</v>
      </c>
      <c r="BS69" s="62">
        <f t="shared" si="192"/>
        <v>6.985394754409513E-2</v>
      </c>
      <c r="BT69" s="62">
        <f t="shared" si="192"/>
        <v>4.383313819191037E-2</v>
      </c>
      <c r="BU69" s="62">
        <f t="shared" si="192"/>
        <v>9.0596424558550881E-2</v>
      </c>
      <c r="BV69" s="62">
        <f t="shared" si="192"/>
        <v>-7.7927571375323024E-2</v>
      </c>
      <c r="BW69" s="62">
        <f t="shared" si="192"/>
        <v>-1.0816293160615165E-2</v>
      </c>
      <c r="BX69" s="62">
        <f t="shared" si="192"/>
        <v>-0.17066237597494249</v>
      </c>
      <c r="BY69" s="62">
        <f t="shared" si="192"/>
        <v>-0.64973215283974128</v>
      </c>
      <c r="BZ69" s="62">
        <f t="shared" si="192"/>
        <v>-1</v>
      </c>
      <c r="CA69" s="62" t="e">
        <f t="shared" si="192"/>
        <v>#DIV/0!</v>
      </c>
      <c r="CB69" s="62">
        <f t="shared" ref="CB69:CD69" si="193">CB55/CA55-1</f>
        <v>7.6038469818414667E-2</v>
      </c>
      <c r="CC69" s="62">
        <f t="shared" si="193"/>
        <v>3.8454559412643308E-2</v>
      </c>
      <c r="CD69" s="62">
        <f t="shared" si="193"/>
        <v>9.9487441418675937E-2</v>
      </c>
      <c r="CE69" s="62">
        <f t="shared" ref="CE69" si="194">CE55/CD55-1</f>
        <v>0.15397780757052804</v>
      </c>
      <c r="CF69" s="62">
        <f t="shared" ref="CF69:CN69" si="195">CF55/CE55-1</f>
        <v>6.7485146635593019E-3</v>
      </c>
      <c r="CG69" s="62">
        <f t="shared" si="195"/>
        <v>4.9438598834740333E-2</v>
      </c>
      <c r="CH69" s="62">
        <f t="shared" si="195"/>
        <v>9.2821173342604979E-2</v>
      </c>
      <c r="CI69" s="62">
        <f t="shared" si="195"/>
        <v>5.4038933604858341E-2</v>
      </c>
      <c r="CJ69" s="62">
        <f t="shared" si="195"/>
        <v>6.3038311064639307E-2</v>
      </c>
      <c r="CK69" s="62">
        <f t="shared" si="195"/>
        <v>2.9185254270163163E-2</v>
      </c>
      <c r="CL69" s="62">
        <f t="shared" si="195"/>
        <v>8.7348092225432383E-2</v>
      </c>
      <c r="CM69" s="62">
        <f t="shared" si="195"/>
        <v>5.6760458117662393E-2</v>
      </c>
      <c r="CN69" s="62">
        <f t="shared" si="195"/>
        <v>-0.18824888869222667</v>
      </c>
    </row>
    <row r="70" spans="2:170" s="38" customFormat="1" x14ac:dyDescent="0.15">
      <c r="B70" s="38" t="s">
        <v>358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>
        <f t="shared" ref="AR70:BG70" si="196">+AR3/AN3-1</f>
        <v>0.39752188245992959</v>
      </c>
      <c r="AS70" s="66">
        <f t="shared" si="196"/>
        <v>0.19572192513368969</v>
      </c>
      <c r="AT70" s="66">
        <f t="shared" si="196"/>
        <v>9.4018783984181731E-2</v>
      </c>
      <c r="AU70" s="66">
        <f t="shared" si="196"/>
        <v>0.24360566178296517</v>
      </c>
      <c r="AV70" s="66">
        <f t="shared" si="196"/>
        <v>0.18138929559134542</v>
      </c>
      <c r="AW70" s="66">
        <f t="shared" si="196"/>
        <v>0.24865831842576025</v>
      </c>
      <c r="AX70" s="66">
        <f t="shared" si="196"/>
        <v>0.44596060003614668</v>
      </c>
      <c r="AY70" s="66">
        <f t="shared" si="196"/>
        <v>0.25379392971246006</v>
      </c>
      <c r="AZ70" s="66">
        <f t="shared" si="196"/>
        <v>0.19891214541448621</v>
      </c>
      <c r="BA70" s="66">
        <f t="shared" si="196"/>
        <v>0.24505079447772871</v>
      </c>
      <c r="BB70" s="66">
        <f t="shared" si="196"/>
        <v>0.19999999999999996</v>
      </c>
      <c r="BC70" s="66">
        <f t="shared" si="196"/>
        <v>0.19999999999999996</v>
      </c>
      <c r="BD70" s="66">
        <f t="shared" si="196"/>
        <v>0.14999999999999991</v>
      </c>
      <c r="BE70" s="66">
        <f t="shared" si="196"/>
        <v>0.14999999999999991</v>
      </c>
      <c r="BF70" s="66">
        <f t="shared" si="196"/>
        <v>0.15000000000000013</v>
      </c>
      <c r="BG70" s="66">
        <f t="shared" si="196"/>
        <v>0.14999999999999991</v>
      </c>
      <c r="BH70" s="66"/>
      <c r="BI70" s="66"/>
      <c r="BJ70" s="66"/>
      <c r="BK70" s="48"/>
      <c r="BL70" s="48"/>
      <c r="BM70" s="48"/>
      <c r="BN70" s="48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</row>
    <row r="71" spans="2:170" s="38" customFormat="1" x14ac:dyDescent="0.15">
      <c r="B71" s="38" t="s">
        <v>476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>
        <f t="shared" ref="AR71:BG73" si="197">+AR6/AN6-1</f>
        <v>0.75643564356435644</v>
      </c>
      <c r="AS71" s="66">
        <f t="shared" si="197"/>
        <v>0.11701526286037311</v>
      </c>
      <c r="AT71" s="66">
        <f t="shared" si="197"/>
        <v>0.33676470588235285</v>
      </c>
      <c r="AU71" s="66">
        <f t="shared" si="197"/>
        <v>0.17900499880980725</v>
      </c>
      <c r="AV71" s="66">
        <f t="shared" si="197"/>
        <v>-9.0868094701240132E-2</v>
      </c>
      <c r="AW71" s="66">
        <f t="shared" si="197"/>
        <v>0.44003036437246967</v>
      </c>
      <c r="AX71" s="66">
        <f t="shared" si="197"/>
        <v>0.304950495049505</v>
      </c>
      <c r="AY71" s="66">
        <f t="shared" si="197"/>
        <v>0.30708661417322825</v>
      </c>
      <c r="AZ71" s="66">
        <f t="shared" si="197"/>
        <v>0.21056547619047628</v>
      </c>
      <c r="BA71" s="66">
        <f t="shared" si="197"/>
        <v>6.519065190651907E-2</v>
      </c>
      <c r="BB71" s="66">
        <f t="shared" si="197"/>
        <v>0.19999999999999996</v>
      </c>
      <c r="BC71" s="66">
        <f t="shared" si="197"/>
        <v>0.19999999999999996</v>
      </c>
      <c r="BD71" s="66">
        <f t="shared" si="197"/>
        <v>0.19999999999999996</v>
      </c>
      <c r="BE71" s="66">
        <f t="shared" si="197"/>
        <v>0.19999999999999996</v>
      </c>
      <c r="BF71" s="66">
        <f t="shared" si="197"/>
        <v>0.19999999999999996</v>
      </c>
      <c r="BG71" s="66">
        <f t="shared" si="197"/>
        <v>0.19999999999999996</v>
      </c>
      <c r="BH71" s="66"/>
      <c r="BI71" s="66"/>
      <c r="BJ71" s="66"/>
      <c r="BK71" s="48"/>
      <c r="BL71" s="48"/>
      <c r="BM71" s="48"/>
      <c r="BN71" s="48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</row>
    <row r="72" spans="2:170" s="38" customFormat="1" x14ac:dyDescent="0.15">
      <c r="B72" s="38" t="s">
        <v>477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>
        <f t="shared" si="197"/>
        <v>0.71846435100548445</v>
      </c>
      <c r="AS72" s="66">
        <f t="shared" si="197"/>
        <v>0.55787901418969366</v>
      </c>
      <c r="AT72" s="66">
        <f t="shared" si="197"/>
        <v>0.49109414758269732</v>
      </c>
      <c r="AU72" s="66">
        <f t="shared" si="197"/>
        <v>0.57230597431602481</v>
      </c>
      <c r="AV72" s="66">
        <f t="shared" si="197"/>
        <v>0.43085106382978733</v>
      </c>
      <c r="AW72" s="66">
        <f t="shared" si="197"/>
        <v>0.63614573346116976</v>
      </c>
      <c r="AX72" s="66">
        <f t="shared" si="197"/>
        <v>0.43131399317406149</v>
      </c>
      <c r="AY72" s="66">
        <f t="shared" si="197"/>
        <v>0.43501420454545459</v>
      </c>
      <c r="AZ72" s="66">
        <f t="shared" si="197"/>
        <v>0.7449814126394052</v>
      </c>
      <c r="BA72" s="66">
        <f t="shared" si="197"/>
        <v>0.72428948139466742</v>
      </c>
      <c r="BB72" s="66">
        <f t="shared" si="197"/>
        <v>0.30000000000000004</v>
      </c>
      <c r="BC72" s="66">
        <f t="shared" si="197"/>
        <v>0.19999999999999996</v>
      </c>
      <c r="BD72" s="66">
        <f t="shared" si="197"/>
        <v>0.19999999999999996</v>
      </c>
      <c r="BE72" s="66">
        <f t="shared" si="197"/>
        <v>0.19999999999999996</v>
      </c>
      <c r="BF72" s="66">
        <f t="shared" si="197"/>
        <v>0.14999999999999991</v>
      </c>
      <c r="BG72" s="66">
        <f t="shared" si="197"/>
        <v>0.14999999999999991</v>
      </c>
      <c r="BH72" s="66"/>
      <c r="BI72" s="66"/>
      <c r="BJ72" s="66"/>
      <c r="BK72" s="48"/>
      <c r="BL72" s="48"/>
      <c r="BM72" s="48"/>
      <c r="BN72" s="48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</row>
    <row r="73" spans="2:170" s="38" customFormat="1" x14ac:dyDescent="0.15">
      <c r="B73" s="38" t="s">
        <v>478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>
        <f t="shared" si="197"/>
        <v>0.31385068762278978</v>
      </c>
      <c r="AS73" s="66">
        <f t="shared" si="197"/>
        <v>0.1297973264338077</v>
      </c>
      <c r="AT73" s="66">
        <f t="shared" si="197"/>
        <v>0.29123390112172842</v>
      </c>
      <c r="AU73" s="66">
        <f t="shared" si="197"/>
        <v>0.17014925373134338</v>
      </c>
      <c r="AV73" s="66">
        <f t="shared" si="197"/>
        <v>0.16635514018691588</v>
      </c>
      <c r="AW73" s="66">
        <f t="shared" si="197"/>
        <v>0.36068702290076327</v>
      </c>
      <c r="AX73" s="66">
        <f t="shared" si="197"/>
        <v>0.25611325611325597</v>
      </c>
      <c r="AY73" s="66">
        <f t="shared" si="197"/>
        <v>0.37723214285714279</v>
      </c>
      <c r="AZ73" s="66">
        <f t="shared" si="197"/>
        <v>0.34423076923076912</v>
      </c>
      <c r="BA73" s="66">
        <f t="shared" si="197"/>
        <v>0.29312762973352036</v>
      </c>
      <c r="BB73" s="66">
        <f t="shared" si="197"/>
        <v>0.19999999999999996</v>
      </c>
      <c r="BC73" s="66">
        <f t="shared" si="197"/>
        <v>0.19999999999999996</v>
      </c>
      <c r="BD73" s="66">
        <f t="shared" si="197"/>
        <v>0.19999999999999996</v>
      </c>
      <c r="BE73" s="66">
        <f t="shared" si="197"/>
        <v>0.19999999999999996</v>
      </c>
      <c r="BF73" s="66">
        <f t="shared" si="197"/>
        <v>0.19999999999999996</v>
      </c>
      <c r="BG73" s="66">
        <f t="shared" si="197"/>
        <v>0.19999999999999996</v>
      </c>
      <c r="BH73" s="66"/>
      <c r="BI73" s="66"/>
      <c r="BJ73" s="66"/>
      <c r="BK73" s="48"/>
      <c r="BL73" s="48"/>
      <c r="BM73" s="48"/>
      <c r="BN73" s="48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</row>
    <row r="74" spans="2:170" s="38" customFormat="1" x14ac:dyDescent="0.15">
      <c r="B74" s="38" t="s">
        <v>56</v>
      </c>
      <c r="C74" s="48"/>
      <c r="D74" s="48"/>
      <c r="E74" s="48"/>
      <c r="F74" s="48"/>
      <c r="G74" s="48"/>
      <c r="H74" s="48"/>
      <c r="I74" s="48"/>
      <c r="J74" s="48"/>
      <c r="K74" s="66">
        <f t="shared" ref="K74:AM74" si="198">K66/G66-1</f>
        <v>0.45031564667192425</v>
      </c>
      <c r="L74" s="66">
        <f t="shared" si="198"/>
        <v>0.67610728701847322</v>
      </c>
      <c r="M74" s="66">
        <f t="shared" si="198"/>
        <v>0.34015035080861589</v>
      </c>
      <c r="N74" s="66">
        <f t="shared" si="198"/>
        <v>3.7454658637521607</v>
      </c>
      <c r="O74" s="66">
        <f t="shared" si="198"/>
        <v>1.6519622566819141</v>
      </c>
      <c r="P74" s="66">
        <f t="shared" si="198"/>
        <v>0.46464279222800253</v>
      </c>
      <c r="Q74" s="66">
        <f t="shared" si="198"/>
        <v>3.8235187048251413</v>
      </c>
      <c r="R74" s="66">
        <f t="shared" si="198"/>
        <v>0.1870513600647703</v>
      </c>
      <c r="S74" s="66">
        <f t="shared" si="198"/>
        <v>1.9471106396652482</v>
      </c>
      <c r="T74" s="66">
        <f t="shared" si="198"/>
        <v>3.7362930227057349</v>
      </c>
      <c r="U74" s="66">
        <f t="shared" si="198"/>
        <v>0.17487628448498183</v>
      </c>
      <c r="V74" s="66">
        <f t="shared" si="198"/>
        <v>-0.52026113261404561</v>
      </c>
      <c r="W74" s="66">
        <f t="shared" si="198"/>
        <v>-0.57728356037442752</v>
      </c>
      <c r="X74" s="66">
        <f t="shared" si="198"/>
        <v>-0.60384987633693532</v>
      </c>
      <c r="Y74" s="66">
        <f t="shared" si="198"/>
        <v>-0.45386568723743781</v>
      </c>
      <c r="Z74" s="66">
        <f t="shared" si="198"/>
        <v>-0.17935478589422826</v>
      </c>
      <c r="AA74" s="66">
        <f t="shared" si="198"/>
        <v>0.1144033426114861</v>
      </c>
      <c r="AB74" s="66">
        <f t="shared" si="198"/>
        <v>0.28860862968049394</v>
      </c>
      <c r="AC74" s="66">
        <f t="shared" si="198"/>
        <v>-0.10728645122357194</v>
      </c>
      <c r="AD74" s="66">
        <f t="shared" si="198"/>
        <v>0.24088397214917667</v>
      </c>
      <c r="AE74" s="66">
        <f t="shared" si="198"/>
        <v>5.1382705842108578E-2</v>
      </c>
      <c r="AF74" s="66">
        <f t="shared" si="198"/>
        <v>-6.5788977619371525E-2</v>
      </c>
      <c r="AG74" s="66">
        <f t="shared" si="198"/>
        <v>-7.1925548393590666E-2</v>
      </c>
      <c r="AH74" s="66">
        <f t="shared" si="198"/>
        <v>-0.22750132460794636</v>
      </c>
      <c r="AI74" s="66">
        <f t="shared" si="198"/>
        <v>-0.25615165684029639</v>
      </c>
      <c r="AJ74" s="66">
        <f t="shared" si="198"/>
        <v>-0.28127885987742418</v>
      </c>
      <c r="AK74" s="66">
        <f t="shared" si="198"/>
        <v>-0.29593098547977148</v>
      </c>
      <c r="AL74" s="66">
        <f t="shared" si="198"/>
        <v>-0.35581661852992075</v>
      </c>
      <c r="AM74" s="66">
        <f t="shared" si="198"/>
        <v>-3.0149108631133403E-3</v>
      </c>
      <c r="AN74" s="66"/>
      <c r="AO74" s="66"/>
      <c r="AP74" s="66"/>
      <c r="AQ74" s="66"/>
      <c r="AR74" s="66">
        <f t="shared" ref="AR74:AY74" si="199">+AR66/AN66-1</f>
        <v>0.41134642228190832</v>
      </c>
      <c r="AS74" s="66">
        <f t="shared" si="199"/>
        <v>-6.1606684930686106E-2</v>
      </c>
      <c r="AT74" s="66">
        <f t="shared" si="199"/>
        <v>-9.406872566792901E-2</v>
      </c>
      <c r="AU74" s="66">
        <f t="shared" si="199"/>
        <v>0.39971106514556243</v>
      </c>
      <c r="AV74" s="66">
        <f t="shared" si="199"/>
        <v>0.24076955289661717</v>
      </c>
      <c r="AW74" s="66">
        <f t="shared" si="199"/>
        <v>0.38318594312768117</v>
      </c>
      <c r="AX74" s="66">
        <f t="shared" si="199"/>
        <v>0.45580624220564636</v>
      </c>
      <c r="AY74" s="66">
        <f t="shared" si="199"/>
        <v>0.17005727482444555</v>
      </c>
      <c r="AZ74" s="66">
        <f>+AZ66/AV66-1</f>
        <v>0.43758303199128945</v>
      </c>
      <c r="BA74" s="66">
        <f t="shared" ref="BA74:BG74" si="200">+BA66/AW66-1</f>
        <v>1.1450043970479884E-2</v>
      </c>
      <c r="BB74" s="66">
        <f t="shared" si="200"/>
        <v>0.1189099870796233</v>
      </c>
      <c r="BC74" s="66">
        <f t="shared" si="200"/>
        <v>-5.4678232566742757E-2</v>
      </c>
      <c r="BD74" s="66">
        <f t="shared" si="200"/>
        <v>-0.18192924333262683</v>
      </c>
      <c r="BE74" s="66">
        <f t="shared" si="200"/>
        <v>0.21528545844208069</v>
      </c>
      <c r="BF74" s="66">
        <f t="shared" si="200"/>
        <v>0.27251955571948927</v>
      </c>
      <c r="BG74" s="66">
        <f t="shared" si="200"/>
        <v>0.28932772239829996</v>
      </c>
      <c r="BH74" s="66"/>
      <c r="BI74" s="66"/>
      <c r="BJ74" s="66"/>
      <c r="BK74" s="48"/>
      <c r="BL74" s="67">
        <f t="shared" ref="BL74:CE74" si="201">BL66/BK66-1</f>
        <v>-0.10439415262209151</v>
      </c>
      <c r="BM74" s="67">
        <f t="shared" si="201"/>
        <v>1.8236125131542602E-2</v>
      </c>
      <c r="BN74" s="67">
        <f t="shared" si="201"/>
        <v>8.8659943146997877E-2</v>
      </c>
      <c r="BO74" s="67">
        <f t="shared" si="201"/>
        <v>1.8914666658705448E-2</v>
      </c>
      <c r="BP74" s="67">
        <f t="shared" si="201"/>
        <v>0.18158561537982321</v>
      </c>
      <c r="BQ74" s="67">
        <f t="shared" si="201"/>
        <v>0.355007280514271</v>
      </c>
      <c r="BR74" s="67">
        <f t="shared" si="201"/>
        <v>0.84588192053742906</v>
      </c>
      <c r="BS74" s="67">
        <f t="shared" si="201"/>
        <v>-0.49685325768272748</v>
      </c>
      <c r="BT74" s="67">
        <f t="shared" si="201"/>
        <v>-0.14043421391571609</v>
      </c>
      <c r="BU74" s="67">
        <f t="shared" si="201"/>
        <v>9.3314477344200064E-2</v>
      </c>
      <c r="BV74" s="67">
        <f t="shared" si="201"/>
        <v>-0.22893757352803867</v>
      </c>
      <c r="BW74" s="67">
        <f t="shared" si="201"/>
        <v>-2.4743087666647439</v>
      </c>
      <c r="BX74" s="67">
        <f t="shared" si="201"/>
        <v>-0.19999999999999996</v>
      </c>
      <c r="BY74" s="67">
        <f t="shared" si="201"/>
        <v>-1</v>
      </c>
      <c r="BZ74" s="67" t="e">
        <f t="shared" si="201"/>
        <v>#DIV/0!</v>
      </c>
      <c r="CA74" s="67" t="e">
        <f t="shared" si="201"/>
        <v>#DIV/0!</v>
      </c>
      <c r="CB74" s="67">
        <f t="shared" si="201"/>
        <v>0.32371712883247206</v>
      </c>
      <c r="CC74" s="67">
        <f t="shared" si="201"/>
        <v>0.10557739192775473</v>
      </c>
      <c r="CD74" s="67" t="e">
        <f t="shared" si="201"/>
        <v>#DIV/0!</v>
      </c>
      <c r="CE74" s="67" t="e">
        <f t="shared" si="201"/>
        <v>#DIV/0!</v>
      </c>
    </row>
    <row r="75" spans="2:170" x14ac:dyDescent="0.15">
      <c r="CB75" s="47"/>
      <c r="CC75" s="47"/>
      <c r="CD75" s="47"/>
      <c r="CE75" s="47"/>
    </row>
    <row r="76" spans="2:170" x14ac:dyDescent="0.15">
      <c r="B76" t="s">
        <v>123</v>
      </c>
      <c r="F76" s="64">
        <f t="shared" ref="F76:R76" si="202">F57/F55</f>
        <v>0.72539324245965431</v>
      </c>
      <c r="G76" s="64">
        <f t="shared" si="202"/>
        <v>0.71365107340828793</v>
      </c>
      <c r="H76" s="64">
        <f t="shared" si="202"/>
        <v>0.72475991913065463</v>
      </c>
      <c r="I76" s="64">
        <f t="shared" si="202"/>
        <v>0.73272302052168059</v>
      </c>
      <c r="J76" s="64">
        <f t="shared" si="202"/>
        <v>0.74005151506381495</v>
      </c>
      <c r="K76" s="64">
        <f t="shared" si="202"/>
        <v>0.75013167270812031</v>
      </c>
      <c r="L76" s="64">
        <f t="shared" si="202"/>
        <v>0.74846625766871167</v>
      </c>
      <c r="M76" s="64">
        <f t="shared" si="202"/>
        <v>0.75506122118009567</v>
      </c>
      <c r="N76" s="64">
        <f t="shared" si="202"/>
        <v>0.81222054008379396</v>
      </c>
      <c r="O76" s="64">
        <f t="shared" si="202"/>
        <v>0.78222379603399439</v>
      </c>
      <c r="P76" s="64">
        <f t="shared" si="202"/>
        <v>0.76181506032714963</v>
      </c>
      <c r="Q76" s="64">
        <f t="shared" si="202"/>
        <v>0.82123302764734796</v>
      </c>
      <c r="R76" s="64">
        <f t="shared" si="202"/>
        <v>0.80905231258532484</v>
      </c>
      <c r="S76" s="64">
        <v>0.75800000000000001</v>
      </c>
      <c r="T76" s="64">
        <v>0.75800000000000001</v>
      </c>
      <c r="U76" s="64">
        <v>0.75800000000000001</v>
      </c>
      <c r="V76" s="64">
        <v>0.75800000000000001</v>
      </c>
      <c r="W76" s="64">
        <f t="shared" ref="W76:AM76" si="203">W57/W55</f>
        <v>0.83310846723087617</v>
      </c>
      <c r="X76" s="64">
        <f t="shared" si="203"/>
        <v>0.81472572601936055</v>
      </c>
      <c r="Y76" s="64">
        <f t="shared" si="203"/>
        <v>0.81087738223660555</v>
      </c>
      <c r="Z76" s="64">
        <f t="shared" si="203"/>
        <v>0.75879676440849342</v>
      </c>
      <c r="AA76" s="64">
        <f t="shared" si="203"/>
        <v>0.79536961079208823</v>
      </c>
      <c r="AB76" s="64">
        <f t="shared" si="203"/>
        <v>0.82189016647241986</v>
      </c>
      <c r="AC76" s="64">
        <f t="shared" si="203"/>
        <v>0.82535191341868852</v>
      </c>
      <c r="AD76" s="64">
        <f t="shared" si="203"/>
        <v>0.80084690974915962</v>
      </c>
      <c r="AE76" s="64">
        <f t="shared" si="203"/>
        <v>0.79790039731470075</v>
      </c>
      <c r="AF76" s="64">
        <f t="shared" si="203"/>
        <v>0.80360798362333674</v>
      </c>
      <c r="AG76" s="64">
        <f t="shared" si="203"/>
        <v>0.78235552447097467</v>
      </c>
      <c r="AH76" s="64">
        <f t="shared" si="203"/>
        <v>0.78143965075322874</v>
      </c>
      <c r="AI76" s="64">
        <f t="shared" si="203"/>
        <v>0.78618092246180205</v>
      </c>
      <c r="AJ76" s="64">
        <f t="shared" si="203"/>
        <v>0.79525042406927948</v>
      </c>
      <c r="AK76" s="64">
        <f t="shared" si="203"/>
        <v>0.77885163068442809</v>
      </c>
      <c r="AL76" s="64">
        <f t="shared" si="203"/>
        <v>0.75392835865355978</v>
      </c>
      <c r="AM76" s="64">
        <f t="shared" si="203"/>
        <v>0.78323260106402215</v>
      </c>
      <c r="AN76" s="64">
        <f t="shared" ref="AN76" si="204">AN57/AN55</f>
        <v>0.80155535044480664</v>
      </c>
      <c r="AO76" s="64">
        <f t="shared" ref="AO76:AP76" si="205">AO57/AO55</f>
        <v>0.80958716979793144</v>
      </c>
      <c r="AP76" s="64">
        <f t="shared" si="205"/>
        <v>0.79579316389132326</v>
      </c>
      <c r="AQ76" s="64">
        <f t="shared" ref="AQ76:AR76" si="206">AQ57/AQ55</f>
        <v>0.79893037633089647</v>
      </c>
      <c r="AR76" s="64">
        <f t="shared" si="206"/>
        <v>0.80263831530086338</v>
      </c>
      <c r="AS76" s="64">
        <f t="shared" ref="AS76:AY76" si="207">AS57/AS55</f>
        <v>0.79648688947885227</v>
      </c>
      <c r="AT76" s="64">
        <f t="shared" si="207"/>
        <v>0.79098003692993768</v>
      </c>
      <c r="AU76" s="64">
        <f t="shared" si="207"/>
        <v>0.76884719291407366</v>
      </c>
      <c r="AV76" s="64">
        <f t="shared" si="207"/>
        <v>0.75440813447748922</v>
      </c>
      <c r="AW76" s="64">
        <f t="shared" si="207"/>
        <v>0.7925816023738872</v>
      </c>
      <c r="AX76" s="64">
        <f t="shared" si="207"/>
        <v>0.79007825188247449</v>
      </c>
      <c r="AY76" s="64">
        <f>AY57/AY55</f>
        <v>0.74372179652245651</v>
      </c>
      <c r="AZ76" s="64">
        <f>AZ57/AZ55</f>
        <v>0.76088654434642322</v>
      </c>
      <c r="BA76" s="64">
        <f t="shared" ref="BA76:BG76" si="208">BA57/BA55</f>
        <v>0.79820897362783039</v>
      </c>
      <c r="BB76" s="64">
        <f t="shared" si="208"/>
        <v>0.79</v>
      </c>
      <c r="BC76" s="64">
        <f t="shared" si="208"/>
        <v>0.79</v>
      </c>
      <c r="BD76" s="64">
        <f t="shared" si="208"/>
        <v>0.79000000000000015</v>
      </c>
      <c r="BE76" s="64">
        <f t="shared" si="208"/>
        <v>0.79</v>
      </c>
      <c r="BF76" s="64">
        <f t="shared" si="208"/>
        <v>0.79000000000000015</v>
      </c>
      <c r="BG76" s="64">
        <f t="shared" si="208"/>
        <v>0.79</v>
      </c>
      <c r="BH76" s="64"/>
      <c r="BI76" s="64"/>
      <c r="BO76" s="64">
        <f>BO57/BO55</f>
        <v>0.76286689419795217</v>
      </c>
      <c r="BP76" s="64">
        <f>BP57/BP55</f>
        <v>0.77818608040041815</v>
      </c>
      <c r="BQ76" s="64">
        <v>0.78</v>
      </c>
      <c r="BR76" s="64">
        <f>BR57/BR55</f>
        <v>1.0500260329761233</v>
      </c>
      <c r="BS76" s="64">
        <f>BS57/BS55</f>
        <v>0.82263518056731488</v>
      </c>
      <c r="BT76" s="64">
        <f>BT57/BT55</f>
        <v>0.80057367839296967</v>
      </c>
      <c r="BU76" s="64">
        <f>BU57/BU55</f>
        <v>0.78775238406352488</v>
      </c>
      <c r="BV76" s="64">
        <f>BV57/BV55</f>
        <v>0.77880780865347043</v>
      </c>
      <c r="BW76" s="64"/>
      <c r="BX76" s="64"/>
      <c r="BY76" s="64"/>
      <c r="BZ76" s="64"/>
      <c r="CA76" s="64"/>
      <c r="CB76" s="64"/>
      <c r="CC76" s="64"/>
      <c r="CD76" s="64">
        <f t="shared" ref="CD76:CN76" si="209">CD57/CD55</f>
        <v>0.78828764583392763</v>
      </c>
      <c r="CE76" s="64">
        <f t="shared" si="209"/>
        <v>0.7690061267369388</v>
      </c>
      <c r="CF76" s="64">
        <f t="shared" si="209"/>
        <v>0.78389258522442196</v>
      </c>
      <c r="CG76" s="64">
        <f t="shared" si="209"/>
        <v>0.79</v>
      </c>
      <c r="CH76" s="64">
        <f>CH57/CH55</f>
        <v>0.79</v>
      </c>
      <c r="CI76" s="64">
        <f t="shared" si="209"/>
        <v>0.79</v>
      </c>
      <c r="CJ76" s="64">
        <f t="shared" si="209"/>
        <v>0.79</v>
      </c>
      <c r="CK76" s="64">
        <f t="shared" si="209"/>
        <v>0.79</v>
      </c>
      <c r="CL76" s="64">
        <f t="shared" si="209"/>
        <v>0.79</v>
      </c>
      <c r="CM76" s="64">
        <f t="shared" si="209"/>
        <v>0.79000000000000015</v>
      </c>
      <c r="CN76" s="64">
        <f t="shared" si="209"/>
        <v>0.79</v>
      </c>
    </row>
    <row r="77" spans="2:170" x14ac:dyDescent="0.15">
      <c r="B77" t="s">
        <v>59</v>
      </c>
      <c r="F77" s="64">
        <f t="shared" ref="F77:AM77" si="210">F58/F55</f>
        <v>0.34829412011008376</v>
      </c>
      <c r="G77" s="64">
        <f t="shared" si="210"/>
        <v>0.36335311988936692</v>
      </c>
      <c r="H77" s="64">
        <f t="shared" si="210"/>
        <v>0.36204826889057362</v>
      </c>
      <c r="I77" s="64">
        <f t="shared" si="210"/>
        <v>0.33844970713412842</v>
      </c>
      <c r="J77" s="64">
        <f t="shared" si="210"/>
        <v>0.3443984603362949</v>
      </c>
      <c r="K77" s="64">
        <f t="shared" si="210"/>
        <v>0.35412213030950829</v>
      </c>
      <c r="L77" s="64">
        <f t="shared" si="210"/>
        <v>0.36167104878761319</v>
      </c>
      <c r="M77" s="64">
        <f t="shared" si="210"/>
        <v>0.35200151363624077</v>
      </c>
      <c r="N77" s="64">
        <f t="shared" si="210"/>
        <v>0.25034327359785935</v>
      </c>
      <c r="O77" s="64">
        <f t="shared" si="210"/>
        <v>0.31558073654390933</v>
      </c>
      <c r="P77" s="64">
        <f t="shared" si="210"/>
        <v>0.36356049406266394</v>
      </c>
      <c r="Q77" s="64">
        <f t="shared" si="210"/>
        <v>0.25050429711999733</v>
      </c>
      <c r="R77" s="64">
        <f t="shared" si="210"/>
        <v>0.26340819418815725</v>
      </c>
      <c r="S77" s="64">
        <f t="shared" si="210"/>
        <v>0.24840590855202022</v>
      </c>
      <c r="T77" s="64">
        <f t="shared" si="210"/>
        <v>0.25361378384426048</v>
      </c>
      <c r="U77" s="64">
        <f t="shared" si="210"/>
        <v>0.24264002707116478</v>
      </c>
      <c r="V77" s="64">
        <f t="shared" si="210"/>
        <v>0.32983398906055078</v>
      </c>
      <c r="W77" s="64">
        <f t="shared" si="210"/>
        <v>0.31260476716137209</v>
      </c>
      <c r="X77" s="64">
        <f t="shared" si="210"/>
        <v>0.33405690818421824</v>
      </c>
      <c r="Y77" s="64">
        <f t="shared" si="210"/>
        <v>0.30596907587198846</v>
      </c>
      <c r="Z77" s="64">
        <f t="shared" si="210"/>
        <v>0.32917087967644082</v>
      </c>
      <c r="AA77" s="64">
        <f t="shared" si="210"/>
        <v>0.29430316288396685</v>
      </c>
      <c r="AB77" s="64">
        <f t="shared" si="210"/>
        <v>0.3053559935289718</v>
      </c>
      <c r="AC77" s="64">
        <f t="shared" si="210"/>
        <v>0.2997276649925727</v>
      </c>
      <c r="AD77" s="64">
        <f t="shared" si="210"/>
        <v>0.32142164468580292</v>
      </c>
      <c r="AE77" s="64">
        <f t="shared" si="210"/>
        <v>0.30581244006028224</v>
      </c>
      <c r="AF77" s="64">
        <f t="shared" si="210"/>
        <v>0.32673362333674522</v>
      </c>
      <c r="AG77" s="64">
        <f t="shared" si="210"/>
        <v>0.31193376815601565</v>
      </c>
      <c r="AH77" s="64">
        <f t="shared" si="210"/>
        <v>0.35278554065450696</v>
      </c>
      <c r="AI77" s="64">
        <f t="shared" si="210"/>
        <v>0.32976938454947874</v>
      </c>
      <c r="AJ77" s="64">
        <f t="shared" si="210"/>
        <v>0.34480849924113921</v>
      </c>
      <c r="AK77" s="64">
        <f t="shared" si="210"/>
        <v>0.32290307762976572</v>
      </c>
      <c r="AL77" s="64">
        <f t="shared" si="210"/>
        <v>0.35995680667262442</v>
      </c>
      <c r="AM77" s="64">
        <f t="shared" si="210"/>
        <v>0.33431652853678839</v>
      </c>
      <c r="AN77" s="64">
        <f t="shared" ref="AN77" si="211">AN58/AN55</f>
        <v>0.29793209088588202</v>
      </c>
      <c r="AO77" s="64">
        <f t="shared" ref="AO77:AP77" si="212">AO58/AO55</f>
        <v>0.28142352795075126</v>
      </c>
      <c r="AP77" s="64">
        <f t="shared" si="212"/>
        <v>0.25786955886649138</v>
      </c>
      <c r="AQ77" s="64">
        <f t="shared" ref="AQ77:AR77" si="213">AQ58/AQ55</f>
        <v>0.27772598662152659</v>
      </c>
      <c r="AR77" s="64">
        <f t="shared" si="213"/>
        <v>0.26444588552510334</v>
      </c>
      <c r="AS77" s="64">
        <f t="shared" ref="AS77:AY77" si="214">AS58/AS55</f>
        <v>0.26341055387860496</v>
      </c>
      <c r="AT77" s="64">
        <f t="shared" si="214"/>
        <v>0.27333379786085082</v>
      </c>
      <c r="AU77" s="64">
        <f t="shared" si="214"/>
        <v>0.20885471969462779</v>
      </c>
      <c r="AV77" s="64">
        <f t="shared" si="214"/>
        <v>0.23157399788409544</v>
      </c>
      <c r="AW77" s="64">
        <f t="shared" si="214"/>
        <v>0.25010385756676567</v>
      </c>
      <c r="AX77" s="64">
        <f t="shared" si="214"/>
        <v>0.23296914218219408</v>
      </c>
      <c r="AY77" s="64">
        <f>AY58/AY55</f>
        <v>0.19900248753109415</v>
      </c>
      <c r="AZ77" s="64">
        <f>AZ58/AZ55</f>
        <v>0.1994724779452248</v>
      </c>
      <c r="BA77" s="64">
        <f t="shared" ref="BA77:BG77" si="215">BA58/BA55</f>
        <v>0.27464973257910874</v>
      </c>
      <c r="BB77" s="64">
        <f t="shared" si="215"/>
        <v>0.2319455919349552</v>
      </c>
      <c r="BC77" s="64">
        <f t="shared" si="215"/>
        <v>0.21488194286345488</v>
      </c>
      <c r="BD77" s="64">
        <f t="shared" si="215"/>
        <v>0.22513805023475247</v>
      </c>
      <c r="BE77" s="64">
        <f t="shared" si="215"/>
        <v>0.24663903209447818</v>
      </c>
      <c r="BF77" s="64">
        <f t="shared" si="215"/>
        <v>0.20974375130391362</v>
      </c>
      <c r="BG77" s="64">
        <f t="shared" si="215"/>
        <v>0.19293202490523539</v>
      </c>
      <c r="BH77" s="64"/>
      <c r="BI77" s="64"/>
      <c r="BK77" s="64">
        <f t="shared" ref="BK77:CD77" si="216">BK58/BK55</f>
        <v>0.29383437956832059</v>
      </c>
      <c r="BL77" s="64">
        <f t="shared" si="216"/>
        <v>0.30910896452107972</v>
      </c>
      <c r="BM77" s="64">
        <f t="shared" si="216"/>
        <v>0.32220897894318634</v>
      </c>
      <c r="BN77" s="64">
        <f t="shared" si="216"/>
        <v>0.30911321163143085</v>
      </c>
      <c r="BO77" s="64">
        <f t="shared" si="216"/>
        <v>0.30696245733788396</v>
      </c>
      <c r="BP77" s="64">
        <f t="shared" si="216"/>
        <v>0.30107390629454817</v>
      </c>
      <c r="BQ77" s="64">
        <f t="shared" si="216"/>
        <v>0.26468097532486495</v>
      </c>
      <c r="BR77" s="64">
        <f t="shared" si="216"/>
        <v>0.33758834028714957</v>
      </c>
      <c r="BS77" s="64">
        <f t="shared" si="216"/>
        <v>0.32861448926124026</v>
      </c>
      <c r="BT77" s="64">
        <f t="shared" si="216"/>
        <v>0.32216426568252204</v>
      </c>
      <c r="BU77" s="64">
        <f t="shared" si="216"/>
        <v>0.33001637538582668</v>
      </c>
      <c r="BV77" s="64">
        <f t="shared" si="216"/>
        <v>0.33926219307249983</v>
      </c>
      <c r="BW77" s="64">
        <f t="shared" si="216"/>
        <v>0.32582328357254975</v>
      </c>
      <c r="BX77" s="64">
        <f t="shared" si="216"/>
        <v>0.31429736130018421</v>
      </c>
      <c r="BY77" s="64">
        <f t="shared" si="216"/>
        <v>0</v>
      </c>
      <c r="BZ77" s="64" t="e">
        <f t="shared" si="216"/>
        <v>#DIV/0!</v>
      </c>
      <c r="CA77" s="64">
        <f t="shared" si="216"/>
        <v>0.29950786268217339</v>
      </c>
      <c r="CB77" s="64">
        <f t="shared" si="216"/>
        <v>0.27800343369205649</v>
      </c>
      <c r="CC77" s="64">
        <f t="shared" si="216"/>
        <v>0.2784035413138346</v>
      </c>
      <c r="CD77" s="64">
        <f t="shared" si="216"/>
        <v>0.24943866926923092</v>
      </c>
      <c r="CE77" s="64">
        <f>CE58/CE55</f>
        <v>0.22711654925225563</v>
      </c>
      <c r="CF77" s="64">
        <f t="shared" ref="CF77:CN77" si="217">CF58/CF55</f>
        <v>0.22833355137020972</v>
      </c>
      <c r="CG77" s="64">
        <f t="shared" si="217"/>
        <v>0.21757685644852712</v>
      </c>
      <c r="CH77" s="64">
        <f t="shared" si="217"/>
        <v>0.25</v>
      </c>
      <c r="CI77" s="64">
        <f t="shared" si="217"/>
        <v>0.25</v>
      </c>
      <c r="CJ77" s="64">
        <f t="shared" si="217"/>
        <v>0.25</v>
      </c>
      <c r="CK77" s="64">
        <f t="shared" si="217"/>
        <v>0.25</v>
      </c>
      <c r="CL77" s="64">
        <f t="shared" si="217"/>
        <v>0.25</v>
      </c>
      <c r="CM77" s="64">
        <f t="shared" si="217"/>
        <v>0.25</v>
      </c>
      <c r="CN77" s="64">
        <f t="shared" si="217"/>
        <v>0.25</v>
      </c>
    </row>
    <row r="78" spans="2:170" x14ac:dyDescent="0.15">
      <c r="B78" t="s">
        <v>60</v>
      </c>
      <c r="F78" s="64">
        <f t="shared" ref="F78:AM78" si="218">F59/F55</f>
        <v>0.22394867832214857</v>
      </c>
      <c r="G78" s="64">
        <f t="shared" si="218"/>
        <v>0.23401274326819779</v>
      </c>
      <c r="H78" s="64">
        <f t="shared" si="218"/>
        <v>0.24083901945918626</v>
      </c>
      <c r="I78" s="64">
        <f t="shared" si="218"/>
        <v>0.23734777295520629</v>
      </c>
      <c r="J78" s="64">
        <f t="shared" si="218"/>
        <v>0.23442248140537719</v>
      </c>
      <c r="K78" s="64">
        <f t="shared" si="218"/>
        <v>0.22957523933451063</v>
      </c>
      <c r="L78" s="64">
        <f t="shared" si="218"/>
        <v>0.22640958223780311</v>
      </c>
      <c r="M78" s="64">
        <f t="shared" si="218"/>
        <v>0.21320647620077304</v>
      </c>
      <c r="N78" s="64">
        <f t="shared" si="218"/>
        <v>0.15667359081787136</v>
      </c>
      <c r="O78" s="64">
        <f t="shared" si="218"/>
        <v>0.19693106704438151</v>
      </c>
      <c r="P78" s="64">
        <f t="shared" si="218"/>
        <v>0.20372931470265629</v>
      </c>
      <c r="Q78" s="64">
        <f t="shared" si="218"/>
        <v>0.14315257742444021</v>
      </c>
      <c r="R78" s="64">
        <f t="shared" si="218"/>
        <v>0.14306074380785214</v>
      </c>
      <c r="S78" s="64">
        <f t="shared" si="218"/>
        <v>0.14052036271588322</v>
      </c>
      <c r="T78" s="64">
        <f t="shared" si="218"/>
        <v>0.14194077720593723</v>
      </c>
      <c r="U78" s="64">
        <f t="shared" si="218"/>
        <v>0.14021097853433181</v>
      </c>
      <c r="V78" s="64">
        <f t="shared" si="218"/>
        <v>0.19884847903272238</v>
      </c>
      <c r="W78" s="64">
        <f t="shared" si="218"/>
        <v>0.19365059896152745</v>
      </c>
      <c r="X78" s="64">
        <f t="shared" si="218"/>
        <v>0.20346142563801703</v>
      </c>
      <c r="Y78" s="64">
        <f t="shared" si="218"/>
        <v>0.20174397698669541</v>
      </c>
      <c r="Z78" s="64">
        <f t="shared" si="218"/>
        <v>0.2050387596899225</v>
      </c>
      <c r="AA78" s="64">
        <f t="shared" si="218"/>
        <v>0.1894266703126424</v>
      </c>
      <c r="AB78" s="64">
        <f t="shared" si="218"/>
        <v>0.20651625584914851</v>
      </c>
      <c r="AC78" s="64">
        <f t="shared" si="218"/>
        <v>0.2157105467921058</v>
      </c>
      <c r="AD78" s="64">
        <f t="shared" si="218"/>
        <v>0.23243147142487713</v>
      </c>
      <c r="AE78" s="64">
        <f t="shared" si="218"/>
        <v>0.19249212220852172</v>
      </c>
      <c r="AF78" s="64">
        <f t="shared" si="218"/>
        <v>0.20160568065506657</v>
      </c>
      <c r="AG78" s="64">
        <f t="shared" si="218"/>
        <v>0.20834078821099203</v>
      </c>
      <c r="AH78" s="64">
        <f t="shared" si="218"/>
        <v>0.22411654788087243</v>
      </c>
      <c r="AI78" s="64">
        <f t="shared" si="218"/>
        <v>0.20553691275167782</v>
      </c>
      <c r="AJ78" s="64">
        <f t="shared" si="218"/>
        <v>0.23581823051513262</v>
      </c>
      <c r="AK78" s="64">
        <f t="shared" si="218"/>
        <v>0.24672485071198896</v>
      </c>
      <c r="AL78" s="64">
        <f t="shared" si="218"/>
        <v>0.24301831992850759</v>
      </c>
      <c r="AM78" s="64">
        <f t="shared" si="218"/>
        <v>0.20837103253591982</v>
      </c>
      <c r="AN78" s="64">
        <f t="shared" ref="AN78" si="219">AN59/AN55</f>
        <v>0.24164882857760059</v>
      </c>
      <c r="AO78" s="64">
        <f t="shared" ref="AO78:AP78" si="220">AO59/AO55</f>
        <v>0.24876257384639947</v>
      </c>
      <c r="AP78" s="64">
        <f t="shared" si="220"/>
        <v>0.25213628396143734</v>
      </c>
      <c r="AQ78" s="64">
        <f t="shared" ref="AQ78:AR78" si="221">AQ59/AQ55</f>
        <v>0.25863958261779768</v>
      </c>
      <c r="AR78" s="64">
        <f t="shared" si="221"/>
        <v>0.23756783507969564</v>
      </c>
      <c r="AS78" s="64">
        <f t="shared" ref="AS78:AY78" si="222">AS59/AS55</f>
        <v>0.25279121358693685</v>
      </c>
      <c r="AT78" s="64">
        <f t="shared" si="222"/>
        <v>0.25526948402606009</v>
      </c>
      <c r="AU78" s="64">
        <f t="shared" si="222"/>
        <v>0.24703969032674294</v>
      </c>
      <c r="AV78" s="64">
        <f t="shared" si="222"/>
        <v>0.24569472199365225</v>
      </c>
      <c r="AW78" s="64">
        <f t="shared" si="222"/>
        <v>0.24818991097922857</v>
      </c>
      <c r="AX78" s="64">
        <f t="shared" si="222"/>
        <v>0.25231064520891783</v>
      </c>
      <c r="AY78" s="64">
        <f>AY59/AY55</f>
        <v>0.24492806160077002</v>
      </c>
      <c r="AZ78" s="64">
        <f>AZ59/AZ55</f>
        <v>0.20615613116349343</v>
      </c>
      <c r="BA78" s="64">
        <f t="shared" ref="BA78:BG78" si="223">BA59/BA55</f>
        <v>0.25048166587031234</v>
      </c>
      <c r="BB78" s="64">
        <f t="shared" si="223"/>
        <v>0.25120211804147596</v>
      </c>
      <c r="BC78" s="64">
        <f t="shared" si="223"/>
        <v>0.26447216007955621</v>
      </c>
      <c r="BD78" s="64">
        <f t="shared" si="223"/>
        <v>0.23268167063545472</v>
      </c>
      <c r="BE78" s="64">
        <f t="shared" si="223"/>
        <v>0.22493579384743051</v>
      </c>
      <c r="BF78" s="64">
        <f t="shared" si="223"/>
        <v>0.22715704201993661</v>
      </c>
      <c r="BG78" s="64">
        <f t="shared" si="223"/>
        <v>0.23745666432117982</v>
      </c>
      <c r="BH78" s="64"/>
      <c r="BI78" s="64"/>
      <c r="CB78" s="53"/>
      <c r="CC78" s="53"/>
    </row>
    <row r="79" spans="2:170" x14ac:dyDescent="0.15">
      <c r="B79" t="s">
        <v>206</v>
      </c>
      <c r="F79" s="64">
        <f t="shared" ref="F79:R79" si="224">F64/F63</f>
        <v>0.41673612268711452</v>
      </c>
      <c r="G79" s="64">
        <f t="shared" si="224"/>
        <v>0.46445508108287376</v>
      </c>
      <c r="H79" s="64">
        <f t="shared" si="224"/>
        <v>0.47611317254174368</v>
      </c>
      <c r="I79" s="64">
        <f t="shared" si="224"/>
        <v>0.38536054109824602</v>
      </c>
      <c r="J79" s="64">
        <f t="shared" si="224"/>
        <v>0.30359645025688908</v>
      </c>
      <c r="K79" s="64">
        <f t="shared" si="224"/>
        <v>0.3900210822206604</v>
      </c>
      <c r="L79" s="64">
        <f t="shared" si="224"/>
        <v>0.3674496644295302</v>
      </c>
      <c r="M79" s="64">
        <f t="shared" si="224"/>
        <v>0.31622706422018343</v>
      </c>
      <c r="N79" s="64">
        <f t="shared" si="224"/>
        <v>9.6808646985944338E-2</v>
      </c>
      <c r="O79" s="64">
        <f t="shared" si="224"/>
        <v>0.21815718157181574</v>
      </c>
      <c r="P79" s="64">
        <f t="shared" si="224"/>
        <v>0.32179549902152643</v>
      </c>
      <c r="Q79" s="64">
        <f t="shared" si="224"/>
        <v>0.10236373532384734</v>
      </c>
      <c r="R79" s="64">
        <f t="shared" si="224"/>
        <v>7.2875239357784644E-2</v>
      </c>
      <c r="S79" s="64">
        <v>0.22</v>
      </c>
      <c r="T79" s="64">
        <v>0.22</v>
      </c>
      <c r="U79" s="64">
        <v>0.22</v>
      </c>
      <c r="V79" s="64">
        <v>0.22</v>
      </c>
      <c r="W79" s="64">
        <f t="shared" ref="W79:AM79" si="225">W64/W63</f>
        <v>0.24231121580944903</v>
      </c>
      <c r="X79" s="64">
        <f t="shared" si="225"/>
        <v>0.24831347782402755</v>
      </c>
      <c r="Y79" s="64">
        <f t="shared" si="225"/>
        <v>7.8861236336688664E-2</v>
      </c>
      <c r="Z79" s="64">
        <f t="shared" si="225"/>
        <v>0.21005613091944028</v>
      </c>
      <c r="AA79" s="64">
        <f t="shared" si="225"/>
        <v>0.27264573991031388</v>
      </c>
      <c r="AB79" s="64">
        <f t="shared" si="225"/>
        <v>0.22206943966998971</v>
      </c>
      <c r="AC79" s="64">
        <f t="shared" si="225"/>
        <v>0.21555204493593119</v>
      </c>
      <c r="AD79" s="64">
        <f t="shared" si="225"/>
        <v>0.16120365394948946</v>
      </c>
      <c r="AE79" s="64">
        <f t="shared" si="225"/>
        <v>0.20900931998619257</v>
      </c>
      <c r="AF79" s="64">
        <f t="shared" si="225"/>
        <v>0.20076941572493406</v>
      </c>
      <c r="AG79" s="64">
        <f t="shared" si="225"/>
        <v>0.17926565874730019</v>
      </c>
      <c r="AH79" s="64">
        <f t="shared" si="225"/>
        <v>0.19874390546235837</v>
      </c>
      <c r="AI79" s="64">
        <f t="shared" si="225"/>
        <v>0.24435454211107024</v>
      </c>
      <c r="AJ79" s="64">
        <f t="shared" si="225"/>
        <v>0.22108814846056535</v>
      </c>
      <c r="AK79" s="64">
        <f t="shared" si="225"/>
        <v>0.22108127084430404</v>
      </c>
      <c r="AL79" s="64">
        <f t="shared" si="225"/>
        <v>0.20000000000000004</v>
      </c>
      <c r="AM79" s="64">
        <f t="shared" si="225"/>
        <v>0.2</v>
      </c>
      <c r="AN79" s="64">
        <f t="shared" ref="AN79" si="226">AN64/AN63</f>
        <v>0.14349424927626941</v>
      </c>
      <c r="AO79" s="64">
        <f t="shared" ref="AO79:AP79" si="227">AO64/AO63</f>
        <v>0.10415262235405147</v>
      </c>
      <c r="AP79" s="64">
        <f t="shared" si="227"/>
        <v>0.12209341739543082</v>
      </c>
      <c r="AQ79" s="64">
        <f t="shared" ref="AQ79:AR79" si="228">AQ64/AQ63</f>
        <v>0.10993629736652002</v>
      </c>
      <c r="AR79" s="64">
        <f t="shared" si="228"/>
        <v>0.14963763811334227</v>
      </c>
      <c r="AS79" s="64">
        <f t="shared" ref="AS79:AY79" si="229">AS64/AS63</f>
        <v>0.15867689357622258</v>
      </c>
      <c r="AT79" s="64">
        <f t="shared" si="229"/>
        <v>0.18152418447694052</v>
      </c>
      <c r="AU79" s="64">
        <f t="shared" si="229"/>
        <v>0.15692650334075731</v>
      </c>
      <c r="AV79" s="64">
        <f t="shared" si="229"/>
        <v>7.4556151403134235E-2</v>
      </c>
      <c r="AW79" s="64">
        <f t="shared" si="229"/>
        <v>0.1070977917981074</v>
      </c>
      <c r="AX79" s="64">
        <f t="shared" si="229"/>
        <v>0.1475739883229315</v>
      </c>
      <c r="AY79" s="64">
        <f t="shared" si="229"/>
        <v>4.903059026281776E-2</v>
      </c>
      <c r="AZ79" s="64">
        <f>AZ64/AZ63</f>
        <v>9.7358034349109293E-2</v>
      </c>
      <c r="BA79" s="64">
        <f t="shared" ref="BA79:BG79" si="230">BA64/BA63</f>
        <v>9.9000475963826662E-2</v>
      </c>
      <c r="BB79" s="64">
        <f t="shared" si="230"/>
        <v>0.1</v>
      </c>
      <c r="BC79" s="64">
        <f t="shared" si="230"/>
        <v>0.1</v>
      </c>
      <c r="BD79" s="64">
        <f t="shared" si="230"/>
        <v>0.1</v>
      </c>
      <c r="BE79" s="64">
        <f t="shared" si="230"/>
        <v>0.1</v>
      </c>
      <c r="BF79" s="64">
        <f t="shared" si="230"/>
        <v>0.1</v>
      </c>
      <c r="BG79" s="64">
        <f t="shared" si="230"/>
        <v>0.1</v>
      </c>
      <c r="BH79" s="64"/>
      <c r="BI79" s="64"/>
      <c r="CB79" s="53"/>
      <c r="CC79" s="53"/>
      <c r="CF79" s="79">
        <f>+CF64/CF63</f>
        <v>0.10071290513632714</v>
      </c>
      <c r="CG79" s="79">
        <f t="shared" ref="CG79:CN79" si="231">+CG64/CG63</f>
        <v>9.9999999999999992E-2</v>
      </c>
      <c r="CH79" s="79">
        <f t="shared" si="231"/>
        <v>0.2</v>
      </c>
      <c r="CI79" s="79">
        <f t="shared" si="231"/>
        <v>0.2</v>
      </c>
      <c r="CJ79" s="79">
        <f t="shared" si="231"/>
        <v>0.2</v>
      </c>
      <c r="CK79" s="79">
        <f t="shared" si="231"/>
        <v>0.19999999999999998</v>
      </c>
      <c r="CL79" s="79">
        <f t="shared" si="231"/>
        <v>0.19999999999999998</v>
      </c>
      <c r="CM79" s="79">
        <f t="shared" si="231"/>
        <v>0.2</v>
      </c>
      <c r="CN79" s="79">
        <f t="shared" si="231"/>
        <v>0.2</v>
      </c>
      <c r="CO79" s="52" t="s">
        <v>271</v>
      </c>
      <c r="CP79" s="66">
        <v>0.01</v>
      </c>
    </row>
    <row r="80" spans="2:170" x14ac:dyDescent="0.15">
      <c r="CO80" s="47" t="s">
        <v>243</v>
      </c>
      <c r="CP80" s="63">
        <v>-0.01</v>
      </c>
    </row>
    <row r="81" spans="2:94" x14ac:dyDescent="0.15">
      <c r="B81" t="s">
        <v>187</v>
      </c>
      <c r="Z81" s="51">
        <f>4498-6662+1155.8</f>
        <v>-1008.2</v>
      </c>
      <c r="AA81" s="51">
        <f>+Z81+AA65</f>
        <v>289.39999999999986</v>
      </c>
      <c r="AE81" s="51">
        <f>+AE83-AE96</f>
        <v>1939.5</v>
      </c>
      <c r="AF81" s="51">
        <f t="shared" ref="AF81" si="232">+AF83-AF96</f>
        <v>2544.1999999999989</v>
      </c>
      <c r="AG81" s="51">
        <f t="shared" ref="AG81" si="233">+AG83-AG96</f>
        <v>2923.8999999999996</v>
      </c>
      <c r="AH81" s="51">
        <f>+AH83-AH96</f>
        <v>3939.9000000000015</v>
      </c>
      <c r="AI81" s="51">
        <f>+AI83-AI96</f>
        <v>4031.9000000000005</v>
      </c>
      <c r="AJ81" s="51">
        <f>+AJ83-AJ96</f>
        <v>4299.8</v>
      </c>
      <c r="AK81" s="51">
        <f>+AK83-AK96</f>
        <v>6604.2000000000007</v>
      </c>
      <c r="AL81" s="51">
        <f>+AK81+AL65</f>
        <v>7231.4000000000005</v>
      </c>
      <c r="AM81" s="51">
        <f>+AL81+AM65</f>
        <v>8258.0400000000009</v>
      </c>
      <c r="AN81" s="51"/>
      <c r="AO81" s="51"/>
      <c r="AP81" s="51"/>
      <c r="AQ81" s="51"/>
      <c r="AR81" s="51"/>
      <c r="AS81" s="51"/>
      <c r="AT81" s="51"/>
      <c r="AU81" s="51"/>
      <c r="AV81" s="51">
        <f t="shared" ref="AV81" si="234">+AV83-AV96</f>
        <v>-9920.7000000000007</v>
      </c>
      <c r="AW81" s="51">
        <f t="shared" ref="AW81" si="235">+AW83-AW96</f>
        <v>-9768.9999999999982</v>
      </c>
      <c r="AX81" s="51">
        <f>+AX83-AX96</f>
        <v>-9909.6000000000022</v>
      </c>
      <c r="AY81" s="51">
        <f>+AY83-AY96</f>
        <v>-9763.5</v>
      </c>
      <c r="AZ81" s="51">
        <f>+AZ83-AZ96</f>
        <v>-11213.199999999999</v>
      </c>
      <c r="BA81" s="51">
        <f>+BA83-BA96</f>
        <v>-11489.9</v>
      </c>
      <c r="BB81" s="51">
        <f t="shared" ref="BB81:BG81" si="236">+BA81+BB65</f>
        <v>-9611.1662764999983</v>
      </c>
      <c r="BC81" s="51">
        <f t="shared" si="236"/>
        <v>-7539.8268453124965</v>
      </c>
      <c r="BD81" s="51">
        <f t="shared" si="236"/>
        <v>-5471.081510239057</v>
      </c>
      <c r="BE81" s="51">
        <f t="shared" si="236"/>
        <v>-3400.599674691282</v>
      </c>
      <c r="BF81" s="51">
        <f t="shared" si="236"/>
        <v>-1009.8742715478379</v>
      </c>
      <c r="BG81" s="51">
        <f t="shared" si="236"/>
        <v>1660.7610795789333</v>
      </c>
      <c r="BH81" s="51"/>
      <c r="BI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F81" s="49">
        <f>+BC81</f>
        <v>-7539.8268453124965</v>
      </c>
      <c r="CG81" s="49">
        <f>+CF81+CG65</f>
        <v>1660.7610795789351</v>
      </c>
      <c r="CH81" s="49">
        <f t="shared" ref="CH81:CN81" si="237">+CG81+CH65</f>
        <v>15798.808701930673</v>
      </c>
      <c r="CI81" s="49">
        <f t="shared" si="237"/>
        <v>30813.24775596612</v>
      </c>
      <c r="CJ81" s="49">
        <f t="shared" si="237"/>
        <v>46886.319760243976</v>
      </c>
      <c r="CK81" s="49">
        <f t="shared" si="237"/>
        <v>63549.878694138373</v>
      </c>
      <c r="CL81" s="49">
        <f t="shared" si="237"/>
        <v>81769.512737405428</v>
      </c>
      <c r="CM81" s="49">
        <f t="shared" si="237"/>
        <v>101140.20166622661</v>
      </c>
      <c r="CN81" s="49">
        <f t="shared" si="237"/>
        <v>117142.48960163872</v>
      </c>
      <c r="CO81" s="47" t="s">
        <v>242</v>
      </c>
      <c r="CP81" s="63">
        <v>7.0000000000000007E-2</v>
      </c>
    </row>
    <row r="82" spans="2:94" x14ac:dyDescent="0.15">
      <c r="CO82" s="47" t="s">
        <v>244</v>
      </c>
      <c r="CP82" s="51">
        <f>NPV(CP81,CG65:FN65)+Main!J5-Main!J6</f>
        <v>194359.27182019729</v>
      </c>
    </row>
    <row r="83" spans="2:94" s="49" customFormat="1" x14ac:dyDescent="0.15">
      <c r="B83" s="49" t="s">
        <v>174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>
        <f>5993.2+733.8+1779.5</f>
        <v>8506.5</v>
      </c>
      <c r="AE83" s="51">
        <f>6506.4+206.7+1898.7</f>
        <v>8611.7999999999993</v>
      </c>
      <c r="AF83" s="51">
        <f>6113.5+216.3+2943</f>
        <v>9272.7999999999993</v>
      </c>
      <c r="AG83" s="51">
        <f>6597.7+186.6+3219.6</f>
        <v>10003.9</v>
      </c>
      <c r="AH83" s="51">
        <f>5922.5+974.6+4029.8</f>
        <v>10926.900000000001</v>
      </c>
      <c r="AI83" s="51">
        <f>4122.2+802.4+4521.1</f>
        <v>9445.7000000000007</v>
      </c>
      <c r="AJ83" s="51">
        <f>4345.8+915.7+4547.6</f>
        <v>9809.1</v>
      </c>
      <c r="AK83" s="51">
        <f>5319.2+1580.7+5224.3</f>
        <v>12124.2</v>
      </c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>
        <f>3002.4+49+3232.4</f>
        <v>6283.8</v>
      </c>
      <c r="AW83" s="51">
        <f>3220+51.2+3474.9</f>
        <v>6746.1</v>
      </c>
      <c r="AX83" s="51">
        <f>3788.2+37.1+3350.5</f>
        <v>7175.7999999999993</v>
      </c>
      <c r="AY83" s="51">
        <f>3818.5+90.1+3212.6</f>
        <v>7121.2</v>
      </c>
      <c r="AZ83" s="51">
        <f>2459.2+109.1+2727.3</f>
        <v>5295.6</v>
      </c>
      <c r="BA83" s="51">
        <f>2622.9+113.8+2587.2</f>
        <v>5323.9</v>
      </c>
      <c r="BB83" s="51"/>
      <c r="BC83" s="51"/>
      <c r="BD83" s="51"/>
      <c r="BE83" s="51"/>
      <c r="BF83" s="51"/>
      <c r="BG83" s="51"/>
      <c r="BH83" s="51"/>
      <c r="BI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O83" s="60" t="s">
        <v>266</v>
      </c>
      <c r="CP83" s="65">
        <f>+CP82/Main!J3</f>
        <v>215.25159126874132</v>
      </c>
    </row>
    <row r="84" spans="2:94" s="49" customFormat="1" x14ac:dyDescent="0.15">
      <c r="B84" s="50" t="s">
        <v>287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>
        <v>3493.8</v>
      </c>
      <c r="AE84" s="51">
        <v>3694.3</v>
      </c>
      <c r="AF84" s="51">
        <v>3833.6</v>
      </c>
      <c r="AG84" s="51">
        <v>3533.2</v>
      </c>
      <c r="AH84" s="51">
        <v>3597.7</v>
      </c>
      <c r="AI84" s="51">
        <v>3402.1</v>
      </c>
      <c r="AJ84" s="51">
        <v>3181.7</v>
      </c>
      <c r="AK84" s="51">
        <v>3268.2</v>
      </c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>
        <v>5592.8</v>
      </c>
      <c r="AW84" s="51">
        <v>5829.4</v>
      </c>
      <c r="AX84" s="51">
        <v>5914.3</v>
      </c>
      <c r="AY84" s="51">
        <v>6672.8</v>
      </c>
      <c r="AZ84" s="51">
        <v>6322.5</v>
      </c>
      <c r="BA84" s="51">
        <v>6364.5</v>
      </c>
      <c r="BB84" s="51"/>
      <c r="BC84" s="51"/>
      <c r="BD84" s="51"/>
      <c r="BE84" s="51"/>
      <c r="BF84" s="51"/>
      <c r="BG84" s="51"/>
      <c r="BH84" s="51"/>
      <c r="BI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</row>
    <row r="85" spans="2:94" s="49" customFormat="1" x14ac:dyDescent="0.15">
      <c r="B85" s="50" t="s">
        <v>288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>
        <v>664.3</v>
      </c>
      <c r="AE85" s="51">
        <v>488.8</v>
      </c>
      <c r="AF85" s="51">
        <v>612.9</v>
      </c>
      <c r="AG85" s="51">
        <v>564.4</v>
      </c>
      <c r="AH85" s="51">
        <v>640.20000000000005</v>
      </c>
      <c r="AI85" s="51">
        <v>529.20000000000005</v>
      </c>
      <c r="AJ85" s="51">
        <v>590</v>
      </c>
      <c r="AK85" s="51">
        <v>527.29999999999995</v>
      </c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>
        <v>1065.8</v>
      </c>
      <c r="AW85" s="51">
        <v>1073.4000000000001</v>
      </c>
      <c r="AX85" s="51">
        <v>1110.7</v>
      </c>
      <c r="AY85" s="51">
        <v>1454.4</v>
      </c>
      <c r="AZ85" s="51">
        <v>1483.2</v>
      </c>
      <c r="BA85" s="51">
        <v>1307.9000000000001</v>
      </c>
      <c r="BB85" s="51"/>
      <c r="BC85" s="51"/>
      <c r="BD85" s="51"/>
      <c r="BE85" s="51"/>
      <c r="BF85" s="51"/>
      <c r="BG85" s="51"/>
      <c r="BH85" s="51"/>
      <c r="BI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</row>
    <row r="86" spans="2:94" s="49" customFormat="1" x14ac:dyDescent="0.15">
      <c r="B86" s="50" t="s">
        <v>289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>
        <v>2517.6999999999998</v>
      </c>
      <c r="AE86" s="51">
        <v>2767.2</v>
      </c>
      <c r="AF86" s="51">
        <v>2870.2</v>
      </c>
      <c r="AG86" s="51">
        <v>2513.3000000000002</v>
      </c>
      <c r="AH86" s="51">
        <v>2299.8000000000002</v>
      </c>
      <c r="AI86" s="51">
        <v>2424.1999999999998</v>
      </c>
      <c r="AJ86" s="51">
        <v>2320.8000000000002</v>
      </c>
      <c r="AK86" s="51">
        <v>2553.4</v>
      </c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>
        <v>3660.8</v>
      </c>
      <c r="AW86" s="51">
        <v>3824.9</v>
      </c>
      <c r="AX86" s="51">
        <v>3907.4</v>
      </c>
      <c r="AY86" s="51">
        <v>3886</v>
      </c>
      <c r="AZ86" s="51">
        <v>3893</v>
      </c>
      <c r="BA86" s="51">
        <v>3899.4</v>
      </c>
      <c r="BB86" s="51"/>
      <c r="BC86" s="51"/>
      <c r="BD86" s="51"/>
      <c r="BE86" s="51"/>
      <c r="BF86" s="51"/>
      <c r="BG86" s="51"/>
      <c r="BH86" s="51"/>
      <c r="BI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</row>
    <row r="87" spans="2:94" s="49" customFormat="1" x14ac:dyDescent="0.15">
      <c r="B87" s="50" t="s">
        <v>290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>
        <v>828.3</v>
      </c>
      <c r="AE87" s="51">
        <v>550.1</v>
      </c>
      <c r="AF87" s="51">
        <v>436.5</v>
      </c>
      <c r="AG87" s="51">
        <v>378.4</v>
      </c>
      <c r="AH87" s="51">
        <v>158.5</v>
      </c>
      <c r="AI87" s="51">
        <v>324</v>
      </c>
      <c r="AJ87" s="51">
        <v>0</v>
      </c>
      <c r="AK87" s="51">
        <v>0</v>
      </c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>
        <v>3233.7</v>
      </c>
      <c r="AW87" s="51">
        <v>3296.6</v>
      </c>
      <c r="AX87" s="51">
        <v>3050.6</v>
      </c>
      <c r="AY87" s="51">
        <v>2530.6</v>
      </c>
      <c r="AZ87" s="51">
        <v>2697.7</v>
      </c>
      <c r="BA87" s="51">
        <v>2806.7</v>
      </c>
      <c r="BB87" s="51"/>
      <c r="BC87" s="51"/>
      <c r="BD87" s="51"/>
      <c r="BE87" s="51"/>
      <c r="BF87" s="51"/>
      <c r="BG87" s="51"/>
      <c r="BH87" s="51"/>
      <c r="BI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</row>
    <row r="88" spans="2:94" s="49" customFormat="1" x14ac:dyDescent="0.15">
      <c r="B88" s="50" t="s">
        <v>291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>
        <v>608.9</v>
      </c>
      <c r="AE88" s="51">
        <v>1140.8</v>
      </c>
      <c r="AF88" s="51">
        <v>867.3</v>
      </c>
      <c r="AG88" s="51">
        <v>799.1</v>
      </c>
      <c r="AH88" s="51">
        <v>654.9</v>
      </c>
      <c r="AI88" s="51">
        <v>998.5</v>
      </c>
      <c r="AJ88" s="51">
        <v>953.3</v>
      </c>
      <c r="AK88" s="51">
        <v>790.1</v>
      </c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</row>
    <row r="89" spans="2:94" s="49" customFormat="1" x14ac:dyDescent="0.15">
      <c r="B89" s="50" t="s">
        <v>292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>
        <v>4818.8</v>
      </c>
      <c r="AE89" s="51">
        <v>4731.3</v>
      </c>
      <c r="AF89" s="51">
        <v>4955.3999999999996</v>
      </c>
      <c r="AG89" s="51">
        <v>5221.8999999999996</v>
      </c>
      <c r="AH89" s="51">
        <v>5128.1000000000004</v>
      </c>
      <c r="AI89" s="51">
        <v>5266.7</v>
      </c>
      <c r="AJ89" s="51">
        <v>5142.8</v>
      </c>
      <c r="AK89" s="51">
        <v>5031.1000000000004</v>
      </c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>
        <f>3877.4+8087.8</f>
        <v>11965.2</v>
      </c>
      <c r="AW89" s="51">
        <f>3884.2+7985.4</f>
        <v>11869.599999999999</v>
      </c>
      <c r="AX89" s="51">
        <f>3884.1+7887.7</f>
        <v>11771.8</v>
      </c>
      <c r="AY89" s="51">
        <f>3892+7691.9</f>
        <v>11583.9</v>
      </c>
      <c r="AZ89" s="51">
        <f>3892+7482.4</f>
        <v>11374.4</v>
      </c>
      <c r="BA89" s="51">
        <f>3891.8+7497.7</f>
        <v>11389.5</v>
      </c>
      <c r="BB89" s="51"/>
      <c r="BC89" s="51"/>
      <c r="BD89" s="51"/>
      <c r="BE89" s="51"/>
      <c r="BF89" s="51"/>
      <c r="BG89" s="51"/>
      <c r="BH89" s="51"/>
      <c r="BI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</row>
    <row r="90" spans="2:94" s="49" customFormat="1" x14ac:dyDescent="0.15">
      <c r="B90" s="50" t="s">
        <v>365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>
        <v>2649.9</v>
      </c>
      <c r="AW90" s="51">
        <v>2674.9</v>
      </c>
      <c r="AX90" s="51">
        <v>2625.6</v>
      </c>
      <c r="AY90" s="51">
        <v>2489.3000000000002</v>
      </c>
      <c r="AZ90" s="51">
        <v>2464.9</v>
      </c>
      <c r="BA90" s="51">
        <v>2371.9</v>
      </c>
      <c r="BB90" s="51"/>
      <c r="BC90" s="51"/>
      <c r="BD90" s="51"/>
      <c r="BE90" s="51"/>
      <c r="BF90" s="51"/>
      <c r="BG90" s="51"/>
      <c r="BH90" s="51"/>
      <c r="BI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</row>
    <row r="91" spans="2:94" s="49" customFormat="1" x14ac:dyDescent="0.15">
      <c r="B91" s="50" t="s">
        <v>293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>
        <v>1622.4</v>
      </c>
      <c r="AE91" s="51">
        <v>1743.3</v>
      </c>
      <c r="AF91" s="51">
        <v>1976.9</v>
      </c>
      <c r="AG91" s="51">
        <v>2215.8000000000002</v>
      </c>
      <c r="AH91" s="51">
        <v>2493.4</v>
      </c>
      <c r="AI91" s="51">
        <v>2093.1999999999998</v>
      </c>
      <c r="AJ91" s="51">
        <v>2195</v>
      </c>
      <c r="AK91" s="51">
        <v>2387.8000000000002</v>
      </c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>
        <v>0</v>
      </c>
      <c r="AW91" s="51">
        <v>0</v>
      </c>
      <c r="AX91" s="51">
        <v>0</v>
      </c>
      <c r="AY91" s="51">
        <v>0</v>
      </c>
      <c r="AZ91" s="51">
        <v>0</v>
      </c>
      <c r="BA91" s="51">
        <v>0</v>
      </c>
      <c r="BB91" s="51"/>
      <c r="BC91" s="51"/>
      <c r="BD91" s="51"/>
      <c r="BE91" s="51"/>
      <c r="BF91" s="51"/>
      <c r="BG91" s="51"/>
      <c r="BH91" s="51"/>
      <c r="BI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</row>
    <row r="92" spans="2:94" s="49" customFormat="1" x14ac:dyDescent="0.15">
      <c r="B92" s="50" t="s">
        <v>294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>
        <v>7940.7</v>
      </c>
      <c r="AE92" s="51">
        <v>7967.7</v>
      </c>
      <c r="AF92" s="51">
        <v>7953.7</v>
      </c>
      <c r="AG92" s="51">
        <v>7812.2</v>
      </c>
      <c r="AH92" s="51">
        <v>7760.3</v>
      </c>
      <c r="AI92" s="51">
        <v>7754.6</v>
      </c>
      <c r="AJ92" s="51">
        <v>7619.9</v>
      </c>
      <c r="AK92" s="51">
        <v>7638.9</v>
      </c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>
        <v>8630.1</v>
      </c>
      <c r="AW92" s="51">
        <v>8855.5</v>
      </c>
      <c r="AX92" s="51">
        <v>8920.4</v>
      </c>
      <c r="AY92" s="51">
        <v>8985.1</v>
      </c>
      <c r="AZ92" s="51">
        <v>9102.7000000000007</v>
      </c>
      <c r="BA92" s="51">
        <v>9128.2000000000007</v>
      </c>
      <c r="BB92" s="51"/>
      <c r="BC92" s="51"/>
      <c r="BD92" s="51"/>
      <c r="BE92" s="51"/>
      <c r="BF92" s="51"/>
      <c r="BG92" s="51"/>
      <c r="BH92" s="51"/>
      <c r="BI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</row>
    <row r="93" spans="2:94" s="49" customFormat="1" x14ac:dyDescent="0.15">
      <c r="B93" s="50" t="s">
        <v>366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>
        <v>3756.2</v>
      </c>
      <c r="AW93" s="51">
        <v>3638.6</v>
      </c>
      <c r="AX93" s="51">
        <v>3710.4</v>
      </c>
      <c r="AY93" s="51">
        <v>4082.7</v>
      </c>
      <c r="AZ93" s="51">
        <v>4285.3</v>
      </c>
      <c r="BA93" s="51">
        <v>4471.6000000000004</v>
      </c>
      <c r="BB93" s="51"/>
      <c r="BC93" s="51"/>
      <c r="BD93" s="51"/>
      <c r="BE93" s="51"/>
      <c r="BF93" s="51"/>
      <c r="BG93" s="51"/>
      <c r="BH93" s="51"/>
      <c r="BI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</row>
    <row r="94" spans="2:94" s="49" customFormat="1" x14ac:dyDescent="0.15">
      <c r="B94" s="50" t="s">
        <v>295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>
        <f>SUM(AD83:AD92)</f>
        <v>31001.4</v>
      </c>
      <c r="AE94" s="51">
        <f>SUM(AE83:AE92)</f>
        <v>31695.3</v>
      </c>
      <c r="AF94" s="51">
        <f t="shared" ref="AF94" si="238">SUM(AF83:AF92)</f>
        <v>32779.299999999996</v>
      </c>
      <c r="AG94" s="51">
        <f>SUM(AG83:AG92)</f>
        <v>33042.199999999997</v>
      </c>
      <c r="AH94" s="51">
        <f>SUM(AH83:AH92)</f>
        <v>33659.80000000001</v>
      </c>
      <c r="AI94" s="51">
        <f>SUM(AI83:AI92)</f>
        <v>32238.200000000004</v>
      </c>
      <c r="AJ94" s="51">
        <f>SUM(AJ83:AJ92)</f>
        <v>31812.6</v>
      </c>
      <c r="AK94" s="51">
        <f>SUM(AK83:AK92)</f>
        <v>34321</v>
      </c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>
        <f t="shared" ref="AV94" si="239">SUM(AV83:AV93)</f>
        <v>46838.299999999996</v>
      </c>
      <c r="AW94" s="51">
        <f t="shared" ref="AW94" si="240">SUM(AW83:AW93)</f>
        <v>47808.999999999993</v>
      </c>
      <c r="AX94" s="51">
        <f>SUM(AX83:AX93)</f>
        <v>48187</v>
      </c>
      <c r="AY94" s="51">
        <f>SUM(AY83:AY93)</f>
        <v>48806</v>
      </c>
      <c r="AZ94" s="51">
        <f>SUM(AZ83:AZ93)</f>
        <v>46919.3</v>
      </c>
      <c r="BA94" s="51">
        <f>SUM(BA83:BA93)</f>
        <v>47063.6</v>
      </c>
      <c r="BB94" s="51"/>
      <c r="BC94" s="51"/>
      <c r="BD94" s="51"/>
      <c r="BE94" s="51"/>
      <c r="BF94" s="51"/>
      <c r="BG94" s="51"/>
      <c r="BH94" s="51"/>
      <c r="BI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</row>
    <row r="96" spans="2:94" s="49" customFormat="1" x14ac:dyDescent="0.15">
      <c r="B96" s="50" t="s">
        <v>175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>
        <f>156+6770.5</f>
        <v>6926.5</v>
      </c>
      <c r="AE96" s="51">
        <f>1539.9+5132.4</f>
        <v>6672.2999999999993</v>
      </c>
      <c r="AF96" s="51">
        <f>1528.5+5200.1</f>
        <v>6728.6</v>
      </c>
      <c r="AG96" s="51">
        <f>1628.7+5451.3</f>
        <v>7080</v>
      </c>
      <c r="AH96" s="51">
        <f>1522.3+5464.7</f>
        <v>6987</v>
      </c>
      <c r="AI96" s="51">
        <f>10.6+5403.2</f>
        <v>5413.8</v>
      </c>
      <c r="AJ96" s="51">
        <f>9.1+5500.2</f>
        <v>5509.3</v>
      </c>
      <c r="AK96" s="51">
        <f>9.1+5510.9</f>
        <v>5520</v>
      </c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>
        <f>4.9+16199.6</f>
        <v>16204.5</v>
      </c>
      <c r="AW96" s="51">
        <f>1778.5+14736.6</f>
        <v>16515.099999999999</v>
      </c>
      <c r="AX96" s="51">
        <f>1563+15522.4</f>
        <v>17085.400000000001</v>
      </c>
      <c r="AY96" s="51">
        <f>1538.3+15346.4</f>
        <v>16884.7</v>
      </c>
      <c r="AZ96" s="51">
        <f>1355.9+15152.9</f>
        <v>16508.8</v>
      </c>
      <c r="BA96" s="51">
        <f>2121.8+14692</f>
        <v>16813.8</v>
      </c>
      <c r="BB96" s="51"/>
      <c r="BC96" s="51"/>
      <c r="BD96" s="51"/>
      <c r="BE96" s="51"/>
      <c r="BF96" s="51"/>
      <c r="BG96" s="51"/>
      <c r="BH96" s="51"/>
      <c r="BI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</row>
    <row r="97" spans="2:79" s="49" customFormat="1" x14ac:dyDescent="0.15">
      <c r="B97" s="50" t="s">
        <v>296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>
        <v>1072.2</v>
      </c>
      <c r="AE97" s="51">
        <v>1183.2</v>
      </c>
      <c r="AF97" s="51">
        <v>1187.5999999999999</v>
      </c>
      <c r="AG97" s="51">
        <v>1154.3</v>
      </c>
      <c r="AH97" s="51">
        <v>1125.2</v>
      </c>
      <c r="AI97" s="51">
        <v>1246.3</v>
      </c>
      <c r="AJ97" s="51">
        <v>1201.5999999999999</v>
      </c>
      <c r="AK97" s="51">
        <v>1328.7</v>
      </c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>
        <v>1639.6</v>
      </c>
      <c r="AW97" s="51">
        <v>1597.8</v>
      </c>
      <c r="AX97" s="51">
        <v>1566.8</v>
      </c>
      <c r="AY97" s="51">
        <v>1670.6</v>
      </c>
      <c r="AZ97" s="51">
        <v>1433.3</v>
      </c>
      <c r="BA97" s="51">
        <v>1659.3</v>
      </c>
      <c r="BB97" s="51"/>
      <c r="BC97" s="51"/>
      <c r="BD97" s="51"/>
      <c r="BE97" s="51"/>
      <c r="BF97" s="51"/>
      <c r="BG97" s="51"/>
      <c r="BH97" s="51"/>
      <c r="BI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</row>
    <row r="98" spans="2:79" s="49" customFormat="1" x14ac:dyDescent="0.15">
      <c r="B98" s="50" t="s">
        <v>297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>
        <v>851.8</v>
      </c>
      <c r="AE98" s="51">
        <v>524</v>
      </c>
      <c r="AF98" s="51">
        <v>584.70000000000005</v>
      </c>
      <c r="AG98" s="51">
        <v>689.3</v>
      </c>
      <c r="AH98" s="51">
        <v>804.7</v>
      </c>
      <c r="AI98" s="51">
        <v>533.79999999999995</v>
      </c>
      <c r="AJ98" s="51">
        <v>602.9</v>
      </c>
      <c r="AK98" s="51">
        <v>772.7</v>
      </c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>
        <v>649.9</v>
      </c>
      <c r="AW98" s="51">
        <v>755.5</v>
      </c>
      <c r="AX98" s="51">
        <v>836.6</v>
      </c>
      <c r="AY98" s="51">
        <v>958.1</v>
      </c>
      <c r="AZ98" s="51">
        <v>693.1</v>
      </c>
      <c r="BA98" s="51">
        <v>835.8</v>
      </c>
      <c r="BB98" s="51"/>
      <c r="BC98" s="51"/>
      <c r="BD98" s="51"/>
      <c r="BE98" s="51"/>
      <c r="BF98" s="51"/>
      <c r="BG98" s="51"/>
      <c r="BH98" s="51"/>
      <c r="BI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</row>
    <row r="99" spans="2:79" s="49" customFormat="1" x14ac:dyDescent="0.15">
      <c r="B99" s="50" t="s">
        <v>298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>
        <v>1372.6</v>
      </c>
      <c r="AE99" s="51">
        <v>1489.5</v>
      </c>
      <c r="AF99" s="51">
        <v>1807.6</v>
      </c>
      <c r="AG99" s="51">
        <v>1882.3</v>
      </c>
      <c r="AH99" s="51">
        <v>1771.3</v>
      </c>
      <c r="AI99" s="51">
        <v>1619.8</v>
      </c>
      <c r="AJ99" s="51">
        <v>1628.6</v>
      </c>
      <c r="AK99" s="51">
        <v>1695.6</v>
      </c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>
        <v>5821.4</v>
      </c>
      <c r="AW99" s="51">
        <v>7035.8</v>
      </c>
      <c r="AX99" s="51">
        <v>7185.6</v>
      </c>
      <c r="AY99" s="51">
        <v>6845.8</v>
      </c>
      <c r="AZ99" s="51">
        <v>6768.7</v>
      </c>
      <c r="BA99" s="51">
        <v>7991.4</v>
      </c>
      <c r="BB99" s="51"/>
      <c r="BC99" s="51"/>
      <c r="BD99" s="51"/>
      <c r="BE99" s="51"/>
      <c r="BF99" s="51"/>
      <c r="BG99" s="51"/>
      <c r="BH99" s="51"/>
      <c r="BI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</row>
    <row r="100" spans="2:79" s="49" customFormat="1" x14ac:dyDescent="0.15">
      <c r="B100" s="50" t="s">
        <v>299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>
        <v>540</v>
      </c>
      <c r="AE100" s="51">
        <v>0</v>
      </c>
      <c r="AF100" s="51">
        <v>542.29999999999995</v>
      </c>
      <c r="AG100" s="51">
        <v>0</v>
      </c>
      <c r="AH100" s="51">
        <v>542.29999999999995</v>
      </c>
      <c r="AI100" s="51">
        <v>0</v>
      </c>
      <c r="AJ100" s="51">
        <v>543.6</v>
      </c>
      <c r="AK100" s="51">
        <v>0</v>
      </c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>
        <v>0</v>
      </c>
      <c r="AW100" s="51">
        <v>770.8</v>
      </c>
      <c r="AX100" s="51">
        <v>0</v>
      </c>
      <c r="AY100" s="51">
        <v>885.5</v>
      </c>
      <c r="AZ100" s="51">
        <v>0</v>
      </c>
      <c r="BA100" s="51">
        <v>882.2</v>
      </c>
      <c r="BB100" s="51"/>
      <c r="BC100" s="51"/>
      <c r="BD100" s="51"/>
      <c r="BE100" s="51"/>
      <c r="BF100" s="51"/>
      <c r="BG100" s="51"/>
      <c r="BH100" s="51"/>
      <c r="BI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</row>
    <row r="101" spans="2:79" s="49" customFormat="1" x14ac:dyDescent="0.15">
      <c r="B101" s="50" t="s">
        <v>82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>
        <v>457.5</v>
      </c>
      <c r="AE101" s="51">
        <v>315.2</v>
      </c>
      <c r="AF101" s="51">
        <v>183.1</v>
      </c>
      <c r="AG101" s="51">
        <v>144.4</v>
      </c>
      <c r="AH101" s="51">
        <v>261.60000000000002</v>
      </c>
      <c r="AI101" s="51">
        <v>388.8</v>
      </c>
      <c r="AJ101" s="51">
        <v>33.5</v>
      </c>
      <c r="AK101" s="51">
        <v>338.2</v>
      </c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>
        <v>791.6</v>
      </c>
      <c r="AW101" s="51">
        <v>529.9</v>
      </c>
      <c r="AX101" s="51">
        <v>203.5</v>
      </c>
      <c r="AY101" s="51">
        <v>126.9</v>
      </c>
      <c r="AZ101" s="51">
        <v>598.29999999999995</v>
      </c>
      <c r="BA101" s="51">
        <v>126.6</v>
      </c>
      <c r="BB101" s="51"/>
      <c r="BC101" s="51"/>
      <c r="BD101" s="51"/>
      <c r="BE101" s="51"/>
      <c r="BF101" s="51"/>
      <c r="BG101" s="51"/>
      <c r="BH101" s="51"/>
      <c r="BI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</row>
    <row r="102" spans="2:79" s="49" customFormat="1" x14ac:dyDescent="0.15">
      <c r="B102" s="50" t="s">
        <v>300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>
        <v>2651.3</v>
      </c>
      <c r="AE102" s="51">
        <v>2600</v>
      </c>
      <c r="AF102" s="51">
        <v>2786.7</v>
      </c>
      <c r="AG102" s="51">
        <v>2720.3</v>
      </c>
      <c r="AH102" s="51">
        <v>2903.5</v>
      </c>
      <c r="AI102" s="51">
        <v>2754.4</v>
      </c>
      <c r="AJ102" s="51">
        <v>2590.4</v>
      </c>
      <c r="AK102" s="51">
        <v>2816.4</v>
      </c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>
        <v>2806.8</v>
      </c>
      <c r="AW102" s="51">
        <v>2624.9</v>
      </c>
      <c r="AX102" s="51">
        <v>2326.5</v>
      </c>
      <c r="AY102" s="51">
        <v>3027.5</v>
      </c>
      <c r="AZ102" s="51">
        <v>2536.6999999999998</v>
      </c>
      <c r="BA102" s="51">
        <v>2003.5</v>
      </c>
      <c r="BB102" s="51"/>
      <c r="BC102" s="51"/>
      <c r="BD102" s="51"/>
      <c r="BE102" s="51"/>
      <c r="BF102" s="51"/>
      <c r="BG102" s="51"/>
      <c r="BH102" s="51"/>
      <c r="BI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</row>
    <row r="103" spans="2:79" s="49" customFormat="1" x14ac:dyDescent="0.15">
      <c r="B103" s="50" t="s">
        <v>301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>
        <v>1887.4</v>
      </c>
      <c r="AE103" s="51">
        <v>1866.4</v>
      </c>
      <c r="AF103" s="51">
        <v>1848.6</v>
      </c>
      <c r="AG103" s="51">
        <v>1805.9</v>
      </c>
      <c r="AH103" s="51">
        <v>3068.5</v>
      </c>
      <c r="AI103" s="51">
        <v>2766.5</v>
      </c>
      <c r="AJ103" s="51">
        <v>2714.5</v>
      </c>
      <c r="AK103" s="51">
        <v>2702.4</v>
      </c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>
        <v>3969.8</v>
      </c>
      <c r="AW103" s="51">
        <v>3918.5</v>
      </c>
      <c r="AX103" s="51">
        <v>3878.8</v>
      </c>
      <c r="AY103" s="51">
        <v>1954.1</v>
      </c>
      <c r="AZ103" s="51">
        <v>1940.3</v>
      </c>
      <c r="BA103" s="51">
        <v>1888.6</v>
      </c>
      <c r="BB103" s="51"/>
      <c r="BC103" s="51"/>
      <c r="BD103" s="51"/>
      <c r="BE103" s="51"/>
      <c r="BF103" s="51"/>
      <c r="BG103" s="51"/>
      <c r="BH103" s="51"/>
      <c r="BI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</row>
    <row r="104" spans="2:79" s="49" customFormat="1" x14ac:dyDescent="0.15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>
        <v>1234.8</v>
      </c>
      <c r="AE104" s="51">
        <v>1224.3</v>
      </c>
      <c r="AF104" s="51">
        <v>1283</v>
      </c>
      <c r="AG104" s="51">
        <v>1058.8</v>
      </c>
      <c r="AH104" s="51">
        <v>1086.3</v>
      </c>
      <c r="AI104" s="51">
        <v>1158.3</v>
      </c>
      <c r="AJ104" s="51">
        <v>1207.5</v>
      </c>
      <c r="AK104" s="51">
        <v>1275.0999999999999</v>
      </c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>
        <f>3917.5+2200.6</f>
        <v>6118.1</v>
      </c>
      <c r="AW104" s="51">
        <f>3738+1857.3</f>
        <v>5595.3</v>
      </c>
      <c r="AX104" s="51">
        <f>3768.5+1632.5</f>
        <v>5401</v>
      </c>
      <c r="AY104" s="51">
        <f>3920+1733.7</f>
        <v>5653.7</v>
      </c>
      <c r="AZ104" s="51">
        <f>1286.1+3978.1</f>
        <v>5264.2</v>
      </c>
      <c r="BA104" s="51">
        <f>3557.6+862.5</f>
        <v>4420.1000000000004</v>
      </c>
      <c r="BB104" s="51"/>
      <c r="BC104" s="51"/>
      <c r="BD104" s="51"/>
      <c r="BE104" s="51"/>
      <c r="BF104" s="51"/>
      <c r="BG104" s="51"/>
      <c r="BH104" s="51"/>
      <c r="BI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</row>
    <row r="105" spans="2:79" s="49" customFormat="1" x14ac:dyDescent="0.15">
      <c r="B105" s="50" t="s">
        <v>302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>
        <v>1594.5</v>
      </c>
      <c r="AE105" s="51">
        <v>1886.2</v>
      </c>
      <c r="AF105" s="51">
        <v>1550.1</v>
      </c>
      <c r="AG105" s="51">
        <v>1449</v>
      </c>
      <c r="AH105" s="51">
        <v>1573.8</v>
      </c>
      <c r="AI105" s="51">
        <v>1533.9</v>
      </c>
      <c r="AJ105" s="51">
        <v>1472.8</v>
      </c>
      <c r="AK105" s="51">
        <v>1815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>
        <v>1737.3</v>
      </c>
      <c r="AW105" s="51">
        <v>1801.9</v>
      </c>
      <c r="AX105" s="51">
        <v>1748.7</v>
      </c>
      <c r="AY105" s="51">
        <v>1644.3</v>
      </c>
      <c r="AZ105" s="51">
        <v>1713.9</v>
      </c>
      <c r="BA105" s="51">
        <v>1783.1</v>
      </c>
      <c r="BB105" s="51"/>
      <c r="BC105" s="51"/>
      <c r="BD105" s="51"/>
      <c r="BE105" s="51"/>
      <c r="BF105" s="51"/>
      <c r="BG105" s="51"/>
      <c r="BH105" s="51"/>
      <c r="BI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</row>
    <row r="106" spans="2:79" s="49" customFormat="1" x14ac:dyDescent="0.15">
      <c r="B106" s="50" t="s">
        <v>303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>
        <v>12412.8</v>
      </c>
      <c r="AE106" s="51">
        <v>13934.2</v>
      </c>
      <c r="AF106" s="51">
        <v>14277</v>
      </c>
      <c r="AG106" s="51">
        <v>15057.9</v>
      </c>
      <c r="AH106" s="51">
        <v>13535.6</v>
      </c>
      <c r="AI106" s="51">
        <v>14822.6</v>
      </c>
      <c r="AJ106" s="51">
        <v>14307.9</v>
      </c>
      <c r="AK106" s="51">
        <v>16056.9</v>
      </c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>
        <v>7099.3</v>
      </c>
      <c r="AW106" s="51">
        <v>6663.5</v>
      </c>
      <c r="AX106" s="51">
        <v>7954.1</v>
      </c>
      <c r="AY106" s="51">
        <v>9154.7999999999993</v>
      </c>
      <c r="AZ106" s="51">
        <v>9462</v>
      </c>
      <c r="BA106" s="51">
        <v>8659.2000000000007</v>
      </c>
      <c r="BB106" s="51"/>
      <c r="BC106" s="51"/>
      <c r="BD106" s="51"/>
      <c r="BE106" s="51"/>
      <c r="BF106" s="51"/>
      <c r="BG106" s="51"/>
      <c r="BH106" s="51"/>
      <c r="BI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</row>
    <row r="107" spans="2:79" s="49" customFormat="1" x14ac:dyDescent="0.15">
      <c r="B107" s="50" t="s">
        <v>304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>
        <f>SUM(AD96:AD106)</f>
        <v>31001.4</v>
      </c>
      <c r="AE107" s="51">
        <f>SUM(AE96:AE106)</f>
        <v>31695.3</v>
      </c>
      <c r="AF107" s="51">
        <f t="shared" ref="AF107" si="241">SUM(AF96:AF106)</f>
        <v>32779.300000000003</v>
      </c>
      <c r="AG107" s="51">
        <f>SUM(AG96:AG106)</f>
        <v>33042.199999999997</v>
      </c>
      <c r="AH107" s="51">
        <f>SUM(AH96:AH106)</f>
        <v>33659.799999999996</v>
      </c>
      <c r="AI107" s="51">
        <f>SUM(AI96:AI106)</f>
        <v>32238.199999999997</v>
      </c>
      <c r="AJ107" s="51">
        <f>SUM(AJ96:AJ106)</f>
        <v>31812.6</v>
      </c>
      <c r="AK107" s="51">
        <f>SUM(AK96:AK106)</f>
        <v>34321</v>
      </c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>
        <f t="shared" ref="AV107" si="242">SUM(AV96:AV106)</f>
        <v>46838.3</v>
      </c>
      <c r="AW107" s="51">
        <f t="shared" ref="AW107" si="243">SUM(AW96:AW106)</f>
        <v>47809.000000000007</v>
      </c>
      <c r="AX107" s="51">
        <f>SUM(AX96:AX106)</f>
        <v>48187</v>
      </c>
      <c r="AY107" s="51">
        <f>SUM(AY96:AY106)</f>
        <v>48806</v>
      </c>
      <c r="AZ107" s="51">
        <f>SUM(AZ96:AZ106)</f>
        <v>46919.299999999996</v>
      </c>
      <c r="BA107" s="51">
        <f>SUM(BA96:BA106)</f>
        <v>47063.599999999991</v>
      </c>
      <c r="BB107" s="51"/>
      <c r="BC107" s="51"/>
      <c r="BD107" s="51"/>
      <c r="BE107" s="51"/>
      <c r="BF107" s="51"/>
      <c r="BG107" s="51"/>
      <c r="BH107" s="51"/>
      <c r="BI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</row>
    <row r="109" spans="2:79" x14ac:dyDescent="0.15">
      <c r="B109" s="50" t="s">
        <v>367</v>
      </c>
      <c r="AV109" s="51">
        <f>AV65</f>
        <v>1777.5000000000007</v>
      </c>
      <c r="AZ109" s="51">
        <f>AZ65</f>
        <v>2538.4999999999991</v>
      </c>
    </row>
    <row r="110" spans="2:79" x14ac:dyDescent="0.15">
      <c r="B110" s="50" t="s">
        <v>368</v>
      </c>
      <c r="AV110" s="51">
        <v>1355.3</v>
      </c>
      <c r="AZ110" s="51">
        <v>1902.9</v>
      </c>
    </row>
    <row r="111" spans="2:79" x14ac:dyDescent="0.15">
      <c r="B111" s="50" t="s">
        <v>369</v>
      </c>
      <c r="AV111" s="51">
        <v>350.3</v>
      </c>
      <c r="AZ111" s="51">
        <v>435.7</v>
      </c>
    </row>
    <row r="112" spans="2:79" x14ac:dyDescent="0.15">
      <c r="B112" s="50" t="s">
        <v>365</v>
      </c>
      <c r="AV112" s="51">
        <v>-119.1</v>
      </c>
      <c r="AZ112" s="51">
        <v>-506.6</v>
      </c>
    </row>
    <row r="113" spans="2:79" x14ac:dyDescent="0.15">
      <c r="B113" s="50" t="s">
        <v>370</v>
      </c>
      <c r="AV113" s="51">
        <v>85.5</v>
      </c>
      <c r="AZ113" s="51">
        <v>101</v>
      </c>
    </row>
    <row r="114" spans="2:79" x14ac:dyDescent="0.15">
      <c r="B114" s="50" t="s">
        <v>371</v>
      </c>
      <c r="AV114" s="51">
        <v>-302.2</v>
      </c>
      <c r="AZ114" s="51">
        <v>426.1</v>
      </c>
    </row>
    <row r="115" spans="2:79" x14ac:dyDescent="0.15">
      <c r="B115" s="50" t="s">
        <v>372</v>
      </c>
      <c r="AV115" s="51">
        <v>299.3</v>
      </c>
      <c r="AZ115" s="51">
        <v>153</v>
      </c>
    </row>
    <row r="116" spans="2:79" x14ac:dyDescent="0.15">
      <c r="B116" s="50" t="s">
        <v>78</v>
      </c>
      <c r="AV116" s="51">
        <v>-102.8</v>
      </c>
      <c r="AZ116" s="51">
        <v>-45.5</v>
      </c>
    </row>
    <row r="117" spans="2:79" x14ac:dyDescent="0.15">
      <c r="B117" s="50" t="s">
        <v>373</v>
      </c>
      <c r="AV117" s="51">
        <v>131.1</v>
      </c>
      <c r="AZ117" s="51">
        <v>32.6</v>
      </c>
    </row>
    <row r="118" spans="2:79" s="49" customFormat="1" x14ac:dyDescent="0.15">
      <c r="B118" s="50" t="s">
        <v>305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>
        <v>1176.0999999999999</v>
      </c>
      <c r="AF118" s="51">
        <f>3216.4-AE118</f>
        <v>2040.3000000000002</v>
      </c>
      <c r="AG118" s="51">
        <f>5289.8-AF118-AE118</f>
        <v>2073.4</v>
      </c>
      <c r="AH118" s="52">
        <f>7234.5-AG118-AF118-AE118</f>
        <v>1944.7000000000003</v>
      </c>
      <c r="AI118" s="52">
        <v>852.5</v>
      </c>
      <c r="AJ118" s="52">
        <f>2158.5-AI118</f>
        <v>1306</v>
      </c>
      <c r="AK118" s="51">
        <f>3702.8-AJ118-AI118</f>
        <v>1544.3000000000002</v>
      </c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>
        <f>SUM(AV110:AV117)</f>
        <v>1697.3999999999999</v>
      </c>
      <c r="AW118" s="51"/>
      <c r="AX118" s="51"/>
      <c r="AY118" s="51"/>
      <c r="AZ118" s="51">
        <f>SUM(AZ110:AZ117)</f>
        <v>2499.1999999999998</v>
      </c>
      <c r="BA118" s="51"/>
      <c r="BB118" s="51"/>
      <c r="BC118" s="51"/>
      <c r="BD118" s="51"/>
      <c r="BE118" s="51"/>
      <c r="BF118" s="51"/>
      <c r="BG118" s="51"/>
      <c r="BH118" s="51"/>
      <c r="BI118" s="51"/>
      <c r="BK118" s="51"/>
      <c r="BL118" s="51"/>
      <c r="BM118" s="51"/>
      <c r="BN118" s="51"/>
      <c r="BO118" s="51"/>
      <c r="BP118" s="51"/>
      <c r="BQ118" s="51"/>
      <c r="BR118" s="51">
        <v>7295.6</v>
      </c>
      <c r="BS118" s="51">
        <v>4335.5</v>
      </c>
      <c r="BT118" s="51">
        <v>6856.8</v>
      </c>
      <c r="BU118" s="51"/>
      <c r="BV118" s="51"/>
      <c r="BW118" s="51"/>
      <c r="BX118" s="51"/>
      <c r="BY118" s="51"/>
      <c r="BZ118" s="51"/>
      <c r="CA118" s="51"/>
    </row>
    <row r="119" spans="2:79" x14ac:dyDescent="0.15">
      <c r="AV119" s="51"/>
    </row>
    <row r="120" spans="2:79" x14ac:dyDescent="0.15">
      <c r="B120" s="50" t="s">
        <v>374</v>
      </c>
      <c r="AV120" s="51">
        <v>-300.3</v>
      </c>
      <c r="AZ120" s="51">
        <v>-365.4</v>
      </c>
    </row>
    <row r="121" spans="2:79" x14ac:dyDescent="0.15">
      <c r="B121" s="50" t="s">
        <v>371</v>
      </c>
      <c r="AV121" s="51">
        <f>4-19.4+284.8-291.5</f>
        <v>-22.099999999999966</v>
      </c>
      <c r="AZ121" s="51">
        <f>26.7-14.6+81.4-116.7</f>
        <v>-23.200000000000003</v>
      </c>
    </row>
    <row r="122" spans="2:79" x14ac:dyDescent="0.15">
      <c r="B122" s="50" t="s">
        <v>375</v>
      </c>
      <c r="AV122" s="51">
        <f>-747.4-191.8</f>
        <v>-939.2</v>
      </c>
      <c r="AZ122" s="51">
        <v>-491.8</v>
      </c>
    </row>
    <row r="123" spans="2:79" x14ac:dyDescent="0.15">
      <c r="B123" s="50" t="s">
        <v>78</v>
      </c>
      <c r="AV123" s="51">
        <v>-21.9</v>
      </c>
      <c r="AZ123" s="51">
        <v>-133.4</v>
      </c>
    </row>
    <row r="124" spans="2:79" x14ac:dyDescent="0.15">
      <c r="B124" s="50" t="s">
        <v>376</v>
      </c>
      <c r="AV124" s="51">
        <f>SUM(AV120:AV123)</f>
        <v>-1283.5</v>
      </c>
      <c r="AZ124" s="51">
        <f>SUM(AZ120:AZ123)</f>
        <v>-1013.8</v>
      </c>
    </row>
    <row r="125" spans="2:79" x14ac:dyDescent="0.15">
      <c r="AV125" s="51"/>
    </row>
    <row r="126" spans="2:79" x14ac:dyDescent="0.15">
      <c r="B126" s="50" t="s">
        <v>299</v>
      </c>
      <c r="AV126" s="51">
        <v>-774.8</v>
      </c>
      <c r="AZ126" s="51">
        <v>-885.5</v>
      </c>
    </row>
    <row r="127" spans="2:79" x14ac:dyDescent="0.15">
      <c r="B127" s="50" t="s">
        <v>379</v>
      </c>
      <c r="AV127" s="51">
        <v>-3.7</v>
      </c>
      <c r="AZ127" s="52">
        <f>499.7-710.1</f>
        <v>-210.40000000000003</v>
      </c>
    </row>
    <row r="128" spans="2:79" x14ac:dyDescent="0.15">
      <c r="B128" s="38" t="s">
        <v>378</v>
      </c>
      <c r="AV128" s="51">
        <v>0</v>
      </c>
      <c r="AZ128" s="51">
        <v>-1500</v>
      </c>
    </row>
    <row r="129" spans="2:52" x14ac:dyDescent="0.15">
      <c r="B129" s="38" t="s">
        <v>78</v>
      </c>
      <c r="AV129" s="51">
        <v>-279.89999999999998</v>
      </c>
      <c r="AZ129" s="51">
        <v>-282.39999999999998</v>
      </c>
    </row>
    <row r="130" spans="2:52" x14ac:dyDescent="0.15">
      <c r="B130" s="38" t="s">
        <v>377</v>
      </c>
      <c r="AV130" s="51">
        <f>SUM(AV126:AV129)</f>
        <v>-1058.4000000000001</v>
      </c>
      <c r="AZ130" s="51">
        <f>SUM(AZ126:AZ129)</f>
        <v>-2878.3</v>
      </c>
    </row>
    <row r="132" spans="2:52" x14ac:dyDescent="0.15">
      <c r="B132" s="38" t="s">
        <v>380</v>
      </c>
      <c r="AV132" s="51">
        <v>-10.199999999999999</v>
      </c>
      <c r="AZ132" s="51">
        <v>33.6</v>
      </c>
    </row>
    <row r="133" spans="2:52" x14ac:dyDescent="0.15">
      <c r="B133" s="38" t="s">
        <v>381</v>
      </c>
      <c r="AV133" s="51">
        <f>+AV132+AV130+AV124+AV118</f>
        <v>-654.7000000000005</v>
      </c>
      <c r="AZ133" s="51">
        <f>+AZ132+AZ130+AZ124+AZ118</f>
        <v>-1359.3000000000002</v>
      </c>
    </row>
    <row r="135" spans="2:52" x14ac:dyDescent="0.15">
      <c r="B135" t="s">
        <v>480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baseColWidth="10" defaultColWidth="9.1640625" defaultRowHeight="13" x14ac:dyDescent="0.15"/>
  <cols>
    <col min="1" max="1" width="5.6640625" style="1" customWidth="1"/>
    <col min="2" max="2" width="13.33203125" style="1" customWidth="1"/>
    <col min="3" max="3" width="10.1640625" style="1" bestFit="1" customWidth="1"/>
    <col min="4" max="16384" width="9.1640625" style="1"/>
  </cols>
  <sheetData>
    <row r="1" spans="1:5" x14ac:dyDescent="0.15">
      <c r="A1" s="15" t="s">
        <v>6</v>
      </c>
    </row>
    <row r="2" spans="1:5" x14ac:dyDescent="0.15">
      <c r="B2" s="1" t="s">
        <v>50</v>
      </c>
      <c r="C2" s="1" t="s">
        <v>7</v>
      </c>
    </row>
    <row r="3" spans="1:5" x14ac:dyDescent="0.15">
      <c r="B3" s="1" t="s">
        <v>48</v>
      </c>
      <c r="C3" s="1" t="s">
        <v>85</v>
      </c>
    </row>
    <row r="4" spans="1:5" x14ac:dyDescent="0.15">
      <c r="B4" s="1" t="s">
        <v>3</v>
      </c>
      <c r="C4" s="1" t="s">
        <v>86</v>
      </c>
    </row>
    <row r="5" spans="1:5" x14ac:dyDescent="0.15">
      <c r="B5" s="1" t="s">
        <v>1</v>
      </c>
      <c r="C5" s="1" t="s">
        <v>87</v>
      </c>
    </row>
    <row r="6" spans="1:5" x14ac:dyDescent="0.15">
      <c r="B6" s="1" t="s">
        <v>4</v>
      </c>
      <c r="C6" s="1" t="s">
        <v>88</v>
      </c>
    </row>
    <row r="7" spans="1:5" x14ac:dyDescent="0.15">
      <c r="C7" s="1" t="s">
        <v>8</v>
      </c>
    </row>
    <row r="8" spans="1:5" x14ac:dyDescent="0.15">
      <c r="C8" s="1" t="s">
        <v>29</v>
      </c>
    </row>
    <row r="9" spans="1:5" x14ac:dyDescent="0.15">
      <c r="C9" s="1" t="s">
        <v>30</v>
      </c>
    </row>
    <row r="12" spans="1:5" x14ac:dyDescent="0.15">
      <c r="B12" s="1" t="s">
        <v>164</v>
      </c>
      <c r="C12" s="6"/>
      <c r="D12" s="6" t="s">
        <v>165</v>
      </c>
      <c r="E12" s="6" t="s">
        <v>166</v>
      </c>
    </row>
    <row r="13" spans="1:5" x14ac:dyDescent="0.15">
      <c r="C13" s="43">
        <v>40165</v>
      </c>
      <c r="D13" s="35">
        <v>117723</v>
      </c>
      <c r="E13" s="35">
        <v>53829</v>
      </c>
    </row>
    <row r="14" spans="1:5" x14ac:dyDescent="0.1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15">
      <c r="C15" s="43">
        <f t="shared" si="0"/>
        <v>40151</v>
      </c>
      <c r="D15" s="35">
        <v>128647</v>
      </c>
      <c r="E15" s="35">
        <v>56775</v>
      </c>
    </row>
    <row r="16" spans="1:5" x14ac:dyDescent="0.15">
      <c r="C16" s="43">
        <f t="shared" si="0"/>
        <v>40144</v>
      </c>
      <c r="D16" s="35">
        <v>104242</v>
      </c>
      <c r="E16" s="35">
        <v>44896</v>
      </c>
    </row>
    <row r="17" spans="3:5" x14ac:dyDescent="0.15">
      <c r="C17" s="43">
        <f t="shared" si="0"/>
        <v>40137</v>
      </c>
      <c r="D17" s="35">
        <v>116685</v>
      </c>
      <c r="E17" s="35">
        <v>53770</v>
      </c>
    </row>
    <row r="18" spans="3:5" x14ac:dyDescent="0.15">
      <c r="C18" s="43">
        <f t="shared" si="0"/>
        <v>40130</v>
      </c>
      <c r="D18" s="35">
        <v>113476</v>
      </c>
      <c r="E18" s="35">
        <v>51112</v>
      </c>
    </row>
    <row r="19" spans="3:5" x14ac:dyDescent="0.15">
      <c r="C19" s="43">
        <f t="shared" si="0"/>
        <v>40123</v>
      </c>
      <c r="D19" s="35">
        <v>122441</v>
      </c>
      <c r="E19" s="35">
        <v>54445</v>
      </c>
    </row>
    <row r="20" spans="3:5" x14ac:dyDescent="0.15">
      <c r="C20" s="43">
        <f t="shared" si="0"/>
        <v>40116</v>
      </c>
      <c r="D20" s="35">
        <v>114922</v>
      </c>
      <c r="E20" s="35">
        <v>51865</v>
      </c>
    </row>
    <row r="21" spans="3:5" x14ac:dyDescent="0.15">
      <c r="C21" s="43">
        <v>39234</v>
      </c>
      <c r="D21" s="35">
        <v>118958</v>
      </c>
      <c r="E21" s="35">
        <v>50496</v>
      </c>
    </row>
    <row r="22" spans="3:5" x14ac:dyDescent="0.15">
      <c r="C22" s="43">
        <f>C21-7</f>
        <v>39227</v>
      </c>
      <c r="D22" s="35">
        <v>123390</v>
      </c>
      <c r="E22" s="35">
        <v>53736</v>
      </c>
    </row>
    <row r="23" spans="3:5" x14ac:dyDescent="0.1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6.1640625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14</v>
      </c>
    </row>
    <row r="3" spans="1:3" x14ac:dyDescent="0.15">
      <c r="B3" t="s">
        <v>3</v>
      </c>
      <c r="C3" t="s">
        <v>232</v>
      </c>
    </row>
    <row r="4" spans="1:3" x14ac:dyDescent="0.15">
      <c r="B4" t="s">
        <v>2</v>
      </c>
      <c r="C4" t="s">
        <v>281</v>
      </c>
    </row>
    <row r="5" spans="1:3" x14ac:dyDescent="0.15">
      <c r="B5" t="s">
        <v>92</v>
      </c>
    </row>
    <row r="6" spans="1:3" x14ac:dyDescent="0.15">
      <c r="C6" s="20" t="s">
        <v>233</v>
      </c>
    </row>
    <row r="7" spans="1:3" x14ac:dyDescent="0.15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baseColWidth="10" defaultColWidth="9.1640625" defaultRowHeight="13" x14ac:dyDescent="0.15"/>
  <cols>
    <col min="1" max="1" width="5" style="1" bestFit="1" customWidth="1"/>
    <col min="2" max="2" width="12.33203125" style="1" customWidth="1"/>
    <col min="3" max="16384" width="9.1640625" style="1"/>
  </cols>
  <sheetData>
    <row r="1" spans="1:8" x14ac:dyDescent="0.15">
      <c r="A1" s="15" t="s">
        <v>6</v>
      </c>
    </row>
    <row r="2" spans="1:8" x14ac:dyDescent="0.15">
      <c r="A2" s="15"/>
      <c r="B2" s="1" t="s">
        <v>50</v>
      </c>
      <c r="C2" s="1" t="s">
        <v>15</v>
      </c>
    </row>
    <row r="3" spans="1:8" x14ac:dyDescent="0.15">
      <c r="A3" s="15"/>
    </row>
    <row r="4" spans="1:8" x14ac:dyDescent="0.15">
      <c r="B4" s="1" t="s">
        <v>9</v>
      </c>
    </row>
    <row r="5" spans="1:8" x14ac:dyDescent="0.15">
      <c r="B5" s="1" t="s">
        <v>10</v>
      </c>
    </row>
    <row r="6" spans="1:8" x14ac:dyDescent="0.15">
      <c r="B6" s="1" t="s">
        <v>11</v>
      </c>
    </row>
    <row r="8" spans="1:8" x14ac:dyDescent="0.15">
      <c r="B8" s="1" t="s">
        <v>31</v>
      </c>
    </row>
    <row r="9" spans="1:8" x14ac:dyDescent="0.15">
      <c r="B9" s="1" t="s">
        <v>32</v>
      </c>
    </row>
    <row r="11" spans="1:8" x14ac:dyDescent="0.15">
      <c r="B11" s="29">
        <v>38338</v>
      </c>
    </row>
    <row r="12" spans="1:8" x14ac:dyDescent="0.15">
      <c r="B12" s="1" t="s">
        <v>44</v>
      </c>
    </row>
    <row r="13" spans="1:8" x14ac:dyDescent="0.15">
      <c r="B13" s="1" t="s">
        <v>42</v>
      </c>
    </row>
    <row r="14" spans="1:8" x14ac:dyDescent="0.15">
      <c r="B14" s="1" t="s">
        <v>43</v>
      </c>
    </row>
    <row r="16" spans="1:8" x14ac:dyDescent="0.1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1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15">
      <c r="C18" s="6"/>
      <c r="D18" s="6"/>
      <c r="E18" s="6"/>
      <c r="F18" s="6"/>
      <c r="G18" s="6"/>
      <c r="H18" s="6"/>
    </row>
    <row r="19" spans="2:8" x14ac:dyDescent="0.15">
      <c r="C19" s="6" t="s">
        <v>3</v>
      </c>
      <c r="D19" s="6" t="s">
        <v>89</v>
      </c>
      <c r="E19" s="6"/>
      <c r="F19" s="6"/>
      <c r="G19" s="6"/>
      <c r="H19" s="6"/>
    </row>
    <row r="20" spans="2:8" x14ac:dyDescent="0.15">
      <c r="C20" s="6"/>
      <c r="D20" s="6"/>
      <c r="E20" s="6"/>
      <c r="F20" s="6"/>
      <c r="G20" s="6"/>
      <c r="H20" s="6"/>
    </row>
    <row r="21" spans="2:8" x14ac:dyDescent="0.15">
      <c r="C21" s="6"/>
      <c r="D21" s="6"/>
      <c r="E21" s="6"/>
      <c r="F21" s="6"/>
      <c r="G21" s="6"/>
      <c r="H21" s="6"/>
    </row>
    <row r="22" spans="2:8" x14ac:dyDescent="0.15">
      <c r="C22" s="6"/>
      <c r="D22" s="6"/>
      <c r="E22" s="6"/>
      <c r="F22" s="6"/>
      <c r="G22" s="6"/>
      <c r="H22" s="6"/>
    </row>
    <row r="23" spans="2:8" x14ac:dyDescent="0.15">
      <c r="C23" s="6"/>
      <c r="D23" s="6"/>
      <c r="E23" s="6"/>
      <c r="F23" s="6"/>
      <c r="G23" s="6"/>
      <c r="H23" s="6"/>
    </row>
    <row r="24" spans="2:8" x14ac:dyDescent="0.1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1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15">
      <c r="C26" s="30">
        <f>C25-7</f>
        <v>39227</v>
      </c>
      <c r="D26" s="17">
        <v>69314</v>
      </c>
      <c r="E26" s="17">
        <v>35541</v>
      </c>
      <c r="F26" s="6"/>
    </row>
    <row r="27" spans="2:8" x14ac:dyDescent="0.15">
      <c r="C27" s="30">
        <v>38869</v>
      </c>
      <c r="D27" s="17">
        <v>70448</v>
      </c>
      <c r="E27" s="17">
        <v>34206</v>
      </c>
      <c r="F27" s="6"/>
    </row>
    <row r="28" spans="2:8" x14ac:dyDescent="0.1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2004-12-10T18:45:06Z</dcterms:created>
  <dcterms:modified xsi:type="dcterms:W3CDTF">2022-11-14T02:51:32Z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