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13_ncr:1_{052C37FA-252C-8C4A-AACF-945BCB3196E7}" xr6:coauthVersionLast="47" xr6:coauthVersionMax="47" xr10:uidLastSave="{00000000-0000-0000-0000-000000000000}"/>
  <bookViews>
    <workbookView xWindow="0" yWindow="760" windowWidth="30240" windowHeight="17720" activeTab="2" xr2:uid="{00000000-000D-0000-FFFF-FFFF00000000}"/>
  </bookViews>
  <sheets>
    <sheet name="Cover" sheetId="6" r:id="rId1"/>
    <sheet name="Main" sheetId="1" r:id="rId2"/>
    <sheet name="Model" sheetId="2" r:id="rId3"/>
    <sheet name="NPV Valuation" sheetId="5" r:id="rId4"/>
    <sheet name="Other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" l="1"/>
  <c r="D16" i="1" s="1"/>
  <c r="K39" i="2"/>
  <c r="K82" i="2"/>
  <c r="K69" i="2"/>
  <c r="K32" i="2"/>
  <c r="K31" i="2"/>
  <c r="K24" i="2"/>
  <c r="AF38" i="2"/>
  <c r="AE38" i="2"/>
  <c r="J38" i="2"/>
  <c r="D25" i="5" l="1"/>
  <c r="D11" i="5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U11" i="2"/>
  <c r="V11" i="2"/>
  <c r="W11" i="2"/>
  <c r="X11" i="2"/>
  <c r="Y11" i="2"/>
  <c r="Z11" i="2"/>
  <c r="AA11" i="2"/>
  <c r="AB11" i="2"/>
  <c r="AC11" i="2"/>
  <c r="AD11" i="2"/>
  <c r="T11" i="2"/>
  <c r="C11" i="2"/>
  <c r="D11" i="2"/>
  <c r="E11" i="2"/>
  <c r="F11" i="2"/>
  <c r="G11" i="2"/>
  <c r="H11" i="2"/>
  <c r="I11" i="2"/>
  <c r="J11" i="2"/>
  <c r="L11" i="2"/>
  <c r="B11" i="2"/>
  <c r="U14" i="2"/>
  <c r="V14" i="2"/>
  <c r="W14" i="2"/>
  <c r="X14" i="2"/>
  <c r="Y14" i="2"/>
  <c r="Z14" i="2"/>
  <c r="AA14" i="2"/>
  <c r="AB14" i="2"/>
  <c r="AC14" i="2"/>
  <c r="AD14" i="2"/>
  <c r="T14" i="2"/>
  <c r="N12" i="2"/>
  <c r="N11" i="2" s="1"/>
  <c r="C14" i="2"/>
  <c r="D14" i="2"/>
  <c r="E14" i="2"/>
  <c r="F14" i="2"/>
  <c r="G14" i="2"/>
  <c r="H14" i="2"/>
  <c r="I14" i="2"/>
  <c r="J14" i="2"/>
  <c r="B14" i="2"/>
  <c r="AF9" i="2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D9" i="2"/>
  <c r="AC9" i="2" s="1"/>
  <c r="AB9" i="2" s="1"/>
  <c r="AA9" i="2" s="1"/>
  <c r="Z9" i="2" s="1"/>
  <c r="Y9" i="2" s="1"/>
  <c r="X9" i="2" s="1"/>
  <c r="W9" i="2" s="1"/>
  <c r="V9" i="2" s="1"/>
  <c r="U9" i="2" s="1"/>
  <c r="T9" i="2" s="1"/>
  <c r="N9" i="2"/>
  <c r="M9" i="2"/>
  <c r="Q9" i="2" s="1"/>
  <c r="L9" i="2"/>
  <c r="P9" i="2" s="1"/>
  <c r="K9" i="2"/>
  <c r="O9" i="2" s="1"/>
  <c r="F9" i="2"/>
  <c r="B9" i="2" s="1"/>
  <c r="E9" i="2"/>
  <c r="D9" i="2"/>
  <c r="C9" i="2"/>
  <c r="AQ20" i="2"/>
  <c r="AP20" i="2"/>
  <c r="AO20" i="2"/>
  <c r="AN20" i="2"/>
  <c r="AM20" i="2"/>
  <c r="AL20" i="2"/>
  <c r="AK20" i="2"/>
  <c r="AJ20" i="2"/>
  <c r="AI20" i="2"/>
  <c r="AH20" i="2"/>
  <c r="O20" i="2" s="1"/>
  <c r="J17" i="2"/>
  <c r="L17" i="2" s="1"/>
  <c r="M17" i="2" s="1"/>
  <c r="M24" i="2" s="1"/>
  <c r="H17" i="2"/>
  <c r="H18" i="2" s="1"/>
  <c r="G17" i="2"/>
  <c r="G18" i="2" s="1"/>
  <c r="F17" i="2"/>
  <c r="F18" i="2" s="1"/>
  <c r="M12" i="2"/>
  <c r="Q12" i="2" s="1"/>
  <c r="L12" i="2"/>
  <c r="L14" i="2" s="1"/>
  <c r="K12" i="2"/>
  <c r="O12" i="2" s="1"/>
  <c r="AE12" i="2"/>
  <c r="AR20" i="2" s="1"/>
  <c r="AF12" i="2"/>
  <c r="AS20" i="2" s="1"/>
  <c r="L29" i="2"/>
  <c r="M29" i="2" s="1"/>
  <c r="N29" i="2" s="1"/>
  <c r="L37" i="2"/>
  <c r="M37" i="2" s="1"/>
  <c r="AG37" i="2" s="1"/>
  <c r="AH37" i="2" s="1"/>
  <c r="AI37" i="2" s="1"/>
  <c r="AJ37" i="2" s="1"/>
  <c r="K41" i="2"/>
  <c r="E37" i="2"/>
  <c r="E29" i="2"/>
  <c r="E28" i="2"/>
  <c r="E26" i="2"/>
  <c r="E24" i="2"/>
  <c r="B32" i="2"/>
  <c r="B30" i="2"/>
  <c r="B27" i="2"/>
  <c r="I34" i="2"/>
  <c r="I29" i="2"/>
  <c r="I28" i="2"/>
  <c r="I26" i="2"/>
  <c r="I24" i="2"/>
  <c r="I17" i="2" s="1"/>
  <c r="I18" i="2" s="1"/>
  <c r="J41" i="2"/>
  <c r="C32" i="2"/>
  <c r="C30" i="2"/>
  <c r="C27" i="2"/>
  <c r="G32" i="2"/>
  <c r="I37" i="2"/>
  <c r="D32" i="2"/>
  <c r="D30" i="2"/>
  <c r="D27" i="2"/>
  <c r="H32" i="2"/>
  <c r="H27" i="2"/>
  <c r="H42" i="2" s="1"/>
  <c r="G27" i="2"/>
  <c r="G42" i="2" s="1"/>
  <c r="F27" i="2"/>
  <c r="H30" i="2"/>
  <c r="G30" i="2"/>
  <c r="F30" i="2"/>
  <c r="AE32" i="2"/>
  <c r="AF32" i="2"/>
  <c r="AG32" i="2" s="1"/>
  <c r="AE27" i="2"/>
  <c r="AE42" i="2" s="1"/>
  <c r="AE30" i="2"/>
  <c r="AF30" i="2"/>
  <c r="AF27" i="2"/>
  <c r="AF42" i="2" s="1"/>
  <c r="J26" i="1"/>
  <c r="J82" i="2"/>
  <c r="F32" i="2"/>
  <c r="J32" i="2"/>
  <c r="I67" i="2"/>
  <c r="I59" i="2"/>
  <c r="I58" i="2"/>
  <c r="I51" i="2"/>
  <c r="I53" i="2" s="1"/>
  <c r="J67" i="2"/>
  <c r="J59" i="2"/>
  <c r="J58" i="2"/>
  <c r="J51" i="2"/>
  <c r="J53" i="2" s="1"/>
  <c r="J30" i="2"/>
  <c r="J27" i="2"/>
  <c r="J42" i="2" s="1"/>
  <c r="J25" i="1"/>
  <c r="N17" i="2" l="1"/>
  <c r="O29" i="2"/>
  <c r="O17" i="2"/>
  <c r="P17" i="2"/>
  <c r="N37" i="2"/>
  <c r="O37" i="2" s="1"/>
  <c r="P37" i="2" s="1"/>
  <c r="Q37" i="2" s="1"/>
  <c r="M26" i="2"/>
  <c r="M41" i="2"/>
  <c r="J18" i="2"/>
  <c r="AF17" i="2"/>
  <c r="AF18" i="2" s="1"/>
  <c r="K18" i="2"/>
  <c r="P29" i="2"/>
  <c r="Q29" i="2" s="1"/>
  <c r="O24" i="2"/>
  <c r="O18" i="2"/>
  <c r="N20" i="2"/>
  <c r="Q20" i="2"/>
  <c r="Q14" i="2" s="1"/>
  <c r="P20" i="2"/>
  <c r="Q17" i="2"/>
  <c r="M18" i="2"/>
  <c r="AE11" i="2"/>
  <c r="AF11" i="2"/>
  <c r="O11" i="2"/>
  <c r="O14" i="2"/>
  <c r="O22" i="2" s="1"/>
  <c r="K11" i="2"/>
  <c r="K14" i="2"/>
  <c r="Q11" i="2"/>
  <c r="AF14" i="2"/>
  <c r="M11" i="2"/>
  <c r="P12" i="2"/>
  <c r="M14" i="2"/>
  <c r="AE14" i="2"/>
  <c r="I63" i="2"/>
  <c r="E30" i="2"/>
  <c r="AK37" i="2"/>
  <c r="E27" i="2"/>
  <c r="E42" i="2" s="1"/>
  <c r="AG12" i="2"/>
  <c r="K30" i="2"/>
  <c r="AF31" i="2"/>
  <c r="AF33" i="2" s="1"/>
  <c r="AF35" i="2" s="1"/>
  <c r="AF36" i="2" s="1"/>
  <c r="AG29" i="2"/>
  <c r="AH29" i="2" s="1"/>
  <c r="E17" i="2"/>
  <c r="E32" i="2"/>
  <c r="I30" i="2"/>
  <c r="I41" i="2"/>
  <c r="I32" i="2"/>
  <c r="I27" i="2"/>
  <c r="K27" i="2"/>
  <c r="F31" i="2"/>
  <c r="F33" i="2" s="1"/>
  <c r="F35" i="2" s="1"/>
  <c r="F36" i="2" s="1"/>
  <c r="F42" i="2"/>
  <c r="B31" i="2"/>
  <c r="B33" i="2" s="1"/>
  <c r="B35" i="2" s="1"/>
  <c r="B36" i="2" s="1"/>
  <c r="L28" i="2"/>
  <c r="L30" i="2" s="1"/>
  <c r="D31" i="2"/>
  <c r="D33" i="2" s="1"/>
  <c r="D35" i="2" s="1"/>
  <c r="D36" i="2" s="1"/>
  <c r="C31" i="2"/>
  <c r="C33" i="2" s="1"/>
  <c r="C35" i="2" s="1"/>
  <c r="C36" i="2" s="1"/>
  <c r="G31" i="2"/>
  <c r="G33" i="2" s="1"/>
  <c r="G35" i="2" s="1"/>
  <c r="G36" i="2" s="1"/>
  <c r="H31" i="2"/>
  <c r="H33" i="2" s="1"/>
  <c r="H35" i="2" s="1"/>
  <c r="H36" i="2" s="1"/>
  <c r="J31" i="2"/>
  <c r="J33" i="2" s="1"/>
  <c r="J35" i="2" s="1"/>
  <c r="J36" i="2" s="1"/>
  <c r="AE31" i="2"/>
  <c r="AE33" i="2" s="1"/>
  <c r="AE35" i="2" s="1"/>
  <c r="AE36" i="2" s="1"/>
  <c r="J28" i="1"/>
  <c r="J63" i="2"/>
  <c r="E18" i="2" l="1"/>
  <c r="AE17" i="2"/>
  <c r="AE18" i="2" s="1"/>
  <c r="O21" i="2"/>
  <c r="O41" i="2"/>
  <c r="O26" i="2"/>
  <c r="O27" i="2" s="1"/>
  <c r="O42" i="2" s="1"/>
  <c r="N14" i="2"/>
  <c r="N22" i="2" s="1"/>
  <c r="N24" i="2"/>
  <c r="P22" i="2"/>
  <c r="P24" i="2"/>
  <c r="P21" i="2"/>
  <c r="Q22" i="2"/>
  <c r="Q24" i="2"/>
  <c r="P14" i="2"/>
  <c r="P11" i="2"/>
  <c r="AG14" i="2"/>
  <c r="AG22" i="2" s="1"/>
  <c r="AG11" i="2"/>
  <c r="I31" i="2"/>
  <c r="I33" i="2" s="1"/>
  <c r="I35" i="2" s="1"/>
  <c r="I36" i="2" s="1"/>
  <c r="I42" i="2"/>
  <c r="E31" i="2"/>
  <c r="E33" i="2" s="1"/>
  <c r="E35" i="2" s="1"/>
  <c r="E36" i="2" s="1"/>
  <c r="AH12" i="2"/>
  <c r="AT20" i="2"/>
  <c r="K33" i="2"/>
  <c r="K35" i="2" s="1"/>
  <c r="K38" i="2" s="1"/>
  <c r="K42" i="2"/>
  <c r="AI29" i="2"/>
  <c r="AL37" i="2"/>
  <c r="M28" i="2"/>
  <c r="AG28" i="2" s="1"/>
  <c r="M30" i="2" l="1"/>
  <c r="N28" i="2"/>
  <c r="P18" i="2"/>
  <c r="P26" i="2"/>
  <c r="P27" i="2"/>
  <c r="P42" i="2" s="1"/>
  <c r="N18" i="2"/>
  <c r="N41" i="2"/>
  <c r="N26" i="2"/>
  <c r="N27" i="2" s="1"/>
  <c r="N42" i="2" s="1"/>
  <c r="N21" i="2"/>
  <c r="Q18" i="2"/>
  <c r="Q41" i="2"/>
  <c r="Q26" i="2"/>
  <c r="Q27" i="2" s="1"/>
  <c r="Q42" i="2" s="1"/>
  <c r="Q21" i="2"/>
  <c r="AH14" i="2"/>
  <c r="AH22" i="2" s="1"/>
  <c r="AH11" i="2"/>
  <c r="AI12" i="2"/>
  <c r="AU20" i="2"/>
  <c r="AG30" i="2"/>
  <c r="AH28" i="2"/>
  <c r="K36" i="2"/>
  <c r="K44" i="2"/>
  <c r="AJ29" i="2"/>
  <c r="AM37" i="2"/>
  <c r="O28" i="2" l="1"/>
  <c r="N30" i="2"/>
  <c r="N31" i="2" s="1"/>
  <c r="N33" i="2" s="1"/>
  <c r="AI14" i="2"/>
  <c r="AI22" i="2" s="1"/>
  <c r="AI11" i="2"/>
  <c r="AJ12" i="2"/>
  <c r="AJ11" i="2" s="1"/>
  <c r="AV20" i="2"/>
  <c r="AK29" i="2"/>
  <c r="AI28" i="2"/>
  <c r="AH30" i="2"/>
  <c r="AN37" i="2"/>
  <c r="N34" i="2" l="1"/>
  <c r="N35" i="2" s="1"/>
  <c r="P28" i="2"/>
  <c r="O30" i="2"/>
  <c r="O31" i="2" s="1"/>
  <c r="O33" i="2" s="1"/>
  <c r="AK12" i="2"/>
  <c r="AK11" i="2" s="1"/>
  <c r="AJ14" i="2"/>
  <c r="AJ22" i="2" s="1"/>
  <c r="AW20" i="2"/>
  <c r="AJ28" i="2"/>
  <c r="AI30" i="2"/>
  <c r="AL29" i="2"/>
  <c r="AO37" i="2"/>
  <c r="N36" i="2" l="1"/>
  <c r="N38" i="2"/>
  <c r="O34" i="2"/>
  <c r="O35" i="2" s="1"/>
  <c r="Q28" i="2"/>
  <c r="Q30" i="2" s="1"/>
  <c r="Q31" i="2" s="1"/>
  <c r="Q33" i="2" s="1"/>
  <c r="P30" i="2"/>
  <c r="P31" i="2" s="1"/>
  <c r="P33" i="2" s="1"/>
  <c r="AL12" i="2"/>
  <c r="AL11" i="2" s="1"/>
  <c r="AK14" i="2"/>
  <c r="AK22" i="2" s="1"/>
  <c r="AM29" i="2"/>
  <c r="AK28" i="2"/>
  <c r="AJ30" i="2"/>
  <c r="AP37" i="2"/>
  <c r="O36" i="2" l="1"/>
  <c r="O38" i="2"/>
  <c r="P34" i="2"/>
  <c r="P35" i="2" s="1"/>
  <c r="Q34" i="2"/>
  <c r="Q35" i="2" s="1"/>
  <c r="AM12" i="2"/>
  <c r="AM11" i="2" s="1"/>
  <c r="AL14" i="2"/>
  <c r="AL22" i="2" s="1"/>
  <c r="AL28" i="2"/>
  <c r="AK30" i="2"/>
  <c r="AN29" i="2"/>
  <c r="AQ37" i="2"/>
  <c r="Q36" i="2" l="1"/>
  <c r="Q38" i="2"/>
  <c r="P36" i="2"/>
  <c r="P38" i="2"/>
  <c r="AN12" i="2"/>
  <c r="AN11" i="2" s="1"/>
  <c r="AM14" i="2"/>
  <c r="AM22" i="2" s="1"/>
  <c r="AO29" i="2"/>
  <c r="AM28" i="2"/>
  <c r="AL30" i="2"/>
  <c r="AR37" i="2"/>
  <c r="AO12" i="2" l="1"/>
  <c r="AO11" i="2" s="1"/>
  <c r="AN14" i="2"/>
  <c r="AN22" i="2" s="1"/>
  <c r="AN28" i="2"/>
  <c r="AM30" i="2"/>
  <c r="AP29" i="2"/>
  <c r="AS37" i="2"/>
  <c r="AT37" i="2" s="1"/>
  <c r="AU37" i="2" s="1"/>
  <c r="AV37" i="2" s="1"/>
  <c r="AW37" i="2" s="1"/>
  <c r="L24" i="2"/>
  <c r="AG17" i="2"/>
  <c r="AH17" i="2" l="1"/>
  <c r="AH24" i="2" s="1"/>
  <c r="L41" i="2"/>
  <c r="P41" i="2"/>
  <c r="L18" i="2"/>
  <c r="AP12" i="2"/>
  <c r="AP11" i="2" s="1"/>
  <c r="AO14" i="2"/>
  <c r="AO22" i="2" s="1"/>
  <c r="L26" i="2"/>
  <c r="AG26" i="2" s="1"/>
  <c r="AQ29" i="2"/>
  <c r="AO28" i="2"/>
  <c r="AN30" i="2"/>
  <c r="AI17" i="2"/>
  <c r="M27" i="2"/>
  <c r="AG24" i="2"/>
  <c r="C12" i="5" s="1"/>
  <c r="AG18" i="2" l="1"/>
  <c r="D12" i="5"/>
  <c r="AH21" i="2"/>
  <c r="AH18" i="2"/>
  <c r="AQ12" i="2"/>
  <c r="AQ11" i="2" s="1"/>
  <c r="AP14" i="2"/>
  <c r="AP22" i="2" s="1"/>
  <c r="AG27" i="2"/>
  <c r="AG42" i="2" s="1"/>
  <c r="AG41" i="2"/>
  <c r="AP28" i="2"/>
  <c r="AO30" i="2"/>
  <c r="AR29" i="2"/>
  <c r="AS29" i="2" s="1"/>
  <c r="AT29" i="2" s="1"/>
  <c r="AH41" i="2"/>
  <c r="L27" i="2"/>
  <c r="M31" i="2"/>
  <c r="M33" i="2" s="1"/>
  <c r="M35" i="2" s="1"/>
  <c r="M42" i="2"/>
  <c r="AI24" i="2"/>
  <c r="AI18" i="2" s="1"/>
  <c r="AJ17" i="2"/>
  <c r="AH27" i="2"/>
  <c r="AH26" i="2" s="1"/>
  <c r="M36" i="2" l="1"/>
  <c r="M38" i="2"/>
  <c r="AI41" i="2"/>
  <c r="E12" i="5"/>
  <c r="AI21" i="2"/>
  <c r="AR12" i="2"/>
  <c r="AR11" i="2" s="1"/>
  <c r="AQ14" i="2"/>
  <c r="AQ22" i="2" s="1"/>
  <c r="AG31" i="2"/>
  <c r="AU29" i="2"/>
  <c r="L31" i="2"/>
  <c r="L33" i="2" s="1"/>
  <c r="L35" i="2" s="1"/>
  <c r="L38" i="2" s="1"/>
  <c r="L42" i="2"/>
  <c r="AH31" i="2"/>
  <c r="D14" i="5" s="1"/>
  <c r="AH42" i="2"/>
  <c r="AQ28" i="2"/>
  <c r="AP30" i="2"/>
  <c r="AK17" i="2"/>
  <c r="AJ24" i="2"/>
  <c r="AI27" i="2"/>
  <c r="AJ41" i="2" l="1"/>
  <c r="F12" i="5"/>
  <c r="AJ21" i="2"/>
  <c r="AG33" i="2"/>
  <c r="AG35" i="2" s="1"/>
  <c r="AG38" i="2" s="1"/>
  <c r="C14" i="5"/>
  <c r="AJ18" i="2"/>
  <c r="AS12" i="2"/>
  <c r="AS11" i="2" s="1"/>
  <c r="AR14" i="2"/>
  <c r="AR22" i="2" s="1"/>
  <c r="AV29" i="2"/>
  <c r="AW29" i="2" s="1"/>
  <c r="AR28" i="2"/>
  <c r="AQ30" i="2"/>
  <c r="L44" i="2"/>
  <c r="M44" i="2" s="1"/>
  <c r="L36" i="2"/>
  <c r="AI31" i="2"/>
  <c r="E14" i="5" s="1"/>
  <c r="AI42" i="2"/>
  <c r="AI26" i="2"/>
  <c r="AJ27" i="2"/>
  <c r="AJ26" i="2" s="1"/>
  <c r="AL17" i="2"/>
  <c r="AK24" i="2"/>
  <c r="AG44" i="2" l="1"/>
  <c r="AH32" i="2" s="1"/>
  <c r="AH33" i="2" s="1"/>
  <c r="AH34" i="2" s="1"/>
  <c r="N44" i="2"/>
  <c r="O44" i="2" s="1"/>
  <c r="P44" i="2" s="1"/>
  <c r="Q44" i="2" s="1"/>
  <c r="AG36" i="2"/>
  <c r="C16" i="5"/>
  <c r="AK41" i="2"/>
  <c r="G12" i="5"/>
  <c r="AK21" i="2"/>
  <c r="AK18" i="2"/>
  <c r="AT12" i="2"/>
  <c r="AT11" i="2" s="1"/>
  <c r="AS14" i="2"/>
  <c r="AS22" i="2" s="1"/>
  <c r="AJ31" i="2"/>
  <c r="F14" i="5" s="1"/>
  <c r="AJ42" i="2"/>
  <c r="AS28" i="2"/>
  <c r="AR30" i="2"/>
  <c r="AK27" i="2"/>
  <c r="AK26" i="2" s="1"/>
  <c r="AM17" i="2"/>
  <c r="AL24" i="2"/>
  <c r="AH35" i="2" l="1"/>
  <c r="AL41" i="2"/>
  <c r="H12" i="5"/>
  <c r="AL21" i="2"/>
  <c r="AL18" i="2"/>
  <c r="AU12" i="2"/>
  <c r="AU11" i="2" s="1"/>
  <c r="AT14" i="2"/>
  <c r="AT22" i="2" s="1"/>
  <c r="AS30" i="2"/>
  <c r="AT28" i="2"/>
  <c r="AK31" i="2"/>
  <c r="G14" i="5" s="1"/>
  <c r="AK42" i="2"/>
  <c r="AL27" i="2"/>
  <c r="AL26" i="2" s="1"/>
  <c r="AM24" i="2"/>
  <c r="AN17" i="2"/>
  <c r="AH44" i="2" l="1"/>
  <c r="AI32" i="2" s="1"/>
  <c r="AI33" i="2" s="1"/>
  <c r="AI34" i="2" s="1"/>
  <c r="AI35" i="2" s="1"/>
  <c r="AI38" i="2" s="1"/>
  <c r="AH38" i="2"/>
  <c r="AH36" i="2"/>
  <c r="D16" i="5"/>
  <c r="AM41" i="2"/>
  <c r="I12" i="5"/>
  <c r="AM21" i="2"/>
  <c r="AM18" i="2"/>
  <c r="AV12" i="2"/>
  <c r="AV11" i="2" s="1"/>
  <c r="AU14" i="2"/>
  <c r="AU22" i="2" s="1"/>
  <c r="AU28" i="2"/>
  <c r="AT30" i="2"/>
  <c r="AL31" i="2"/>
  <c r="H14" i="5" s="1"/>
  <c r="AL42" i="2"/>
  <c r="AO17" i="2"/>
  <c r="AN24" i="2"/>
  <c r="AM27" i="2"/>
  <c r="AI36" i="2" l="1"/>
  <c r="AI44" i="2"/>
  <c r="AJ32" i="2" s="1"/>
  <c r="AJ33" i="2" s="1"/>
  <c r="AJ34" i="2" s="1"/>
  <c r="E16" i="5"/>
  <c r="AN41" i="2"/>
  <c r="J12" i="5"/>
  <c r="AN21" i="2"/>
  <c r="AN18" i="2"/>
  <c r="AW12" i="2"/>
  <c r="AV14" i="2"/>
  <c r="AV22" i="2" s="1"/>
  <c r="AV28" i="2"/>
  <c r="AU30" i="2"/>
  <c r="AM31" i="2"/>
  <c r="I14" i="5" s="1"/>
  <c r="AM42" i="2"/>
  <c r="AM26" i="2"/>
  <c r="AN27" i="2"/>
  <c r="AN26" i="2" s="1"/>
  <c r="AO24" i="2"/>
  <c r="AP17" i="2"/>
  <c r="AO41" i="2" l="1"/>
  <c r="K12" i="5"/>
  <c r="AO21" i="2"/>
  <c r="AO18" i="2"/>
  <c r="AW14" i="2"/>
  <c r="AW22" i="2" s="1"/>
  <c r="AW11" i="2"/>
  <c r="AJ35" i="2"/>
  <c r="AW28" i="2"/>
  <c r="AW30" i="2" s="1"/>
  <c r="AV30" i="2"/>
  <c r="AN31" i="2"/>
  <c r="J14" i="5" s="1"/>
  <c r="AN42" i="2"/>
  <c r="AP24" i="2"/>
  <c r="AP18" i="2" s="1"/>
  <c r="AQ17" i="2"/>
  <c r="AO27" i="2"/>
  <c r="AJ44" i="2" l="1"/>
  <c r="AK32" i="2" s="1"/>
  <c r="AK33" i="2" s="1"/>
  <c r="AK34" i="2" s="1"/>
  <c r="AK35" i="2" s="1"/>
  <c r="AJ38" i="2"/>
  <c r="AP41" i="2"/>
  <c r="L12" i="5"/>
  <c r="AP21" i="2"/>
  <c r="AJ36" i="2"/>
  <c r="F16" i="5"/>
  <c r="AO31" i="2"/>
  <c r="K14" i="5" s="1"/>
  <c r="AO42" i="2"/>
  <c r="AO26" i="2"/>
  <c r="AQ24" i="2"/>
  <c r="AR17" i="2"/>
  <c r="AP27" i="2"/>
  <c r="G16" i="5" l="1"/>
  <c r="AK38" i="2"/>
  <c r="AQ41" i="2"/>
  <c r="M12" i="5"/>
  <c r="AQ21" i="2"/>
  <c r="AQ18" i="2"/>
  <c r="AK44" i="2"/>
  <c r="AK36" i="2"/>
  <c r="AP31" i="2"/>
  <c r="L14" i="5" s="1"/>
  <c r="AP42" i="2"/>
  <c r="AP26" i="2"/>
  <c r="AR24" i="2"/>
  <c r="AS17" i="2"/>
  <c r="AQ27" i="2"/>
  <c r="AR41" i="2" l="1"/>
  <c r="N12" i="5"/>
  <c r="AR21" i="2"/>
  <c r="AR18" i="2"/>
  <c r="AS24" i="2"/>
  <c r="AT17" i="2"/>
  <c r="AL32" i="2"/>
  <c r="AL33" i="2" s="1"/>
  <c r="AL34" i="2" s="1"/>
  <c r="AL35" i="2" s="1"/>
  <c r="AL38" i="2" s="1"/>
  <c r="AQ31" i="2"/>
  <c r="M14" i="5" s="1"/>
  <c r="AQ42" i="2"/>
  <c r="AQ26" i="2"/>
  <c r="AR27" i="2"/>
  <c r="AR26" i="2" s="1"/>
  <c r="AS41" i="2" l="1"/>
  <c r="O12" i="5"/>
  <c r="AS21" i="2"/>
  <c r="AS18" i="2"/>
  <c r="H16" i="5"/>
  <c r="AS27" i="2"/>
  <c r="AS26" i="2" s="1"/>
  <c r="AU17" i="2"/>
  <c r="AT24" i="2"/>
  <c r="AL44" i="2"/>
  <c r="AL36" i="2"/>
  <c r="AR31" i="2"/>
  <c r="N14" i="5" s="1"/>
  <c r="AR42" i="2"/>
  <c r="AS42" i="2" l="1"/>
  <c r="P12" i="5"/>
  <c r="AT21" i="2"/>
  <c r="AT18" i="2"/>
  <c r="AS31" i="2"/>
  <c r="O14" i="5" s="1"/>
  <c r="AT27" i="2"/>
  <c r="AT41" i="2"/>
  <c r="AV17" i="2"/>
  <c r="AU24" i="2"/>
  <c r="AM32" i="2"/>
  <c r="AM33" i="2" s="1"/>
  <c r="AM34" i="2" s="1"/>
  <c r="Q12" i="5" l="1"/>
  <c r="AU21" i="2"/>
  <c r="AU18" i="2"/>
  <c r="AM35" i="2"/>
  <c r="AM38" i="2" s="1"/>
  <c r="AT31" i="2"/>
  <c r="P14" i="5" s="1"/>
  <c r="AT42" i="2"/>
  <c r="AU27" i="2"/>
  <c r="AU26" i="2" s="1"/>
  <c r="AU41" i="2"/>
  <c r="AW17" i="2"/>
  <c r="AV24" i="2"/>
  <c r="AT26" i="2"/>
  <c r="R12" i="5" l="1"/>
  <c r="AV21" i="2"/>
  <c r="AW24" i="2"/>
  <c r="AW18" i="2"/>
  <c r="AV18" i="2"/>
  <c r="AM36" i="2"/>
  <c r="I16" i="5"/>
  <c r="AM44" i="2"/>
  <c r="AN32" i="2" s="1"/>
  <c r="AN33" i="2" s="1"/>
  <c r="AN34" i="2" s="1"/>
  <c r="AU42" i="2"/>
  <c r="AU31" i="2"/>
  <c r="Q14" i="5" s="1"/>
  <c r="AV27" i="2"/>
  <c r="AV26" i="2" s="1"/>
  <c r="AV41" i="2"/>
  <c r="S12" i="5" l="1"/>
  <c r="AW21" i="2"/>
  <c r="AW41" i="2"/>
  <c r="AW27" i="2"/>
  <c r="AW26" i="2" s="1"/>
  <c r="AV31" i="2"/>
  <c r="R14" i="5" s="1"/>
  <c r="AV42" i="2"/>
  <c r="AN35" i="2"/>
  <c r="AN38" i="2" s="1"/>
  <c r="AW31" i="2" l="1"/>
  <c r="S14" i="5" s="1"/>
  <c r="AW42" i="2"/>
  <c r="AN44" i="2"/>
  <c r="AO32" i="2" s="1"/>
  <c r="AO33" i="2" s="1"/>
  <c r="AO34" i="2" s="1"/>
  <c r="J16" i="5"/>
  <c r="AN36" i="2"/>
  <c r="AO35" i="2" l="1"/>
  <c r="AO38" i="2" s="1"/>
  <c r="AO44" i="2" l="1"/>
  <c r="AP32" i="2" s="1"/>
  <c r="AP33" i="2" s="1"/>
  <c r="AP34" i="2" s="1"/>
  <c r="K16" i="5"/>
  <c r="AO36" i="2"/>
  <c r="AP35" i="2" l="1"/>
  <c r="AP38" i="2" s="1"/>
  <c r="AP36" i="2" l="1"/>
  <c r="L16" i="5"/>
  <c r="AP44" i="2"/>
  <c r="AQ32" i="2" s="1"/>
  <c r="AQ33" i="2" s="1"/>
  <c r="AQ34" i="2" s="1"/>
  <c r="AQ35" i="2" l="1"/>
  <c r="AQ38" i="2" s="1"/>
  <c r="AQ36" i="2" l="1"/>
  <c r="M16" i="5"/>
  <c r="AQ44" i="2"/>
  <c r="AR32" i="2" s="1"/>
  <c r="AR33" i="2" s="1"/>
  <c r="AR34" i="2" s="1"/>
  <c r="AR35" i="2" s="1"/>
  <c r="N16" i="5" l="1"/>
  <c r="AR38" i="2"/>
  <c r="AR36" i="2"/>
  <c r="AR44" i="2"/>
  <c r="AS32" i="2" l="1"/>
  <c r="AS33" i="2" s="1"/>
  <c r="AS34" i="2" s="1"/>
  <c r="AS35" i="2" l="1"/>
  <c r="AS38" i="2" s="1"/>
  <c r="AS36" i="2" l="1"/>
  <c r="O16" i="5"/>
  <c r="AS44" i="2"/>
  <c r="AT32" i="2" s="1"/>
  <c r="AT33" i="2" s="1"/>
  <c r="AT34" i="2" s="1"/>
  <c r="AT35" i="2" l="1"/>
  <c r="P16" i="5" l="1"/>
  <c r="AT38" i="2"/>
  <c r="AT36" i="2"/>
  <c r="AT44" i="2"/>
  <c r="AU32" i="2" l="1"/>
  <c r="AU33" i="2" s="1"/>
  <c r="AU34" i="2" s="1"/>
  <c r="AU35" i="2" l="1"/>
  <c r="Q16" i="5" l="1"/>
  <c r="AU38" i="2"/>
  <c r="AU36" i="2"/>
  <c r="AU44" i="2"/>
  <c r="AV32" i="2" s="1"/>
  <c r="AV33" i="2" s="1"/>
  <c r="AV34" i="2" s="1"/>
  <c r="AV35" i="2" s="1"/>
  <c r="AV38" i="2" s="1"/>
  <c r="AV36" i="2" l="1"/>
  <c r="R16" i="5"/>
  <c r="AV44" i="2"/>
  <c r="AW32" i="2" s="1"/>
  <c r="AW33" i="2" s="1"/>
  <c r="AW34" i="2" s="1"/>
  <c r="AW35" i="2" l="1"/>
  <c r="AW38" i="2" s="1"/>
  <c r="AW36" i="2" l="1"/>
  <c r="S16" i="5"/>
  <c r="AW44" i="2"/>
  <c r="D14" i="1" l="1"/>
  <c r="D19" i="1" s="1"/>
  <c r="D20" i="1" s="1"/>
  <c r="D15" i="1"/>
  <c r="D24" i="5"/>
  <c r="D23" i="5"/>
  <c r="D2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</author>
  </authors>
  <commentList>
    <comment ref="D16" authorId="0" shapeId="0" xr:uid="{4AFC74D0-C87F-2942-91C1-F890B6DF04CF}">
      <text>
        <r>
          <rPr>
            <b/>
            <sz val="10"/>
            <color rgb="FF000000"/>
            <rFont val="Tahoma"/>
            <family val="2"/>
          </rPr>
          <t>WS: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Profit Share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tc={A5B95EB2-B5E1-44DD-B087-CC0916338C3F}</author>
    <author>WS</author>
  </authors>
  <commentList>
    <comment ref="T12" authorId="0" shapeId="0" xr:uid="{A5B95EB2-B5E1-44DD-B087-CC0916338C3F}">
      <text>
        <t>[Threaded comment]
Your version of Excel allows you to read this threaded comment; however, any edits to it will get removed if the file is opened in a newer version of Excel. Learn more: https://go.microsoft.com/fwlink/?linkid=870924
Comment:
    began in September</t>
      </text>
    </comment>
    <comment ref="AW20" authorId="1" shapeId="0" xr:uid="{E5E462F5-FF98-0A40-8451-63CD5BCCDF85}">
      <text>
        <r>
          <rPr>
            <b/>
            <sz val="10"/>
            <color rgb="FF000000"/>
            <rFont val="Tahoma"/>
            <family val="2"/>
          </rPr>
          <t>WS: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Yutrepia Patent Expiry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</author>
  </authors>
  <commentList>
    <comment ref="S10" authorId="0" shapeId="0" xr:uid="{10A6230C-5791-574A-9119-5FB7B3BEB7EF}">
      <text>
        <r>
          <rPr>
            <b/>
            <sz val="10"/>
            <color rgb="FF000000"/>
            <rFont val="Tahoma"/>
            <family val="2"/>
          </rPr>
          <t>WS: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Yutrepia Patent Expiry
</t>
        </r>
      </text>
    </comment>
    <comment ref="D25" authorId="0" shapeId="0" xr:uid="{1E100189-2E3A-444C-8BE2-8BBFD6F0718E}">
      <text>
        <r>
          <rPr>
            <b/>
            <sz val="10"/>
            <color rgb="FF000000"/>
            <rFont val="Tahoma"/>
            <family val="2"/>
          </rPr>
          <t>WS: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Profit Share
</t>
        </r>
      </text>
    </comment>
  </commentList>
</comments>
</file>

<file path=xl/sharedStrings.xml><?xml version="1.0" encoding="utf-8"?>
<sst xmlns="http://schemas.openxmlformats.org/spreadsheetml/2006/main" count="275" uniqueCount="226">
  <si>
    <t>Brand</t>
  </si>
  <si>
    <t>Generic</t>
  </si>
  <si>
    <t>Indication</t>
  </si>
  <si>
    <t>Economics</t>
  </si>
  <si>
    <t>Admin</t>
  </si>
  <si>
    <t>IP</t>
  </si>
  <si>
    <t>Price</t>
  </si>
  <si>
    <t>Yutrepia</t>
  </si>
  <si>
    <t>treprostinil</t>
  </si>
  <si>
    <t>PAH</t>
  </si>
  <si>
    <t>DPI</t>
  </si>
  <si>
    <t>Shares</t>
  </si>
  <si>
    <t>Q122</t>
  </si>
  <si>
    <t>None</t>
  </si>
  <si>
    <t>50% Sandoz, Chengdu</t>
  </si>
  <si>
    <t>IV</t>
  </si>
  <si>
    <t>MC</t>
  </si>
  <si>
    <t>Cash</t>
  </si>
  <si>
    <t>Debt</t>
  </si>
  <si>
    <t>EV</t>
  </si>
  <si>
    <t>Morrisville, NC</t>
  </si>
  <si>
    <t>PPE</t>
  </si>
  <si>
    <t>6/20/22: CMO appointed</t>
  </si>
  <si>
    <t>AD</t>
  </si>
  <si>
    <t>6/9/22: PHA presentation</t>
  </si>
  <si>
    <t>6/7/22: investor conference</t>
  </si>
  <si>
    <t>RareGen, LLC, renamed Liquidia PAH, LLC</t>
  </si>
  <si>
    <t>6/2/22: investor conference</t>
  </si>
  <si>
    <t xml:space="preserve">  Acquired 11/18/2020 pursuant to 8/3/20 agreement</t>
  </si>
  <si>
    <t>5/16/22: ATS presentation</t>
  </si>
  <si>
    <t xml:space="preserve">  Issued 5.55m shares to RareGen holders, followed by 617k.</t>
  </si>
  <si>
    <t>5/12/22: Q122 results</t>
  </si>
  <si>
    <t>Liquidia Technologies, Inc.</t>
  </si>
  <si>
    <t>5/5/22: Q122 date</t>
  </si>
  <si>
    <t>Caligan Partners LP PIPE</t>
  </si>
  <si>
    <t>4/25/22: inducements</t>
  </si>
  <si>
    <t xml:space="preserve">  8.6m shares at 2.52 for $22m</t>
  </si>
  <si>
    <t>4/18/22: Closed financing for $54m net.</t>
  </si>
  <si>
    <t>4/12/22: Sold 11.3m shares at 5.10.</t>
  </si>
  <si>
    <t>1/3/22: Jeffs hired</t>
  </si>
  <si>
    <t>CEO: Roger Jeffs replaced Damian deGoa. Neal Fowler early CEO.</t>
  </si>
  <si>
    <t>11/2021: Yutrepia tentatively approved</t>
  </si>
  <si>
    <t>CFO: Michael Kaseta</t>
  </si>
  <si>
    <t>4/2021: 8.6m shares sold at 2.52 for 21.7m.</t>
  </si>
  <si>
    <t>CMO: Rajeev Saggar</t>
  </si>
  <si>
    <t>11/18/20: completed RareGen acquisition for 5.55m shares.</t>
  </si>
  <si>
    <t>2/2/2018: files S-1. LIQ861 is in Phase 3.</t>
  </si>
  <si>
    <t>PRINT: Particle Replication In Non-Wetting Templates</t>
  </si>
  <si>
    <t>7/2012: $14m raise (amended 3/2011 filing).</t>
  </si>
  <si>
    <t xml:space="preserve">  Discontinued: LIQ865 for pain</t>
  </si>
  <si>
    <t>3/2011: $10m raise.</t>
  </si>
  <si>
    <t>PBM owns 9.3% of company</t>
  </si>
  <si>
    <t>5/2010: $25m raise (amended 1/2010 filing).</t>
  </si>
  <si>
    <t>Chasm Technologies, Inc.</t>
  </si>
  <si>
    <t>1/2010: $20m raise (amended 2009 filing).</t>
  </si>
  <si>
    <t xml:space="preserve">  Manufacturing consulting, including royalties.</t>
  </si>
  <si>
    <t>7/2009: $7m raise.</t>
  </si>
  <si>
    <t>LGM Pharma LLC</t>
  </si>
  <si>
    <t>3/2007: $16m Series B round with NEA</t>
  </si>
  <si>
    <t xml:space="preserve">  Yutrepia API</t>
  </si>
  <si>
    <t>5/2006: $6m Series A round</t>
  </si>
  <si>
    <t>2/2005: $2m round</t>
  </si>
  <si>
    <t>6/2004: formation in NC by Joseph DeSimone</t>
  </si>
  <si>
    <t>Main</t>
  </si>
  <si>
    <t>COGS</t>
  </si>
  <si>
    <t>Gross Profit</t>
  </si>
  <si>
    <t>R&amp;D</t>
  </si>
  <si>
    <t>SG&amp;A</t>
  </si>
  <si>
    <t>Operating Expenses</t>
  </si>
  <si>
    <t>Operating Income</t>
  </si>
  <si>
    <t>Interest Expense</t>
  </si>
  <si>
    <t>Pretax Income</t>
  </si>
  <si>
    <t>AR</t>
  </si>
  <si>
    <t>Prepaids</t>
  </si>
  <si>
    <t>Lease</t>
  </si>
  <si>
    <t>Indemnification</t>
  </si>
  <si>
    <t>Contract</t>
  </si>
  <si>
    <t>Goodwill</t>
  </si>
  <si>
    <t>Other</t>
  </si>
  <si>
    <t>Assets</t>
  </si>
  <si>
    <t>AP</t>
  </si>
  <si>
    <t>Compensation</t>
  </si>
  <si>
    <t>AE</t>
  </si>
  <si>
    <t>OpLease</t>
  </si>
  <si>
    <t>FinLease</t>
  </si>
  <si>
    <t>LitFinance</t>
  </si>
  <si>
    <t>S/E</t>
  </si>
  <si>
    <t>L+S/E</t>
  </si>
  <si>
    <t>Stock</t>
  </si>
  <si>
    <t>PIC</t>
  </si>
  <si>
    <t>S/E Check</t>
  </si>
  <si>
    <t>Model NI</t>
  </si>
  <si>
    <t>SBC</t>
  </si>
  <si>
    <t>D&amp;A</t>
  </si>
  <si>
    <t>Extinguishment</t>
  </si>
  <si>
    <t>Non-cash interest</t>
  </si>
  <si>
    <t>ONCA</t>
  </si>
  <si>
    <t>Other AE</t>
  </si>
  <si>
    <t>Operating Lease</t>
  </si>
  <si>
    <t>CFFO</t>
  </si>
  <si>
    <t>Yutrepia, fka LIQ861</t>
  </si>
  <si>
    <t>100%?, UNC license LSD</t>
  </si>
  <si>
    <t>Regulatory</t>
  </si>
  <si>
    <t>tentative approval for NDA 11/2021, 505b2 with Tyvaso RLD</t>
  </si>
  <si>
    <t>District Court of Delaware litigation vs. UTHR - Magistrate Judge Hall, Judge Andrews</t>
  </si>
  <si>
    <t>8497393 - invalidated in IPR by SteadyMed</t>
  </si>
  <si>
    <t>9604901 - Process to prepare treprostinil - UTHR consented; PTAB concluded 7 claims were unpatentable. Claims 6 &amp; 7 survive, requiring specific temperature storage</t>
  </si>
  <si>
    <t>10716793 - Treprostinil by inhalation - IPR petition filed 1/2021, expect decision in 12 months?</t>
  </si>
  <si>
    <t>6/2021 claim construction in USDC Delaware, UTHR agreed to noninfringement of 901 and reserved rights</t>
  </si>
  <si>
    <t>1/2022 filed for summary judgment for invalidity of 1-3, 6, 8-9 of '066, 1-4, 6, 8 of '901 patent</t>
  </si>
  <si>
    <t xml:space="preserve">  Denied due to inadequate notice</t>
  </si>
  <si>
    <t>3/28/2022-3/31/2022 - trial</t>
  </si>
  <si>
    <t>6/15/2022 - post-trial briefing schedule</t>
  </si>
  <si>
    <t>October 2022: expected decision</t>
  </si>
  <si>
    <t>IPR</t>
  </si>
  <si>
    <t>March 2020 filing</t>
  </si>
  <si>
    <t>Clinical Trials</t>
  </si>
  <si>
    <t>Phase III "INSPIRE"</t>
  </si>
  <si>
    <t>Saggar was PI</t>
  </si>
  <si>
    <t>6/27/22: Russell index addition</t>
  </si>
  <si>
    <t>6/24/22: inducements</t>
  </si>
  <si>
    <t>Net Income</t>
  </si>
  <si>
    <t>Taxes</t>
  </si>
  <si>
    <t>Revenue Growth</t>
  </si>
  <si>
    <t>Gross Margin</t>
  </si>
  <si>
    <t>Tyvaso</t>
  </si>
  <si>
    <t>Discount</t>
  </si>
  <si>
    <t>ROIC</t>
  </si>
  <si>
    <t>10898494 - Issued 1/26/2021, filed 5/5/17 (expires 5/5/37 without HW extension)</t>
  </si>
  <si>
    <t xml:space="preserve">  District court litigation</t>
  </si>
  <si>
    <t>9593066 - Process to prepare treprostinil - IPR petition did not establish reasonable likelihood (failed).</t>
  </si>
  <si>
    <t xml:space="preserve">  Delaware district court litigation with Judge Andrews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</si>
  <si>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</si>
  <si>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</si>
  <si>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</si>
  <si>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</si>
  <si>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</si>
  <si>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</si>
  <si>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</si>
  <si>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</si>
  <si>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</si>
  <si>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</si>
  <si>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</si>
  <si>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</si>
  <si>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</si>
  <si>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</si>
  <si>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</si>
  <si>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</si>
  <si>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</si>
  <si>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</si>
  <si>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</si>
  <si>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</si>
  <si>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</si>
  <si>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</si>
  <si>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</si>
  <si>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</si>
  <si>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</si>
  <si>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</si>
  <si>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</si>
  <si>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</si>
  <si>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</si>
  <si>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FY38</t>
  </si>
  <si>
    <t>Tyvaso ($ in mm)</t>
  </si>
  <si>
    <t>Liquidia Corporation</t>
  </si>
  <si>
    <t>NASDAQ: (LQDA)</t>
  </si>
  <si>
    <t>$ in Thousands</t>
  </si>
  <si>
    <t>Model</t>
  </si>
  <si>
    <t>Generic Portfolio</t>
  </si>
  <si>
    <t>Yutrepia Competitor</t>
  </si>
  <si>
    <t>LQDA Revenue Mix</t>
  </si>
  <si>
    <t>Total Revenues</t>
  </si>
  <si>
    <t xml:space="preserve">   % of Revenues</t>
  </si>
  <si>
    <t xml:space="preserve">   % of TAM</t>
  </si>
  <si>
    <t>TAM</t>
  </si>
  <si>
    <t>FY22 E</t>
  </si>
  <si>
    <t>FY23 E</t>
  </si>
  <si>
    <t>EBIT</t>
  </si>
  <si>
    <t>Valuation Summary</t>
  </si>
  <si>
    <t>Equity Value</t>
  </si>
  <si>
    <t>Enterprise Value</t>
  </si>
  <si>
    <t>NPV Per Share</t>
  </si>
  <si>
    <t>Basic Shares Outstanding</t>
  </si>
  <si>
    <t>Basic EPS</t>
  </si>
  <si>
    <t>DCF Valuation</t>
  </si>
  <si>
    <t>FY24 E</t>
  </si>
  <si>
    <t>FY25 E</t>
  </si>
  <si>
    <t>FY26 E</t>
  </si>
  <si>
    <t>FY27 E</t>
  </si>
  <si>
    <t>FY28 E</t>
  </si>
  <si>
    <t>FY29 E</t>
  </si>
  <si>
    <t>FY30 E</t>
  </si>
  <si>
    <t>FY31 E</t>
  </si>
  <si>
    <t>FY32 E</t>
  </si>
  <si>
    <t>FY33 E</t>
  </si>
  <si>
    <t>FY34 E</t>
  </si>
  <si>
    <t>FY35 E</t>
  </si>
  <si>
    <t>FY36 E</t>
  </si>
  <si>
    <t>FY37 E</t>
  </si>
  <si>
    <t>FY38 E</t>
  </si>
  <si>
    <t>Earnings NPV Valuation</t>
  </si>
  <si>
    <t>Diluted EPS</t>
  </si>
  <si>
    <t>Dilutes Shares Outstanding</t>
  </si>
  <si>
    <t>Fundamentals</t>
  </si>
  <si>
    <t>Upside to Market</t>
  </si>
  <si>
    <t>NPV Valuation</t>
  </si>
  <si>
    <t>US: Pharmaceutical</t>
  </si>
  <si>
    <t>Price Target</t>
  </si>
  <si>
    <t>Evan Domingos</t>
  </si>
  <si>
    <t>evan@whiteskycapital.com</t>
  </si>
  <si>
    <t>1-(603)-380-8384</t>
  </si>
  <si>
    <t>4Q22</t>
  </si>
  <si>
    <t>1Q23</t>
  </si>
  <si>
    <t>2Q23</t>
  </si>
  <si>
    <t>3Q23</t>
  </si>
  <si>
    <t>4Q23</t>
  </si>
  <si>
    <t>2Q22 A</t>
  </si>
  <si>
    <t>3Q22 E</t>
  </si>
  <si>
    <t>1Q22 A</t>
  </si>
  <si>
    <t>4Q21 A</t>
  </si>
  <si>
    <t>3Q21 A</t>
  </si>
  <si>
    <t>2Q21 A</t>
  </si>
  <si>
    <t>1Q21 A</t>
  </si>
  <si>
    <t>4Q20 A</t>
  </si>
  <si>
    <t>3Q20 A</t>
  </si>
  <si>
    <t>2Q20 A</t>
  </si>
  <si>
    <t>1Q20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</si>
</sst>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"/>
    <numFmt numFmtId="165" formatCode="_(&quot;$&quot;* #,##0_);_(&quot;$&quot;* \(#,##0\);_(&quot;$&quot;* &quot;-&quot;??_);_(@_)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Helvetica Light"/>
    </font>
    <font>
      <b/>
      <sz val="10"/>
      <color theme="1"/>
      <name val="Helvetica Light"/>
    </font>
    <font>
      <i/>
      <sz val="10"/>
      <color theme="1"/>
      <name val="Helvetica Light"/>
    </font>
    <font>
      <u/>
      <sz val="10"/>
      <color theme="1"/>
      <name val="Helvetica Light"/>
    </font>
    <font>
      <b/>
      <i/>
      <sz val="14"/>
      <color theme="1"/>
      <name val="Helvetica Light"/>
    </font>
    <font>
      <sz val="11"/>
      <color theme="1"/>
      <name val="Helvetica Light"/>
    </font>
    <font>
      <b/>
      <i/>
      <sz val="24"/>
      <color theme="1"/>
      <name val="Helvetica Light"/>
    </font>
    <font>
      <b/>
      <u/>
      <sz val="10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 style="thin">
        <color indexed="64"/>
      </top>
      <bottom/>
      <diagonal/>
    </border>
    <border>
      <left style="thin">
        <color rgb="FFFFC000"/>
      </left>
      <right/>
      <top/>
      <bottom style="thin">
        <color indexed="64"/>
      </bottom>
      <diagonal/>
    </border>
    <border>
      <left/>
      <right style="thin">
        <color rgb="FFFFC00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FFC000"/>
      </left>
      <right/>
      <top style="thin">
        <color theme="1"/>
      </top>
      <bottom style="thin">
        <color theme="1"/>
      </bottom>
      <diagonal/>
    </border>
    <border>
      <left style="thin">
        <color rgb="FFFFC000"/>
      </left>
      <right/>
      <top style="thin">
        <color theme="1"/>
      </top>
      <bottom/>
      <diagonal/>
    </border>
    <border>
      <left style="thin">
        <color rgb="FFFFC000"/>
      </left>
      <right/>
      <top/>
      <bottom style="thin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" fontId="5" fillId="0" borderId="0" xfId="0" applyNumberFormat="1" applyFont="1"/>
    <xf numFmtId="3" fontId="5" fillId="0" borderId="0" xfId="0" applyNumberFormat="1" applyFont="1"/>
    <xf numFmtId="3" fontId="7" fillId="0" borderId="0" xfId="0" applyNumberFormat="1" applyFont="1"/>
    <xf numFmtId="0" fontId="7" fillId="0" borderId="0" xfId="0" applyFont="1" applyAlignment="1">
      <alignment horizontal="right"/>
    </xf>
    <xf numFmtId="9" fontId="7" fillId="0" borderId="0" xfId="3" applyFont="1" applyAlignment="1">
      <alignment horizontal="right"/>
    </xf>
    <xf numFmtId="0" fontId="7" fillId="0" borderId="0" xfId="0" applyFont="1"/>
    <xf numFmtId="9" fontId="7" fillId="0" borderId="0" xfId="3" applyFont="1"/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5" fillId="0" borderId="0" xfId="0" applyNumberFormat="1" applyFont="1"/>
    <xf numFmtId="9" fontId="7" fillId="0" borderId="0" xfId="0" applyNumberFormat="1" applyFont="1" applyAlignment="1">
      <alignment horizontal="right"/>
    </xf>
    <xf numFmtId="9" fontId="7" fillId="0" borderId="0" xfId="0" applyNumberFormat="1" applyFont="1"/>
    <xf numFmtId="0" fontId="5" fillId="0" borderId="12" xfId="0" applyFont="1" applyBorder="1" applyAlignment="1">
      <alignment horizontal="right"/>
    </xf>
    <xf numFmtId="14" fontId="5" fillId="0" borderId="12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  <xf numFmtId="3" fontId="7" fillId="0" borderId="12" xfId="0" applyNumberFormat="1" applyFont="1" applyBorder="1" applyAlignment="1">
      <alignment horizontal="right"/>
    </xf>
    <xf numFmtId="9" fontId="7" fillId="0" borderId="12" xfId="3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4" fontId="5" fillId="0" borderId="12" xfId="0" applyNumberFormat="1" applyFont="1" applyBorder="1" applyAlignment="1">
      <alignment horizontal="right"/>
    </xf>
    <xf numFmtId="9" fontId="7" fillId="0" borderId="12" xfId="0" applyNumberFormat="1" applyFont="1" applyBorder="1" applyAlignment="1">
      <alignment horizontal="right"/>
    </xf>
    <xf numFmtId="0" fontId="5" fillId="0" borderId="12" xfId="0" applyFont="1" applyBorder="1"/>
    <xf numFmtId="164" fontId="7" fillId="0" borderId="12" xfId="0" applyNumberFormat="1" applyFont="1" applyBorder="1"/>
    <xf numFmtId="3" fontId="5" fillId="0" borderId="12" xfId="0" applyNumberFormat="1" applyFont="1" applyBorder="1"/>
    <xf numFmtId="3" fontId="7" fillId="0" borderId="12" xfId="0" applyNumberFormat="1" applyFont="1" applyBorder="1"/>
    <xf numFmtId="3" fontId="6" fillId="0" borderId="12" xfId="0" applyNumberFormat="1" applyFont="1" applyBorder="1"/>
    <xf numFmtId="4" fontId="5" fillId="0" borderId="12" xfId="0" applyNumberFormat="1" applyFont="1" applyBorder="1"/>
    <xf numFmtId="9" fontId="7" fillId="0" borderId="12" xfId="0" applyNumberFormat="1" applyFont="1" applyBorder="1"/>
    <xf numFmtId="3" fontId="5" fillId="0" borderId="15" xfId="0" applyNumberFormat="1" applyFont="1" applyBorder="1"/>
    <xf numFmtId="4" fontId="5" fillId="0" borderId="15" xfId="0" applyNumberFormat="1" applyFont="1" applyBorder="1" applyAlignment="1">
      <alignment horizontal="right"/>
    </xf>
    <xf numFmtId="3" fontId="5" fillId="0" borderId="15" xfId="0" applyNumberFormat="1" applyFont="1" applyBorder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8" fillId="2" borderId="0" xfId="1" applyFont="1" applyFill="1"/>
    <xf numFmtId="0" fontId="12" fillId="2" borderId="0" xfId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5" fillId="2" borderId="12" xfId="0" applyFont="1" applyFill="1" applyBorder="1"/>
    <xf numFmtId="0" fontId="9" fillId="2" borderId="0" xfId="0" applyFont="1" applyFill="1" applyAlignment="1">
      <alignment vertical="center"/>
    </xf>
    <xf numFmtId="0" fontId="6" fillId="2" borderId="0" xfId="0" applyFont="1" applyFill="1"/>
    <xf numFmtId="0" fontId="6" fillId="2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6" fillId="2" borderId="10" xfId="0" applyFont="1" applyFill="1" applyBorder="1"/>
    <xf numFmtId="0" fontId="6" fillId="2" borderId="13" xfId="0" applyFont="1" applyFill="1" applyBorder="1"/>
    <xf numFmtId="0" fontId="6" fillId="2" borderId="11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14" xfId="0" applyFont="1" applyFill="1" applyBorder="1"/>
    <xf numFmtId="0" fontId="6" fillId="2" borderId="5" xfId="0" applyFont="1" applyFill="1" applyBorder="1"/>
    <xf numFmtId="164" fontId="7" fillId="2" borderId="0" xfId="0" applyNumberFormat="1" applyFont="1" applyFill="1"/>
    <xf numFmtId="0" fontId="6" fillId="2" borderId="6" xfId="0" applyFont="1" applyFill="1" applyBorder="1"/>
    <xf numFmtId="3" fontId="7" fillId="2" borderId="0" xfId="0" applyNumberFormat="1" applyFont="1" applyFill="1"/>
    <xf numFmtId="3" fontId="5" fillId="2" borderId="0" xfId="0" applyNumberFormat="1" applyFont="1" applyFill="1"/>
    <xf numFmtId="3" fontId="6" fillId="2" borderId="0" xfId="0" applyNumberFormat="1" applyFont="1" applyFill="1"/>
    <xf numFmtId="0" fontId="9" fillId="2" borderId="0" xfId="0" applyFont="1" applyFill="1"/>
    <xf numFmtId="0" fontId="6" fillId="2" borderId="16" xfId="0" applyFont="1" applyFill="1" applyBorder="1"/>
    <xf numFmtId="0" fontId="5" fillId="2" borderId="25" xfId="0" applyFont="1" applyFill="1" applyBorder="1"/>
    <xf numFmtId="0" fontId="5" fillId="2" borderId="17" xfId="0" applyFont="1" applyFill="1" applyBorder="1"/>
    <xf numFmtId="3" fontId="5" fillId="2" borderId="16" xfId="0" applyNumberFormat="1" applyFont="1" applyFill="1" applyBorder="1"/>
    <xf numFmtId="9" fontId="5" fillId="2" borderId="17" xfId="0" applyNumberFormat="1" applyFont="1" applyFill="1" applyBorder="1"/>
    <xf numFmtId="3" fontId="5" fillId="2" borderId="18" xfId="0" applyNumberFormat="1" applyFont="1" applyFill="1" applyBorder="1"/>
    <xf numFmtId="9" fontId="5" fillId="2" borderId="19" xfId="0" applyNumberFormat="1" applyFont="1" applyFill="1" applyBorder="1"/>
    <xf numFmtId="3" fontId="5" fillId="2" borderId="19" xfId="0" applyNumberFormat="1" applyFont="1" applyFill="1" applyBorder="1"/>
    <xf numFmtId="3" fontId="5" fillId="2" borderId="20" xfId="0" applyNumberFormat="1" applyFont="1" applyFill="1" applyBorder="1"/>
    <xf numFmtId="0" fontId="5" fillId="2" borderId="26" xfId="0" applyFont="1" applyFill="1" applyBorder="1"/>
    <xf numFmtId="9" fontId="5" fillId="2" borderId="21" xfId="3" applyFont="1" applyFill="1" applyBorder="1"/>
    <xf numFmtId="165" fontId="5" fillId="2" borderId="0" xfId="2" applyNumberFormat="1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22" xfId="0" applyFont="1" applyFill="1" applyBorder="1"/>
    <xf numFmtId="0" fontId="5" fillId="2" borderId="23" xfId="0" applyFont="1" applyFill="1" applyBorder="1"/>
    <xf numFmtId="0" fontId="5" fillId="2" borderId="24" xfId="0" applyFont="1" applyFill="1" applyBorder="1" applyAlignment="1">
      <alignment horizontal="right"/>
    </xf>
    <xf numFmtId="0" fontId="8" fillId="2" borderId="1" xfId="1" applyFont="1" applyFill="1" applyBorder="1"/>
    <xf numFmtId="9" fontId="5" fillId="2" borderId="0" xfId="0" applyNumberFormat="1" applyFont="1" applyFill="1" applyAlignment="1">
      <alignment horizontal="left"/>
    </xf>
    <xf numFmtId="0" fontId="5" fillId="2" borderId="2" xfId="0" applyFont="1" applyFill="1" applyBorder="1"/>
    <xf numFmtId="0" fontId="5" fillId="2" borderId="18" xfId="0" applyFont="1" applyFill="1" applyBorder="1"/>
    <xf numFmtId="0" fontId="5" fillId="2" borderId="19" xfId="0" applyFont="1" applyFill="1" applyBorder="1" applyAlignment="1">
      <alignment horizontal="right"/>
    </xf>
    <xf numFmtId="0" fontId="5" fillId="2" borderId="1" xfId="0" applyFont="1" applyFill="1" applyBorder="1"/>
    <xf numFmtId="1" fontId="5" fillId="2" borderId="0" xfId="0" applyNumberFormat="1" applyFont="1" applyFill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6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1" xfId="0" applyFont="1" applyFill="1" applyBorder="1" applyAlignment="1">
      <alignment horizontal="right"/>
    </xf>
    <xf numFmtId="0" fontId="5" fillId="2" borderId="21" xfId="0" applyFont="1" applyFill="1" applyBorder="1"/>
    <xf numFmtId="0" fontId="5" fillId="2" borderId="24" xfId="0" applyFont="1" applyFill="1" applyBorder="1"/>
    <xf numFmtId="3" fontId="6" fillId="2" borderId="20" xfId="0" applyNumberFormat="1" applyFont="1" applyFill="1" applyBorder="1"/>
    <xf numFmtId="165" fontId="5" fillId="2" borderId="21" xfId="2" applyNumberFormat="1" applyFont="1" applyFill="1" applyBorder="1"/>
    <xf numFmtId="0" fontId="6" fillId="2" borderId="25" xfId="0" applyFont="1" applyFill="1" applyBorder="1"/>
    <xf numFmtId="0" fontId="6" fillId="2" borderId="17" xfId="0" applyFont="1" applyFill="1" applyBorder="1"/>
    <xf numFmtId="0" fontId="6" fillId="2" borderId="20" xfId="0" applyFont="1" applyFill="1" applyBorder="1"/>
    <xf numFmtId="0" fontId="6" fillId="2" borderId="26" xfId="0" applyFont="1" applyFill="1" applyBorder="1"/>
    <xf numFmtId="0" fontId="6" fillId="2" borderId="21" xfId="0" applyFont="1" applyFill="1" applyBorder="1"/>
    <xf numFmtId="0" fontId="12" fillId="2" borderId="0" xfId="0" applyFont="1" applyFill="1"/>
    <xf numFmtId="0" fontId="13" fillId="2" borderId="0" xfId="0" applyFont="1" applyFill="1" applyAlignment="1">
      <alignment horizontal="center"/>
    </xf>
    <xf numFmtId="3" fontId="6" fillId="2" borderId="22" xfId="0" applyNumberFormat="1" applyFont="1" applyFill="1" applyBorder="1"/>
    <xf numFmtId="0" fontId="6" fillId="2" borderId="23" xfId="0" applyFont="1" applyFill="1" applyBorder="1"/>
    <xf numFmtId="3" fontId="6" fillId="2" borderId="24" xfId="0" applyNumberFormat="1" applyFont="1" applyFill="1" applyBorder="1"/>
    <xf numFmtId="165" fontId="6" fillId="2" borderId="19" xfId="2" applyNumberFormat="1" applyFont="1" applyFill="1" applyBorder="1"/>
    <xf numFmtId="4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14" fontId="5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9" fontId="7" fillId="0" borderId="0" xfId="3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9" fontId="7" fillId="0" borderId="0" xfId="0" applyNumberFormat="1" applyFont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0" fontId="6" fillId="2" borderId="25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  <xf numFmtId="14" fontId="6" fillId="2" borderId="20" xfId="0" applyNumberFormat="1" applyFont="1" applyFill="1" applyBorder="1" applyAlignment="1">
      <alignment horizontal="right"/>
    </xf>
    <xf numFmtId="14" fontId="6" fillId="2" borderId="26" xfId="0" applyNumberFormat="1" applyFont="1" applyFill="1" applyBorder="1" applyAlignment="1">
      <alignment horizontal="right"/>
    </xf>
    <xf numFmtId="14" fontId="6" fillId="2" borderId="21" xfId="0" applyNumberFormat="1" applyFont="1" applyFill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5" fillId="0" borderId="23" xfId="0" applyFont="1" applyBorder="1"/>
    <xf numFmtId="0" fontId="5" fillId="0" borderId="27" xfId="0" applyFont="1" applyBorder="1"/>
    <xf numFmtId="0" fontId="6" fillId="2" borderId="28" xfId="0" applyFont="1" applyFill="1" applyBorder="1" applyAlignment="1">
      <alignment horizontal="right"/>
    </xf>
    <xf numFmtId="14" fontId="6" fillId="2" borderId="29" xfId="0" applyNumberFormat="1" applyFont="1" applyFill="1" applyBorder="1" applyAlignment="1">
      <alignment horizontal="right"/>
    </xf>
    <xf numFmtId="0" fontId="5" fillId="0" borderId="27" xfId="0" applyFont="1" applyBorder="1" applyAlignment="1">
      <alignment horizontal="righ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BE681E6-280A-4E9A-852B-5E24F486CDB1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2" dT="2022-07-16T22:14:49.52" personId="{2BE681E6-280A-4E9A-852B-5E24F486CDB1}" id="{A5B95EB2-B5E1-44DD-B087-CC0916338C3F}">
    <text>began in September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an@whiteskycapita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2A43-3358-0447-B1EE-1B3FF174652A}">
  <dimension ref="B5:B21"/>
  <sheetViews>
    <sheetView workbookViewId="0">
      <selection activeCell="B21" sqref="B21"/>
    </sheetView>
  </sheetViews>
  <sheetFormatPr baseColWidth="10" defaultRowHeight="15"/>
  <cols>
    <col min="1" max="1" width="10.83203125" style="40"/>
    <col min="2" max="2" width="42.5" style="40" bestFit="1" customWidth="1"/>
    <col min="3" max="16384" width="10.83203125" style="40"/>
  </cols>
  <sheetData>
    <row r="5" spans="2:2" ht="31">
      <c r="B5" s="41" t="s">
        <v>163</v>
      </c>
    </row>
    <row r="6" spans="2:2" ht="16">
      <c r="B6" s="106" t="s">
        <v>164</v>
      </c>
    </row>
    <row r="7" spans="2:2">
      <c r="B7" s="44"/>
    </row>
    <row r="9" spans="2:2">
      <c r="B9" s="43" t="s">
        <v>63</v>
      </c>
    </row>
    <row r="10" spans="2:2">
      <c r="B10" s="43" t="s">
        <v>166</v>
      </c>
    </row>
    <row r="11" spans="2:2">
      <c r="B11" s="43" t="s">
        <v>204</v>
      </c>
    </row>
    <row r="12" spans="2:2">
      <c r="B12" s="43" t="s">
        <v>78</v>
      </c>
    </row>
    <row r="19" spans="2:2">
      <c r="B19" s="44" t="s">
        <v>207</v>
      </c>
    </row>
    <row r="20" spans="2:2">
      <c r="B20" s="42" t="s">
        <v>208</v>
      </c>
    </row>
    <row r="21" spans="2:2">
      <c r="B21" s="44" t="s">
        <v>209</v>
      </c>
    </row>
  </sheetData>
  <hyperlinks>
    <hyperlink ref="B9" location="Main!A1" display="Main" xr:uid="{B6B066A1-A229-7A43-88AF-6BE985F0E19F}"/>
    <hyperlink ref="B10" location="Model!A1" display="Model" xr:uid="{A14906F4-E240-094A-AFDC-08AAC4C5C97F}"/>
    <hyperlink ref="B11" location="'NPV Valuation'!A1" display="NPV Valuaution" xr:uid="{C5DAAD89-543D-0249-BC06-7389C5A10BD0}"/>
    <hyperlink ref="B20" r:id="rId1" xr:uid="{50278AF6-5CF0-0440-867F-3E54413A836B}"/>
    <hyperlink ref="B12" location="Other!A1" display="Other" xr:uid="{FC3A43A7-1CB1-A249-8BEC-970F2B19DD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447-130B-0846-A9A4-F2F095497506}">
  <dimension ref="B3:K55"/>
  <sheetViews>
    <sheetView zoomScaleNormal="100" zoomScaleSheetLayoutView="100" workbookViewId="0">
      <selection activeCell="J28" sqref="J28"/>
    </sheetView>
  </sheetViews>
  <sheetFormatPr baseColWidth="10" defaultColWidth="8.5" defaultRowHeight="13"/>
  <cols>
    <col min="1" max="1" width="4.5" style="44" customWidth="1"/>
    <col min="2" max="2" width="8.5" style="44"/>
    <col min="3" max="3" width="11.33203125" style="44" customWidth="1"/>
    <col min="4" max="4" width="10.83203125" style="44" customWidth="1"/>
    <col min="5" max="5" width="20.5" style="44" customWidth="1"/>
    <col min="6" max="6" width="8.5" style="44" customWidth="1"/>
    <col min="7" max="10" width="8.5" style="44"/>
    <col min="11" max="11" width="8.5" style="45"/>
    <col min="12" max="16384" width="8.5" style="44"/>
  </cols>
  <sheetData>
    <row r="3" spans="2:4" ht="18">
      <c r="B3" s="64" t="s">
        <v>163</v>
      </c>
    </row>
    <row r="4" spans="2:4">
      <c r="B4" s="44" t="s">
        <v>164</v>
      </c>
    </row>
    <row r="5" spans="2:4">
      <c r="B5" s="44" t="s">
        <v>205</v>
      </c>
    </row>
    <row r="7" spans="2:4">
      <c r="B7" s="42" t="s">
        <v>63</v>
      </c>
    </row>
    <row r="8" spans="2:4">
      <c r="B8" s="42" t="s">
        <v>166</v>
      </c>
    </row>
    <row r="9" spans="2:4">
      <c r="B9" s="42" t="s">
        <v>204</v>
      </c>
    </row>
    <row r="11" spans="2:4">
      <c r="B11" s="65" t="s">
        <v>177</v>
      </c>
      <c r="C11" s="66"/>
      <c r="D11" s="67"/>
    </row>
    <row r="12" spans="2:4">
      <c r="B12" s="68" t="s">
        <v>126</v>
      </c>
      <c r="C12" s="66"/>
      <c r="D12" s="69">
        <v>0.1</v>
      </c>
    </row>
    <row r="13" spans="2:4">
      <c r="B13" s="70" t="s">
        <v>127</v>
      </c>
      <c r="D13" s="71">
        <v>0.02</v>
      </c>
    </row>
    <row r="14" spans="2:4">
      <c r="B14" s="70" t="s">
        <v>179</v>
      </c>
      <c r="D14" s="72">
        <f>(NPV(D12,'NPV Valuation'!D16:S16))/1000</f>
        <v>1450.3289133473495</v>
      </c>
    </row>
    <row r="15" spans="2:4">
      <c r="B15" s="70" t="s">
        <v>178</v>
      </c>
      <c r="D15" s="72">
        <f>(NPV(D12,'NPV Valuation'!D16:S16)+J26-J27)/1000</f>
        <v>1450.4212313473495</v>
      </c>
    </row>
    <row r="16" spans="2:4">
      <c r="B16" s="70" t="s">
        <v>11</v>
      </c>
      <c r="D16" s="72">
        <f>J24</f>
        <v>74.058492000000001</v>
      </c>
    </row>
    <row r="17" spans="2:11">
      <c r="B17" s="70"/>
      <c r="D17" s="72"/>
    </row>
    <row r="18" spans="2:11">
      <c r="B18" s="107" t="s">
        <v>206</v>
      </c>
      <c r="C18" s="108"/>
      <c r="D18" s="109"/>
    </row>
    <row r="19" spans="2:11">
      <c r="B19" s="70" t="s">
        <v>180</v>
      </c>
      <c r="D19" s="110">
        <f>D14/D16</f>
        <v>19.583559888680281</v>
      </c>
    </row>
    <row r="20" spans="2:11">
      <c r="B20" s="73" t="s">
        <v>203</v>
      </c>
      <c r="C20" s="74"/>
      <c r="D20" s="75">
        <f>D19/J23-1</f>
        <v>2.3823074073713784</v>
      </c>
    </row>
    <row r="21" spans="2:11">
      <c r="B21" s="63"/>
      <c r="D21" s="76"/>
    </row>
    <row r="22" spans="2:11">
      <c r="B22" s="60" t="s">
        <v>0</v>
      </c>
      <c r="C22" s="77" t="s">
        <v>1</v>
      </c>
      <c r="D22" s="77" t="s">
        <v>2</v>
      </c>
      <c r="E22" s="77" t="s">
        <v>3</v>
      </c>
      <c r="F22" s="77" t="s">
        <v>4</v>
      </c>
      <c r="G22" s="78" t="s">
        <v>5</v>
      </c>
      <c r="I22" s="79" t="s">
        <v>202</v>
      </c>
      <c r="J22" s="80"/>
      <c r="K22" s="81"/>
    </row>
    <row r="23" spans="2:11">
      <c r="B23" s="82" t="s">
        <v>7</v>
      </c>
      <c r="C23" s="44" t="s">
        <v>8</v>
      </c>
      <c r="D23" s="44" t="s">
        <v>9</v>
      </c>
      <c r="E23" s="83">
        <v>1</v>
      </c>
      <c r="F23" s="44" t="s">
        <v>10</v>
      </c>
      <c r="G23" s="84"/>
      <c r="I23" s="85" t="s">
        <v>6</v>
      </c>
      <c r="J23" s="44">
        <v>5.79</v>
      </c>
      <c r="K23" s="86"/>
    </row>
    <row r="24" spans="2:11">
      <c r="B24" s="87" t="s">
        <v>13</v>
      </c>
      <c r="C24" s="44" t="s">
        <v>8</v>
      </c>
      <c r="D24" s="44" t="s">
        <v>9</v>
      </c>
      <c r="E24" s="44" t="s">
        <v>14</v>
      </c>
      <c r="F24" s="44" t="s">
        <v>15</v>
      </c>
      <c r="G24" s="84"/>
      <c r="I24" s="85" t="s">
        <v>11</v>
      </c>
      <c r="J24" s="88">
        <f>Model!K39/1000</f>
        <v>74.058492000000001</v>
      </c>
      <c r="K24" s="86" t="s">
        <v>12</v>
      </c>
    </row>
    <row r="25" spans="2:11">
      <c r="B25" s="87"/>
      <c r="G25" s="84"/>
      <c r="I25" s="85" t="s">
        <v>16</v>
      </c>
      <c r="J25" s="88">
        <f>J23*J24</f>
        <v>428.79866867999999</v>
      </c>
      <c r="K25" s="86"/>
    </row>
    <row r="26" spans="2:11">
      <c r="B26" s="89"/>
      <c r="C26" s="90"/>
      <c r="D26" s="90"/>
      <c r="E26" s="90"/>
      <c r="F26" s="90"/>
      <c r="G26" s="91"/>
      <c r="I26" s="85" t="s">
        <v>17</v>
      </c>
      <c r="J26" s="88">
        <f>57.794+54</f>
        <v>111.794</v>
      </c>
      <c r="K26" s="86" t="s">
        <v>12</v>
      </c>
    </row>
    <row r="27" spans="2:11">
      <c r="I27" s="85" t="s">
        <v>18</v>
      </c>
      <c r="J27" s="88">
        <v>19.475999999999999</v>
      </c>
      <c r="K27" s="86" t="s">
        <v>12</v>
      </c>
    </row>
    <row r="28" spans="2:11">
      <c r="B28" s="44" t="s">
        <v>20</v>
      </c>
      <c r="I28" s="85" t="s">
        <v>19</v>
      </c>
      <c r="J28" s="88">
        <f>J25-J26+J27</f>
        <v>336.48066868000001</v>
      </c>
      <c r="K28" s="86"/>
    </row>
    <row r="29" spans="2:11">
      <c r="I29" s="85"/>
      <c r="K29" s="86"/>
    </row>
    <row r="30" spans="2:11">
      <c r="B30" s="65" t="s">
        <v>119</v>
      </c>
      <c r="C30" s="66"/>
      <c r="D30" s="66"/>
      <c r="E30" s="66"/>
      <c r="F30" s="66"/>
      <c r="G30" s="67"/>
      <c r="I30" s="85" t="s">
        <v>21</v>
      </c>
      <c r="J30" s="44">
        <v>5</v>
      </c>
      <c r="K30" s="86" t="s">
        <v>12</v>
      </c>
    </row>
    <row r="31" spans="2:11">
      <c r="B31" s="92" t="s">
        <v>120</v>
      </c>
      <c r="G31" s="93"/>
      <c r="I31" s="94" t="s">
        <v>23</v>
      </c>
      <c r="J31" s="74">
        <v>326</v>
      </c>
      <c r="K31" s="95" t="s">
        <v>12</v>
      </c>
    </row>
    <row r="32" spans="2:11">
      <c r="B32" s="92" t="s">
        <v>22</v>
      </c>
      <c r="G32" s="93"/>
    </row>
    <row r="33" spans="2:9">
      <c r="B33" s="85" t="s">
        <v>24</v>
      </c>
      <c r="G33" s="93"/>
      <c r="I33" s="44" t="s">
        <v>26</v>
      </c>
    </row>
    <row r="34" spans="2:9">
      <c r="B34" s="85" t="s">
        <v>25</v>
      </c>
      <c r="G34" s="93"/>
      <c r="I34" s="44" t="s">
        <v>28</v>
      </c>
    </row>
    <row r="35" spans="2:9">
      <c r="B35" s="85" t="s">
        <v>27</v>
      </c>
      <c r="G35" s="93"/>
      <c r="I35" s="44" t="s">
        <v>30</v>
      </c>
    </row>
    <row r="36" spans="2:9">
      <c r="B36" s="85" t="s">
        <v>29</v>
      </c>
      <c r="G36" s="93"/>
      <c r="I36" s="44" t="s">
        <v>32</v>
      </c>
    </row>
    <row r="37" spans="2:9">
      <c r="B37" s="85" t="s">
        <v>31</v>
      </c>
      <c r="G37" s="93"/>
      <c r="I37" s="44" t="s">
        <v>34</v>
      </c>
    </row>
    <row r="38" spans="2:9">
      <c r="B38" s="85" t="s">
        <v>33</v>
      </c>
      <c r="G38" s="93"/>
      <c r="I38" s="44" t="s">
        <v>36</v>
      </c>
    </row>
    <row r="39" spans="2:9">
      <c r="B39" s="85" t="s">
        <v>35</v>
      </c>
      <c r="G39" s="93"/>
    </row>
    <row r="40" spans="2:9">
      <c r="B40" s="85" t="s">
        <v>37</v>
      </c>
      <c r="G40" s="93"/>
    </row>
    <row r="41" spans="2:9">
      <c r="B41" s="85" t="s">
        <v>38</v>
      </c>
      <c r="G41" s="93"/>
      <c r="I41" s="44" t="s">
        <v>40</v>
      </c>
    </row>
    <row r="42" spans="2:9">
      <c r="B42" s="85" t="s">
        <v>39</v>
      </c>
      <c r="G42" s="93"/>
      <c r="I42" s="44" t="s">
        <v>42</v>
      </c>
    </row>
    <row r="43" spans="2:9">
      <c r="B43" s="85" t="s">
        <v>41</v>
      </c>
      <c r="G43" s="93"/>
      <c r="I43" s="44" t="s">
        <v>44</v>
      </c>
    </row>
    <row r="44" spans="2:9">
      <c r="B44" s="85" t="s">
        <v>43</v>
      </c>
      <c r="G44" s="93"/>
    </row>
    <row r="45" spans="2:9">
      <c r="B45" s="85" t="s">
        <v>45</v>
      </c>
      <c r="G45" s="93"/>
      <c r="I45" s="44" t="s">
        <v>47</v>
      </c>
    </row>
    <row r="46" spans="2:9">
      <c r="B46" s="85" t="s">
        <v>46</v>
      </c>
      <c r="G46" s="93"/>
      <c r="I46" s="44" t="s">
        <v>49</v>
      </c>
    </row>
    <row r="47" spans="2:9">
      <c r="B47" s="85" t="s">
        <v>48</v>
      </c>
      <c r="G47" s="93"/>
      <c r="I47" s="44" t="s">
        <v>51</v>
      </c>
    </row>
    <row r="48" spans="2:9">
      <c r="B48" s="85" t="s">
        <v>50</v>
      </c>
      <c r="G48" s="93"/>
      <c r="I48" s="44" t="s">
        <v>53</v>
      </c>
    </row>
    <row r="49" spans="2:9">
      <c r="B49" s="85" t="s">
        <v>52</v>
      </c>
      <c r="G49" s="93"/>
      <c r="I49" s="44" t="s">
        <v>55</v>
      </c>
    </row>
    <row r="50" spans="2:9">
      <c r="B50" s="85" t="s">
        <v>54</v>
      </c>
      <c r="G50" s="93"/>
      <c r="I50" s="44" t="s">
        <v>57</v>
      </c>
    </row>
    <row r="51" spans="2:9">
      <c r="B51" s="85" t="s">
        <v>56</v>
      </c>
      <c r="G51" s="93"/>
      <c r="I51" s="44" t="s">
        <v>59</v>
      </c>
    </row>
    <row r="52" spans="2:9">
      <c r="B52" s="85" t="s">
        <v>58</v>
      </c>
      <c r="G52" s="93"/>
    </row>
    <row r="53" spans="2:9">
      <c r="B53" s="85" t="s">
        <v>60</v>
      </c>
      <c r="G53" s="93"/>
    </row>
    <row r="54" spans="2:9">
      <c r="B54" s="85" t="s">
        <v>61</v>
      </c>
      <c r="G54" s="93"/>
    </row>
    <row r="55" spans="2:9">
      <c r="B55" s="94" t="s">
        <v>62</v>
      </c>
      <c r="C55" s="74"/>
      <c r="D55" s="74"/>
      <c r="E55" s="74"/>
      <c r="F55" s="74"/>
      <c r="G55" s="96"/>
    </row>
  </sheetData>
  <hyperlinks>
    <hyperlink ref="B23" location="Other!A1" display="Yutrepia" xr:uid="{A9D47119-0EB6-4A9C-8321-E6C60063A653}"/>
    <hyperlink ref="B7" location="Main!A1" display="Main" xr:uid="{48253018-E583-DC49-BB06-77A1FB1D81E8}"/>
    <hyperlink ref="B8" location="Model!A1" display="Model" xr:uid="{719A0422-1184-0C4D-90F3-9CD704F60982}"/>
    <hyperlink ref="B9" location="'NPV Valuation'!A1" display="NPV Valuaution" xr:uid="{B049DFF1-E772-4140-8E1A-31523E7D1EC8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FC4-DF97-D249-BD7D-4DE2D2FEC1D0}">
  <dimension ref="A1:AW82"/>
  <sheetViews>
    <sheetView tabSelected="1" zoomScaleNormal="100" zoomScaleSheetLayoutView="100" workbookViewId="0">
      <pane xSplit="1" ySplit="9" topLeftCell="B25" activePane="bottomRight" state="frozen"/>
      <selection pane="topRight" activeCell="C1" sqref="C1"/>
      <selection pane="bottomLeft" activeCell="A4" sqref="A4"/>
      <selection pane="bottomRight" activeCell="AD15" sqref="AD15"/>
    </sheetView>
  </sheetViews>
  <sheetFormatPr baseColWidth="10" defaultColWidth="8.5" defaultRowHeight="13"/>
  <cols>
    <col min="1" max="1" width="25.83203125" style="44" bestFit="1" customWidth="1"/>
    <col min="2" max="10" width="8.33203125" style="2" bestFit="1" customWidth="1"/>
    <col min="11" max="11" width="8.33203125" style="117" bestFit="1" customWidth="1"/>
    <col min="12" max="12" width="8.33203125" style="21" bestFit="1" customWidth="1"/>
    <col min="13" max="17" width="8.33203125" style="2" bestFit="1" customWidth="1"/>
    <col min="18" max="19" width="8.5" style="2"/>
    <col min="20" max="20" width="7.33203125" style="2" bestFit="1" customWidth="1"/>
    <col min="21" max="21" width="8.33203125" style="2" bestFit="1" customWidth="1"/>
    <col min="22" max="32" width="8.33203125" style="1" bestFit="1" customWidth="1"/>
    <col min="33" max="33" width="8.33203125" style="30" bestFit="1" customWidth="1"/>
    <col min="34" max="49" width="9.83203125" style="1" bestFit="1" customWidth="1"/>
    <col min="50" max="50" width="8" style="1" bestFit="1" customWidth="1"/>
    <col min="51" max="51" width="5.6640625" style="1" bestFit="1" customWidth="1"/>
    <col min="52" max="16384" width="8.5" style="1"/>
  </cols>
  <sheetData>
    <row r="1" spans="1:49" s="44" customFormat="1">
      <c r="B1" s="45"/>
      <c r="C1" s="45"/>
      <c r="D1" s="45"/>
      <c r="E1" s="45"/>
      <c r="F1" s="45"/>
      <c r="G1" s="45"/>
      <c r="H1" s="45"/>
      <c r="I1" s="45"/>
      <c r="J1" s="45"/>
      <c r="K1" s="113"/>
      <c r="L1" s="46"/>
      <c r="M1" s="45"/>
      <c r="N1" s="45"/>
      <c r="O1" s="45"/>
      <c r="P1" s="45"/>
      <c r="Q1" s="45"/>
      <c r="R1" s="45"/>
      <c r="S1" s="45"/>
      <c r="T1" s="45"/>
      <c r="U1" s="45"/>
      <c r="AG1" s="47"/>
    </row>
    <row r="2" spans="1:49" s="44" customFormat="1" ht="32" customHeight="1">
      <c r="A2" s="48" t="s">
        <v>163</v>
      </c>
      <c r="B2" s="45"/>
      <c r="C2" s="45"/>
      <c r="D2" s="45"/>
      <c r="E2" s="45"/>
      <c r="F2" s="45"/>
      <c r="G2" s="45"/>
      <c r="H2" s="45"/>
      <c r="I2" s="45"/>
      <c r="J2" s="45"/>
      <c r="K2" s="113"/>
      <c r="L2" s="46"/>
      <c r="M2" s="45"/>
      <c r="N2" s="45"/>
      <c r="O2" s="45"/>
      <c r="P2" s="45"/>
      <c r="Q2" s="45"/>
      <c r="R2" s="45"/>
      <c r="S2" s="45"/>
      <c r="T2" s="45"/>
      <c r="U2" s="45"/>
      <c r="AG2" s="47"/>
    </row>
    <row r="3" spans="1:49" s="44" customFormat="1">
      <c r="A3" s="49" t="s">
        <v>164</v>
      </c>
      <c r="B3" s="45"/>
      <c r="C3" s="45"/>
      <c r="D3" s="45"/>
      <c r="E3" s="45"/>
      <c r="F3" s="45"/>
      <c r="G3" s="45"/>
      <c r="H3" s="45"/>
      <c r="I3" s="45"/>
      <c r="J3" s="45"/>
      <c r="K3" s="113"/>
      <c r="L3" s="46"/>
      <c r="M3" s="45"/>
      <c r="N3" s="45"/>
      <c r="O3" s="45"/>
      <c r="P3" s="45"/>
      <c r="Q3" s="45"/>
      <c r="R3" s="45"/>
      <c r="S3" s="45"/>
      <c r="T3" s="45"/>
      <c r="U3" s="45"/>
      <c r="AG3" s="47"/>
    </row>
    <row r="4" spans="1:49" s="44" customFormat="1">
      <c r="B4" s="45"/>
      <c r="C4" s="45"/>
      <c r="D4" s="45"/>
      <c r="E4" s="45"/>
      <c r="F4" s="45"/>
      <c r="G4" s="45"/>
      <c r="H4" s="45"/>
      <c r="I4" s="45"/>
      <c r="J4" s="45"/>
      <c r="K4" s="113"/>
      <c r="L4" s="46"/>
      <c r="M4" s="45"/>
      <c r="N4" s="45"/>
      <c r="O4" s="45"/>
      <c r="P4" s="45"/>
      <c r="Q4" s="45"/>
      <c r="R4" s="45"/>
      <c r="S4" s="45"/>
      <c r="T4" s="45"/>
      <c r="U4" s="45"/>
      <c r="AG4" s="47"/>
    </row>
    <row r="5" spans="1:49" s="44" customFormat="1">
      <c r="A5" s="42" t="s">
        <v>63</v>
      </c>
      <c r="B5" s="45"/>
      <c r="C5" s="45"/>
      <c r="D5" s="45"/>
      <c r="E5" s="45"/>
      <c r="F5" s="45"/>
      <c r="G5" s="45"/>
      <c r="H5" s="45"/>
      <c r="I5" s="45"/>
      <c r="J5" s="45"/>
      <c r="K5" s="113"/>
      <c r="L5" s="46"/>
      <c r="M5" s="45"/>
      <c r="N5" s="45"/>
      <c r="O5" s="45"/>
      <c r="P5" s="45"/>
      <c r="Q5" s="45"/>
      <c r="R5" s="45"/>
      <c r="S5" s="45"/>
      <c r="T5" s="45"/>
      <c r="U5" s="45"/>
      <c r="AG5" s="47"/>
    </row>
    <row r="6" spans="1:49" s="44" customFormat="1">
      <c r="A6" s="42" t="s">
        <v>183</v>
      </c>
      <c r="B6" s="45"/>
      <c r="C6" s="45"/>
      <c r="D6" s="45"/>
      <c r="E6" s="45"/>
      <c r="F6" s="45"/>
      <c r="G6" s="45"/>
      <c r="H6" s="45"/>
      <c r="I6" s="45"/>
      <c r="J6" s="45"/>
      <c r="K6" s="113"/>
      <c r="L6" s="46"/>
      <c r="M6" s="45"/>
      <c r="N6" s="45"/>
      <c r="O6" s="45"/>
      <c r="P6" s="45"/>
      <c r="Q6" s="45"/>
      <c r="R6" s="45"/>
      <c r="S6" s="45"/>
      <c r="T6" s="45"/>
      <c r="U6" s="45"/>
      <c r="AG6" s="47"/>
    </row>
    <row r="7" spans="1:49" s="44" customFormat="1">
      <c r="B7" s="45"/>
      <c r="C7" s="45"/>
      <c r="D7" s="45"/>
      <c r="E7" s="45"/>
      <c r="F7" s="45"/>
      <c r="G7" s="45"/>
      <c r="H7" s="45"/>
      <c r="I7" s="45"/>
      <c r="J7" s="45"/>
      <c r="K7" s="113"/>
      <c r="L7" s="46"/>
      <c r="M7" s="45"/>
      <c r="N7" s="45"/>
      <c r="O7" s="45"/>
      <c r="P7" s="45"/>
      <c r="Q7" s="45"/>
      <c r="R7" s="45"/>
      <c r="S7" s="45"/>
      <c r="T7" s="45"/>
      <c r="U7" s="45"/>
      <c r="AG7" s="47"/>
    </row>
    <row r="8" spans="1:49" s="44" customFormat="1">
      <c r="A8" s="49" t="s">
        <v>166</v>
      </c>
      <c r="B8" s="121" t="s">
        <v>225</v>
      </c>
      <c r="C8" s="122" t="s">
        <v>224</v>
      </c>
      <c r="D8" s="122" t="s">
        <v>223</v>
      </c>
      <c r="E8" s="122" t="s">
        <v>222</v>
      </c>
      <c r="F8" s="122" t="s">
        <v>221</v>
      </c>
      <c r="G8" s="122" t="s">
        <v>220</v>
      </c>
      <c r="H8" s="122" t="s">
        <v>219</v>
      </c>
      <c r="I8" s="122" t="s">
        <v>218</v>
      </c>
      <c r="J8" s="122" t="s">
        <v>217</v>
      </c>
      <c r="K8" s="122" t="s">
        <v>215</v>
      </c>
      <c r="L8" s="130" t="s">
        <v>216</v>
      </c>
      <c r="M8" s="122" t="s">
        <v>210</v>
      </c>
      <c r="N8" s="122" t="s">
        <v>211</v>
      </c>
      <c r="O8" s="122" t="s">
        <v>212</v>
      </c>
      <c r="P8" s="122" t="s">
        <v>213</v>
      </c>
      <c r="Q8" s="123" t="s">
        <v>214</v>
      </c>
      <c r="R8" s="45"/>
      <c r="S8" s="45"/>
      <c r="T8" s="50" t="s">
        <v>132</v>
      </c>
      <c r="U8" s="51" t="s">
        <v>133</v>
      </c>
      <c r="V8" s="52" t="s">
        <v>134</v>
      </c>
      <c r="W8" s="52" t="s">
        <v>135</v>
      </c>
      <c r="X8" s="52" t="s">
        <v>136</v>
      </c>
      <c r="Y8" s="52" t="s">
        <v>137</v>
      </c>
      <c r="Z8" s="52" t="s">
        <v>138</v>
      </c>
      <c r="AA8" s="52" t="s">
        <v>139</v>
      </c>
      <c r="AB8" s="52" t="s">
        <v>140</v>
      </c>
      <c r="AC8" s="52" t="s">
        <v>141</v>
      </c>
      <c r="AD8" s="52" t="s">
        <v>142</v>
      </c>
      <c r="AE8" s="52" t="s">
        <v>143</v>
      </c>
      <c r="AF8" s="52" t="s">
        <v>144</v>
      </c>
      <c r="AG8" s="53" t="s">
        <v>145</v>
      </c>
      <c r="AH8" s="52" t="s">
        <v>146</v>
      </c>
      <c r="AI8" s="52" t="s">
        <v>147</v>
      </c>
      <c r="AJ8" s="52" t="s">
        <v>148</v>
      </c>
      <c r="AK8" s="52" t="s">
        <v>149</v>
      </c>
      <c r="AL8" s="52" t="s">
        <v>150</v>
      </c>
      <c r="AM8" s="52" t="s">
        <v>151</v>
      </c>
      <c r="AN8" s="52" t="s">
        <v>152</v>
      </c>
      <c r="AO8" s="52" t="s">
        <v>153</v>
      </c>
      <c r="AP8" s="52" t="s">
        <v>154</v>
      </c>
      <c r="AQ8" s="52" t="s">
        <v>155</v>
      </c>
      <c r="AR8" s="52" t="s">
        <v>156</v>
      </c>
      <c r="AS8" s="52" t="s">
        <v>157</v>
      </c>
      <c r="AT8" s="52" t="s">
        <v>158</v>
      </c>
      <c r="AU8" s="52" t="s">
        <v>159</v>
      </c>
      <c r="AV8" s="52" t="s">
        <v>160</v>
      </c>
      <c r="AW8" s="54" t="s">
        <v>161</v>
      </c>
    </row>
    <row r="9" spans="1:49" s="44" customFormat="1">
      <c r="A9" s="44" t="s">
        <v>165</v>
      </c>
      <c r="B9" s="124">
        <f t="shared" ref="B9:E9" si="0">F9-365</f>
        <v>43921</v>
      </c>
      <c r="C9" s="125">
        <f t="shared" si="0"/>
        <v>44012</v>
      </c>
      <c r="D9" s="125">
        <f t="shared" si="0"/>
        <v>44104</v>
      </c>
      <c r="E9" s="125">
        <f t="shared" si="0"/>
        <v>44196</v>
      </c>
      <c r="F9" s="125">
        <f>J9-365</f>
        <v>44286</v>
      </c>
      <c r="G9" s="125">
        <v>44377</v>
      </c>
      <c r="H9" s="125">
        <v>44469</v>
      </c>
      <c r="I9" s="125">
        <v>44561</v>
      </c>
      <c r="J9" s="125">
        <v>44651</v>
      </c>
      <c r="K9" s="125">
        <f>G9+365</f>
        <v>44742</v>
      </c>
      <c r="L9" s="131">
        <f t="shared" ref="L9:Q9" si="1">H9+365</f>
        <v>44834</v>
      </c>
      <c r="M9" s="125">
        <f t="shared" si="1"/>
        <v>44926</v>
      </c>
      <c r="N9" s="125">
        <f t="shared" si="1"/>
        <v>45016</v>
      </c>
      <c r="O9" s="125">
        <f t="shared" si="1"/>
        <v>45107</v>
      </c>
      <c r="P9" s="125">
        <f t="shared" si="1"/>
        <v>45199</v>
      </c>
      <c r="Q9" s="126">
        <f t="shared" si="1"/>
        <v>45291</v>
      </c>
      <c r="R9" s="45"/>
      <c r="S9" s="45"/>
      <c r="T9" s="55">
        <f t="shared" ref="T9:AC9" si="2">U9-1</f>
        <v>2009</v>
      </c>
      <c r="U9" s="56">
        <f t="shared" si="2"/>
        <v>2010</v>
      </c>
      <c r="V9" s="56">
        <f t="shared" si="2"/>
        <v>2011</v>
      </c>
      <c r="W9" s="56">
        <f t="shared" si="2"/>
        <v>2012</v>
      </c>
      <c r="X9" s="56">
        <f t="shared" si="2"/>
        <v>2013</v>
      </c>
      <c r="Y9" s="56">
        <f t="shared" si="2"/>
        <v>2014</v>
      </c>
      <c r="Z9" s="56">
        <f t="shared" si="2"/>
        <v>2015</v>
      </c>
      <c r="AA9" s="56">
        <f t="shared" si="2"/>
        <v>2016</v>
      </c>
      <c r="AB9" s="56">
        <f t="shared" si="2"/>
        <v>2017</v>
      </c>
      <c r="AC9" s="56">
        <f t="shared" si="2"/>
        <v>2018</v>
      </c>
      <c r="AD9" s="56">
        <f>AE9-1</f>
        <v>2019</v>
      </c>
      <c r="AE9" s="56">
        <v>2020</v>
      </c>
      <c r="AF9" s="56">
        <f>+AE9+1</f>
        <v>2021</v>
      </c>
      <c r="AG9" s="57">
        <f t="shared" ref="AG9:AW9" si="3">+AF9+1</f>
        <v>2022</v>
      </c>
      <c r="AH9" s="56">
        <f t="shared" si="3"/>
        <v>2023</v>
      </c>
      <c r="AI9" s="56">
        <f t="shared" si="3"/>
        <v>2024</v>
      </c>
      <c r="AJ9" s="56">
        <f t="shared" si="3"/>
        <v>2025</v>
      </c>
      <c r="AK9" s="56">
        <f t="shared" si="3"/>
        <v>2026</v>
      </c>
      <c r="AL9" s="56">
        <f t="shared" si="3"/>
        <v>2027</v>
      </c>
      <c r="AM9" s="56">
        <f t="shared" si="3"/>
        <v>2028</v>
      </c>
      <c r="AN9" s="56">
        <f t="shared" si="3"/>
        <v>2029</v>
      </c>
      <c r="AO9" s="56">
        <f t="shared" si="3"/>
        <v>2030</v>
      </c>
      <c r="AP9" s="56">
        <f t="shared" si="3"/>
        <v>2031</v>
      </c>
      <c r="AQ9" s="56">
        <f t="shared" si="3"/>
        <v>2032</v>
      </c>
      <c r="AR9" s="56">
        <f t="shared" si="3"/>
        <v>2033</v>
      </c>
      <c r="AS9" s="56">
        <f t="shared" si="3"/>
        <v>2034</v>
      </c>
      <c r="AT9" s="56">
        <f t="shared" si="3"/>
        <v>2035</v>
      </c>
      <c r="AU9" s="56">
        <f t="shared" si="3"/>
        <v>2036</v>
      </c>
      <c r="AV9" s="56">
        <f t="shared" si="3"/>
        <v>2037</v>
      </c>
      <c r="AW9" s="58">
        <f t="shared" si="3"/>
        <v>2038</v>
      </c>
    </row>
    <row r="10" spans="1:49">
      <c r="A10" s="49" t="s">
        <v>168</v>
      </c>
      <c r="B10" s="3"/>
      <c r="C10" s="3"/>
      <c r="D10" s="3"/>
      <c r="E10" s="3"/>
      <c r="F10" s="3"/>
      <c r="G10" s="3"/>
      <c r="H10" s="3"/>
      <c r="I10" s="3"/>
      <c r="J10" s="3"/>
      <c r="K10" s="114"/>
      <c r="L10" s="22"/>
      <c r="M10" s="3"/>
      <c r="N10" s="3"/>
      <c r="O10" s="3"/>
      <c r="P10" s="3"/>
      <c r="Q10" s="3"/>
      <c r="T10" s="1"/>
      <c r="U10" s="1"/>
    </row>
    <row r="11" spans="1:49">
      <c r="A11" s="44" t="s">
        <v>125</v>
      </c>
      <c r="B11" s="4">
        <f>B12*1000</f>
        <v>102900</v>
      </c>
      <c r="C11" s="4">
        <f t="shared" ref="C11:Q11" si="4">C12*1000</f>
        <v>119200</v>
      </c>
      <c r="D11" s="4">
        <f t="shared" si="4"/>
        <v>129500</v>
      </c>
      <c r="E11" s="4">
        <f t="shared" si="4"/>
        <v>131700</v>
      </c>
      <c r="F11" s="4">
        <f t="shared" si="4"/>
        <v>123000</v>
      </c>
      <c r="G11" s="4">
        <f t="shared" si="4"/>
        <v>153800</v>
      </c>
      <c r="H11" s="4">
        <f t="shared" si="4"/>
        <v>164200</v>
      </c>
      <c r="I11" s="4">
        <f t="shared" si="4"/>
        <v>166500</v>
      </c>
      <c r="J11" s="4">
        <f t="shared" si="4"/>
        <v>172000</v>
      </c>
      <c r="K11" s="112">
        <f t="shared" si="4"/>
        <v>184560</v>
      </c>
      <c r="L11" s="23">
        <f t="shared" si="4"/>
        <v>197040</v>
      </c>
      <c r="M11" s="4">
        <f t="shared" si="4"/>
        <v>199799.99999999997</v>
      </c>
      <c r="N11" s="4">
        <f t="shared" si="4"/>
        <v>206400</v>
      </c>
      <c r="O11" s="4">
        <f t="shared" si="4"/>
        <v>221472</v>
      </c>
      <c r="P11" s="4">
        <f t="shared" si="4"/>
        <v>236447.99999999997</v>
      </c>
      <c r="Q11" s="4">
        <f t="shared" si="4"/>
        <v>239759.99999999997</v>
      </c>
      <c r="T11" s="4">
        <f t="shared" ref="T11" si="5">T12*1000</f>
        <v>20300</v>
      </c>
      <c r="U11" s="4">
        <f t="shared" ref="U11" si="6">U12*1000</f>
        <v>151800</v>
      </c>
      <c r="V11" s="4">
        <f t="shared" ref="V11" si="7">V12*1000</f>
        <v>240400</v>
      </c>
      <c r="W11" s="4">
        <f t="shared" ref="W11" si="8">W12*1000</f>
        <v>325600</v>
      </c>
      <c r="X11" s="4">
        <f t="shared" ref="X11" si="9">X12*1000</f>
        <v>438300</v>
      </c>
      <c r="Y11" s="4">
        <f t="shared" ref="Y11" si="10">Y12*1000</f>
        <v>463100</v>
      </c>
      <c r="Z11" s="4">
        <f t="shared" ref="Z11" si="11">Z12*1000</f>
        <v>470100</v>
      </c>
      <c r="AA11" s="4">
        <f t="shared" ref="AA11" si="12">AA12*1000</f>
        <v>404600</v>
      </c>
      <c r="AB11" s="4">
        <f t="shared" ref="AB11" si="13">AB12*1000</f>
        <v>372900</v>
      </c>
      <c r="AC11" s="4">
        <f t="shared" ref="AC11" si="14">AC12*1000</f>
        <v>415200</v>
      </c>
      <c r="AD11" s="4">
        <f t="shared" ref="AD11" si="15">AD12*1000</f>
        <v>415600</v>
      </c>
      <c r="AE11" s="4">
        <f t="shared" ref="AE11" si="16">AE12*1000</f>
        <v>483300</v>
      </c>
      <c r="AF11" s="4">
        <f t="shared" ref="AF11" si="17">AF12*1000</f>
        <v>607500</v>
      </c>
      <c r="AG11" s="23">
        <f t="shared" ref="AG11" si="18">AG12*1000</f>
        <v>753400</v>
      </c>
      <c r="AH11" s="4">
        <f t="shared" ref="AH11" si="19">AH12*1000</f>
        <v>904079.99999999988</v>
      </c>
      <c r="AI11" s="4">
        <f t="shared" ref="AI11" si="20">AI12*1000</f>
        <v>913120.79999999993</v>
      </c>
      <c r="AJ11" s="4">
        <f t="shared" ref="AJ11" si="21">AJ12*1000</f>
        <v>922252.00799999991</v>
      </c>
      <c r="AK11" s="4">
        <f t="shared" ref="AK11" si="22">AK12*1000</f>
        <v>931474.52807999996</v>
      </c>
      <c r="AL11" s="4">
        <f t="shared" ref="AL11" si="23">AL12*1000</f>
        <v>940789.27336079988</v>
      </c>
      <c r="AM11" s="4">
        <f t="shared" ref="AM11" si="24">AM12*1000</f>
        <v>950197.16609440802</v>
      </c>
      <c r="AN11" s="4">
        <f t="shared" ref="AN11" si="25">AN12*1000</f>
        <v>959699.13775535196</v>
      </c>
      <c r="AO11" s="4">
        <f t="shared" ref="AO11" si="26">AO12*1000</f>
        <v>969296.12913290551</v>
      </c>
      <c r="AP11" s="4">
        <f t="shared" ref="AP11" si="27">AP12*1000</f>
        <v>978989.09042423463</v>
      </c>
      <c r="AQ11" s="4">
        <f t="shared" ref="AQ11" si="28">AQ12*1000</f>
        <v>988778.98132847704</v>
      </c>
      <c r="AR11" s="4">
        <f t="shared" ref="AR11" si="29">AR12*1000</f>
        <v>998666.7711417618</v>
      </c>
      <c r="AS11" s="4">
        <f t="shared" ref="AS11" si="30">AS12*1000</f>
        <v>1008653.4388531796</v>
      </c>
      <c r="AT11" s="4">
        <f t="shared" ref="AT11" si="31">AT12*1000</f>
        <v>1018739.9732417114</v>
      </c>
      <c r="AU11" s="4">
        <f t="shared" ref="AU11" si="32">AU12*1000</f>
        <v>1028927.3729741285</v>
      </c>
      <c r="AV11" s="4">
        <f t="shared" ref="AV11" si="33">AV12*1000</f>
        <v>1039216.6467038698</v>
      </c>
      <c r="AW11" s="4">
        <f t="shared" ref="AW11" si="34">AW12*1000</f>
        <v>1049608.8131709087</v>
      </c>
    </row>
    <row r="12" spans="1:49" s="5" customFormat="1" hidden="1">
      <c r="A12" s="59" t="s">
        <v>162</v>
      </c>
      <c r="B12" s="6">
        <v>102.9</v>
      </c>
      <c r="C12" s="6">
        <v>119.2</v>
      </c>
      <c r="D12" s="6">
        <v>129.5</v>
      </c>
      <c r="E12" s="6">
        <v>131.69999999999999</v>
      </c>
      <c r="F12" s="6">
        <v>123</v>
      </c>
      <c r="G12" s="6">
        <v>153.80000000000001</v>
      </c>
      <c r="H12" s="6">
        <v>164.2</v>
      </c>
      <c r="I12" s="6">
        <v>166.5</v>
      </c>
      <c r="J12" s="6">
        <v>172</v>
      </c>
      <c r="K12" s="115">
        <f>G12*1.2</f>
        <v>184.56</v>
      </c>
      <c r="L12" s="24">
        <f t="shared" ref="L12:M12" si="35">H12*1.2</f>
        <v>197.04</v>
      </c>
      <c r="M12" s="6">
        <f t="shared" si="35"/>
        <v>199.79999999999998</v>
      </c>
      <c r="N12" s="6">
        <f>J12*1.2</f>
        <v>206.4</v>
      </c>
      <c r="O12" s="6">
        <f t="shared" ref="O12:Q12" si="36">K12*1.2</f>
        <v>221.47200000000001</v>
      </c>
      <c r="P12" s="6">
        <f t="shared" si="36"/>
        <v>236.44799999999998</v>
      </c>
      <c r="Q12" s="6">
        <f t="shared" si="36"/>
        <v>239.75999999999996</v>
      </c>
      <c r="R12" s="6"/>
      <c r="S12" s="6"/>
      <c r="T12" s="6">
        <v>20.3</v>
      </c>
      <c r="U12" s="6">
        <v>151.80000000000001</v>
      </c>
      <c r="V12" s="5">
        <v>240.4</v>
      </c>
      <c r="W12" s="5">
        <v>325.60000000000002</v>
      </c>
      <c r="X12" s="5">
        <v>438.3</v>
      </c>
      <c r="Y12" s="5">
        <v>463.1</v>
      </c>
      <c r="Z12" s="5">
        <v>470.1</v>
      </c>
      <c r="AA12" s="5">
        <v>404.6</v>
      </c>
      <c r="AB12" s="5">
        <v>372.9</v>
      </c>
      <c r="AC12" s="5">
        <v>415.2</v>
      </c>
      <c r="AD12" s="5">
        <v>415.6</v>
      </c>
      <c r="AE12" s="5">
        <f>SUM(B12:E12)</f>
        <v>483.3</v>
      </c>
      <c r="AF12" s="5">
        <f>SUM(F12:I12)</f>
        <v>607.5</v>
      </c>
      <c r="AG12" s="31">
        <f>SUM(J12:M12)</f>
        <v>753.4</v>
      </c>
      <c r="AH12" s="5">
        <f>AG12*1.2</f>
        <v>904.07999999999993</v>
      </c>
      <c r="AI12" s="5">
        <f>AH12*1.01</f>
        <v>913.12079999999992</v>
      </c>
      <c r="AJ12" s="5">
        <f t="shared" ref="AJ12:AS12" si="37">AI12*1.01</f>
        <v>922.25200799999993</v>
      </c>
      <c r="AK12" s="5">
        <f t="shared" si="37"/>
        <v>931.47452807999991</v>
      </c>
      <c r="AL12" s="5">
        <f t="shared" si="37"/>
        <v>940.78927336079994</v>
      </c>
      <c r="AM12" s="5">
        <f t="shared" si="37"/>
        <v>950.19716609440798</v>
      </c>
      <c r="AN12" s="5">
        <f t="shared" si="37"/>
        <v>959.69913775535201</v>
      </c>
      <c r="AO12" s="5">
        <f t="shared" si="37"/>
        <v>969.29612913290555</v>
      </c>
      <c r="AP12" s="5">
        <f t="shared" si="37"/>
        <v>978.98909042423463</v>
      </c>
      <c r="AQ12" s="5">
        <f t="shared" si="37"/>
        <v>988.77898132847702</v>
      </c>
      <c r="AR12" s="5">
        <f t="shared" si="37"/>
        <v>998.66677114176184</v>
      </c>
      <c r="AS12" s="5">
        <f t="shared" si="37"/>
        <v>1008.6534388531795</v>
      </c>
      <c r="AT12" s="5">
        <f t="shared" ref="AT12:AV12" si="38">AS12*1.01</f>
        <v>1018.7399732417114</v>
      </c>
      <c r="AU12" s="5">
        <f t="shared" si="38"/>
        <v>1028.9273729741285</v>
      </c>
      <c r="AV12" s="5">
        <f t="shared" si="38"/>
        <v>1039.2166467038699</v>
      </c>
      <c r="AW12" s="5">
        <f t="shared" ref="AW12" si="39">AV12*1.01</f>
        <v>1049.6088131709087</v>
      </c>
    </row>
    <row r="13" spans="1:49" s="5" customFormat="1">
      <c r="A13" s="59"/>
      <c r="B13" s="6"/>
      <c r="C13" s="6"/>
      <c r="D13" s="6"/>
      <c r="E13" s="6"/>
      <c r="F13" s="6"/>
      <c r="G13" s="6"/>
      <c r="H13" s="6"/>
      <c r="I13" s="6"/>
      <c r="J13" s="6"/>
      <c r="K13" s="115"/>
      <c r="L13" s="24"/>
      <c r="M13" s="6"/>
      <c r="N13" s="6"/>
      <c r="O13" s="6"/>
      <c r="P13" s="6"/>
      <c r="Q13" s="6"/>
      <c r="R13" s="6"/>
      <c r="S13" s="6"/>
      <c r="T13" s="6"/>
      <c r="U13" s="6"/>
      <c r="AG13" s="31"/>
    </row>
    <row r="14" spans="1:49" s="5" customFormat="1">
      <c r="A14" s="59" t="s">
        <v>173</v>
      </c>
      <c r="B14" s="7">
        <f t="shared" ref="B14:Q14" si="40">B12*1000+B20</f>
        <v>102900</v>
      </c>
      <c r="C14" s="7">
        <f t="shared" si="40"/>
        <v>119200</v>
      </c>
      <c r="D14" s="7">
        <f t="shared" si="40"/>
        <v>129500</v>
      </c>
      <c r="E14" s="7">
        <f t="shared" si="40"/>
        <v>131700</v>
      </c>
      <c r="F14" s="7">
        <f t="shared" si="40"/>
        <v>123000</v>
      </c>
      <c r="G14" s="7">
        <f t="shared" si="40"/>
        <v>153800</v>
      </c>
      <c r="H14" s="7">
        <f t="shared" si="40"/>
        <v>164200</v>
      </c>
      <c r="I14" s="7">
        <f t="shared" si="40"/>
        <v>166500</v>
      </c>
      <c r="J14" s="7">
        <f t="shared" si="40"/>
        <v>172000</v>
      </c>
      <c r="K14" s="116">
        <f t="shared" si="40"/>
        <v>184560</v>
      </c>
      <c r="L14" s="25">
        <f t="shared" si="40"/>
        <v>197040</v>
      </c>
      <c r="M14" s="7">
        <f t="shared" si="40"/>
        <v>199799.99999999997</v>
      </c>
      <c r="N14" s="7">
        <f t="shared" si="40"/>
        <v>234862.5</v>
      </c>
      <c r="O14" s="7">
        <f t="shared" si="40"/>
        <v>249934.5</v>
      </c>
      <c r="P14" s="7">
        <f t="shared" si="40"/>
        <v>264910.5</v>
      </c>
      <c r="Q14" s="7">
        <f t="shared" si="40"/>
        <v>268222.5</v>
      </c>
      <c r="R14" s="6"/>
      <c r="S14" s="6"/>
      <c r="T14" s="7">
        <f t="shared" ref="T14:AW14" si="41">T12*1000+T20</f>
        <v>20300</v>
      </c>
      <c r="U14" s="7">
        <f t="shared" si="41"/>
        <v>151800</v>
      </c>
      <c r="V14" s="7">
        <f t="shared" si="41"/>
        <v>240400</v>
      </c>
      <c r="W14" s="7">
        <f t="shared" si="41"/>
        <v>325600</v>
      </c>
      <c r="X14" s="7">
        <f t="shared" si="41"/>
        <v>438300</v>
      </c>
      <c r="Y14" s="7">
        <f t="shared" si="41"/>
        <v>463100</v>
      </c>
      <c r="Z14" s="7">
        <f t="shared" si="41"/>
        <v>470100</v>
      </c>
      <c r="AA14" s="7">
        <f t="shared" si="41"/>
        <v>404600</v>
      </c>
      <c r="AB14" s="7">
        <f t="shared" si="41"/>
        <v>372900</v>
      </c>
      <c r="AC14" s="7">
        <f t="shared" si="41"/>
        <v>415200</v>
      </c>
      <c r="AD14" s="7">
        <f t="shared" si="41"/>
        <v>415600</v>
      </c>
      <c r="AE14" s="7">
        <f t="shared" si="41"/>
        <v>483300</v>
      </c>
      <c r="AF14" s="7">
        <f t="shared" si="41"/>
        <v>607500</v>
      </c>
      <c r="AG14" s="25">
        <f t="shared" si="41"/>
        <v>753400</v>
      </c>
      <c r="AH14" s="7">
        <f t="shared" si="41"/>
        <v>1017929.9999999999</v>
      </c>
      <c r="AI14" s="7">
        <f t="shared" si="41"/>
        <v>1093420.7999999998</v>
      </c>
      <c r="AJ14" s="7">
        <f t="shared" si="41"/>
        <v>1166452.0079999999</v>
      </c>
      <c r="AK14" s="7">
        <f t="shared" si="41"/>
        <v>1260199.5280800001</v>
      </c>
      <c r="AL14" s="7">
        <f t="shared" si="41"/>
        <v>1288114.2733608</v>
      </c>
      <c r="AM14" s="7">
        <f t="shared" si="41"/>
        <v>1302772.1660944081</v>
      </c>
      <c r="AN14" s="7">
        <f t="shared" si="41"/>
        <v>1263149.1377553521</v>
      </c>
      <c r="AO14" s="7">
        <f t="shared" si="41"/>
        <v>1248971.1291329055</v>
      </c>
      <c r="AP14" s="7">
        <f t="shared" si="41"/>
        <v>1290389.0904242345</v>
      </c>
      <c r="AQ14" s="7">
        <f t="shared" si="41"/>
        <v>1300478.9813284772</v>
      </c>
      <c r="AR14" s="7">
        <f t="shared" si="41"/>
        <v>1361141.7711417619</v>
      </c>
      <c r="AS14" s="7">
        <f t="shared" si="41"/>
        <v>1464278.4388531796</v>
      </c>
      <c r="AT14" s="7">
        <f t="shared" si="41"/>
        <v>1583789.9732417115</v>
      </c>
      <c r="AU14" s="7">
        <f t="shared" si="41"/>
        <v>1706987.3729741285</v>
      </c>
      <c r="AV14" s="7">
        <f t="shared" si="41"/>
        <v>1724057.2467038697</v>
      </c>
      <c r="AW14" s="7">
        <f t="shared" si="41"/>
        <v>1118092.8731709088</v>
      </c>
    </row>
    <row r="15" spans="1:49" s="5" customFormat="1">
      <c r="A15" s="59"/>
      <c r="B15" s="7"/>
      <c r="C15" s="7"/>
      <c r="D15" s="7"/>
      <c r="E15" s="7"/>
      <c r="F15" s="7"/>
      <c r="G15" s="7"/>
      <c r="H15" s="7"/>
      <c r="I15" s="7"/>
      <c r="J15" s="7"/>
      <c r="K15" s="116"/>
      <c r="L15" s="25"/>
      <c r="M15" s="7"/>
      <c r="N15" s="7"/>
      <c r="O15" s="7"/>
      <c r="P15" s="7"/>
      <c r="Q15" s="7"/>
      <c r="R15" s="6"/>
      <c r="S15" s="6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5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s="128" customFormat="1">
      <c r="A16" s="79" t="s">
        <v>169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32"/>
      <c r="M16" s="127"/>
      <c r="N16" s="127"/>
      <c r="O16" s="127"/>
      <c r="P16" s="127"/>
      <c r="Q16" s="127"/>
      <c r="R16" s="127"/>
      <c r="S16" s="127"/>
      <c r="T16" s="127"/>
      <c r="U16" s="127"/>
      <c r="AG16" s="129"/>
    </row>
    <row r="17" spans="1:49">
      <c r="A17" s="44" t="s">
        <v>167</v>
      </c>
      <c r="E17" s="4">
        <f>E24</f>
        <v>739.62800000000004</v>
      </c>
      <c r="F17" s="4">
        <f t="shared" ref="F17:J17" si="42">F24</f>
        <v>3084</v>
      </c>
      <c r="G17" s="4">
        <f t="shared" si="42"/>
        <v>3376.0859999999998</v>
      </c>
      <c r="H17" s="4">
        <f t="shared" si="42"/>
        <v>3178.6210000000001</v>
      </c>
      <c r="I17" s="4">
        <f t="shared" si="42"/>
        <v>3214.637999999999</v>
      </c>
      <c r="J17" s="4">
        <f t="shared" si="42"/>
        <v>3492</v>
      </c>
      <c r="K17" s="112">
        <v>3918</v>
      </c>
      <c r="L17" s="23">
        <f t="shared" ref="L17:M17" si="43">K17</f>
        <v>3918</v>
      </c>
      <c r="M17" s="4">
        <f t="shared" si="43"/>
        <v>3918</v>
      </c>
      <c r="N17" s="4">
        <f>J17*0.9</f>
        <v>3142.8</v>
      </c>
      <c r="O17" s="4">
        <f t="shared" ref="O17:Q17" si="44">K17*0.9</f>
        <v>3526.2000000000003</v>
      </c>
      <c r="P17" s="4">
        <f t="shared" si="44"/>
        <v>3526.2000000000003</v>
      </c>
      <c r="Q17" s="4">
        <f t="shared" si="44"/>
        <v>3526.2000000000003</v>
      </c>
      <c r="AE17" s="8">
        <f>SUM(B17:E17)</f>
        <v>739.62800000000004</v>
      </c>
      <c r="AF17" s="9">
        <f>SUM(F17:I17)</f>
        <v>12853.344999999998</v>
      </c>
      <c r="AG17" s="32">
        <f>SUM(J17:M17)</f>
        <v>15246</v>
      </c>
      <c r="AH17" s="9">
        <f>AG17*0.9</f>
        <v>13721.4</v>
      </c>
      <c r="AI17" s="9">
        <f t="shared" ref="AI17:AS17" si="45">AH17*0.9</f>
        <v>12349.26</v>
      </c>
      <c r="AJ17" s="9">
        <f t="shared" si="45"/>
        <v>11114.334000000001</v>
      </c>
      <c r="AK17" s="9">
        <f t="shared" si="45"/>
        <v>10002.900600000001</v>
      </c>
      <c r="AL17" s="9">
        <f t="shared" si="45"/>
        <v>9002.6105400000015</v>
      </c>
      <c r="AM17" s="9">
        <f t="shared" si="45"/>
        <v>8102.3494860000019</v>
      </c>
      <c r="AN17" s="9">
        <f t="shared" si="45"/>
        <v>7292.1145374000016</v>
      </c>
      <c r="AO17" s="9">
        <f t="shared" si="45"/>
        <v>6562.9030836600014</v>
      </c>
      <c r="AP17" s="9">
        <f t="shared" si="45"/>
        <v>5906.612775294001</v>
      </c>
      <c r="AQ17" s="9">
        <f t="shared" si="45"/>
        <v>5315.9514977646013</v>
      </c>
      <c r="AR17" s="9">
        <f t="shared" si="45"/>
        <v>4784.3563479881414</v>
      </c>
      <c r="AS17" s="9">
        <f t="shared" si="45"/>
        <v>4305.9207131893272</v>
      </c>
      <c r="AT17" s="9">
        <f t="shared" ref="AT17:AU17" si="46">AS17*0.9</f>
        <v>3875.3286418703947</v>
      </c>
      <c r="AU17" s="9">
        <f t="shared" si="46"/>
        <v>3487.7957776833555</v>
      </c>
      <c r="AV17" s="9">
        <f>AU17*0.9</f>
        <v>3139.01619991502</v>
      </c>
      <c r="AW17" s="9">
        <f t="shared" ref="AW17" si="47">AV17*0.9</f>
        <v>2825.1145799235182</v>
      </c>
    </row>
    <row r="18" spans="1:49" s="13" customFormat="1">
      <c r="A18" s="61" t="s">
        <v>171</v>
      </c>
      <c r="B18" s="11"/>
      <c r="C18" s="11"/>
      <c r="D18" s="11"/>
      <c r="E18" s="12">
        <f>E17/E$24</f>
        <v>1</v>
      </c>
      <c r="F18" s="12">
        <f t="shared" ref="F18:Q18" si="48">F17/F$24</f>
        <v>1</v>
      </c>
      <c r="G18" s="12">
        <f t="shared" si="48"/>
        <v>1</v>
      </c>
      <c r="H18" s="12">
        <f t="shared" si="48"/>
        <v>1</v>
      </c>
      <c r="I18" s="12">
        <f t="shared" si="48"/>
        <v>1</v>
      </c>
      <c r="J18" s="12">
        <f t="shared" si="48"/>
        <v>1</v>
      </c>
      <c r="K18" s="118">
        <f t="shared" si="48"/>
        <v>1</v>
      </c>
      <c r="L18" s="26">
        <f t="shared" si="48"/>
        <v>1</v>
      </c>
      <c r="M18" s="12">
        <f t="shared" si="48"/>
        <v>1</v>
      </c>
      <c r="N18" s="12">
        <f t="shared" si="48"/>
        <v>9.9439018139362692E-2</v>
      </c>
      <c r="O18" s="12">
        <f t="shared" si="48"/>
        <v>0.11023267591368201</v>
      </c>
      <c r="P18" s="12">
        <f t="shared" si="48"/>
        <v>0.11023267591368201</v>
      </c>
      <c r="Q18" s="12">
        <f t="shared" si="48"/>
        <v>0.11023267591368201</v>
      </c>
      <c r="R18" s="11"/>
      <c r="S18" s="11"/>
      <c r="T18" s="11"/>
      <c r="U18" s="11"/>
      <c r="AE18" s="12">
        <f t="shared" ref="AE18" si="49">AE17/AE$24</f>
        <v>1</v>
      </c>
      <c r="AF18" s="12">
        <f t="shared" ref="AF18" si="50">AF17/AF$24</f>
        <v>0.99999999999999989</v>
      </c>
      <c r="AG18" s="26">
        <f t="shared" ref="AG18" si="51">AG17/AG$24</f>
        <v>1</v>
      </c>
      <c r="AH18" s="12">
        <f t="shared" ref="AH18" si="52">AH17/AH$24</f>
        <v>0.10755859071860933</v>
      </c>
      <c r="AI18" s="12">
        <f t="shared" ref="AI18" si="53">AI17/AI$24</f>
        <v>6.4102296577728868E-2</v>
      </c>
      <c r="AJ18" s="12">
        <f t="shared" ref="AJ18" si="54">AJ17/AJ$24</f>
        <v>4.3531962447513811E-2</v>
      </c>
      <c r="AK18" s="12">
        <f t="shared" ref="AK18" si="55">AK17/AK$24</f>
        <v>2.9530784391488065E-2</v>
      </c>
      <c r="AL18" s="12">
        <f t="shared" ref="AL18" si="56">AL17/AL$24</f>
        <v>2.5264981645281178E-2</v>
      </c>
      <c r="AM18" s="12">
        <f t="shared" ref="AM18" si="57">AM17/AM$24</f>
        <v>2.2464259254279841E-2</v>
      </c>
      <c r="AN18" s="12">
        <f t="shared" ref="AN18" si="58">AN17/AN$24</f>
        <v>2.3466772594553941E-2</v>
      </c>
      <c r="AO18" s="12">
        <f t="shared" ref="AO18" si="59">AO17/AO$24</f>
        <v>2.2928141287220913E-2</v>
      </c>
      <c r="AP18" s="12">
        <f t="shared" ref="AP18" si="60">AP17/AP$24</f>
        <v>1.8614842986196662E-2</v>
      </c>
      <c r="AQ18" s="12">
        <f t="shared" ref="AQ18" si="61">AQ17/AQ$24</f>
        <v>1.6768719279421133E-2</v>
      </c>
      <c r="AR18" s="12">
        <f t="shared" ref="AR18" si="62">AR17/AR$24</f>
        <v>1.302718709623516E-2</v>
      </c>
      <c r="AS18" s="12">
        <f t="shared" ref="AS18" si="63">AS17/AS$24</f>
        <v>9.36210313173199E-3</v>
      </c>
      <c r="AT18" s="12">
        <f t="shared" ref="AT18" si="64">AT17/AT$24</f>
        <v>6.8116648121846115E-3</v>
      </c>
      <c r="AU18" s="12">
        <f t="shared" ref="AU18" si="65">AU17/AU$24</f>
        <v>5.1174632201745869E-3</v>
      </c>
      <c r="AV18" s="12">
        <f t="shared" ref="AV18" si="66">AV17/AV$24</f>
        <v>4.5626587270906531E-3</v>
      </c>
      <c r="AW18" s="12">
        <f t="shared" ref="AW18" si="67">AW17/AW$24</f>
        <v>3.9617827531534838E-2</v>
      </c>
    </row>
    <row r="19" spans="1:49">
      <c r="E19" s="4"/>
      <c r="F19" s="4"/>
      <c r="G19" s="4"/>
      <c r="H19" s="4"/>
      <c r="I19" s="4"/>
      <c r="J19" s="4"/>
      <c r="K19" s="112"/>
      <c r="L19" s="23"/>
      <c r="M19" s="4"/>
      <c r="AG19" s="32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s="9" customFormat="1">
      <c r="A20" s="62" t="s">
        <v>7</v>
      </c>
      <c r="B20" s="4"/>
      <c r="C20" s="4"/>
      <c r="D20" s="4"/>
      <c r="E20" s="4"/>
      <c r="F20" s="4"/>
      <c r="G20" s="4"/>
      <c r="H20" s="4"/>
      <c r="I20" s="4"/>
      <c r="J20" s="4"/>
      <c r="K20" s="112"/>
      <c r="L20" s="23"/>
      <c r="M20" s="4"/>
      <c r="N20" s="4">
        <f>$AH$20/4</f>
        <v>28462.500000000004</v>
      </c>
      <c r="O20" s="4">
        <f t="shared" ref="O20:Q20" si="68">$AH$20/4</f>
        <v>28462.500000000004</v>
      </c>
      <c r="P20" s="4">
        <f t="shared" si="68"/>
        <v>28462.500000000004</v>
      </c>
      <c r="Q20" s="4">
        <f t="shared" si="68"/>
        <v>28462.500000000004</v>
      </c>
      <c r="R20" s="4"/>
      <c r="S20" s="4"/>
      <c r="T20" s="4"/>
      <c r="U20" s="4"/>
      <c r="AG20" s="32">
        <v>0</v>
      </c>
      <c r="AH20" s="9">
        <f t="shared" ref="AH20:AV20" si="69">U12*0.75*1000</f>
        <v>113850.00000000001</v>
      </c>
      <c r="AI20" s="9">
        <f t="shared" si="69"/>
        <v>180300</v>
      </c>
      <c r="AJ20" s="9">
        <f t="shared" si="69"/>
        <v>244200.00000000003</v>
      </c>
      <c r="AK20" s="9">
        <f t="shared" si="69"/>
        <v>328725</v>
      </c>
      <c r="AL20" s="9">
        <f t="shared" si="69"/>
        <v>347325.00000000006</v>
      </c>
      <c r="AM20" s="9">
        <f t="shared" si="69"/>
        <v>352575.00000000006</v>
      </c>
      <c r="AN20" s="9">
        <f t="shared" si="69"/>
        <v>303450.00000000006</v>
      </c>
      <c r="AO20" s="9">
        <f t="shared" si="69"/>
        <v>279674.99999999994</v>
      </c>
      <c r="AP20" s="9">
        <f t="shared" si="69"/>
        <v>311400</v>
      </c>
      <c r="AQ20" s="9">
        <f t="shared" si="69"/>
        <v>311700.00000000006</v>
      </c>
      <c r="AR20" s="9">
        <f t="shared" si="69"/>
        <v>362475</v>
      </c>
      <c r="AS20" s="9">
        <f t="shared" si="69"/>
        <v>455625</v>
      </c>
      <c r="AT20" s="9">
        <f t="shared" si="69"/>
        <v>565050</v>
      </c>
      <c r="AU20" s="9">
        <f t="shared" si="69"/>
        <v>678060</v>
      </c>
      <c r="AV20" s="9">
        <f t="shared" si="69"/>
        <v>684840.6</v>
      </c>
      <c r="AW20" s="9">
        <f t="shared" ref="AW20" si="70">AV20*0.1</f>
        <v>68484.06</v>
      </c>
    </row>
    <row r="21" spans="1:49" s="10" customFormat="1">
      <c r="A21" s="61" t="s">
        <v>171</v>
      </c>
      <c r="B21" s="7"/>
      <c r="C21" s="7"/>
      <c r="D21" s="7"/>
      <c r="E21" s="7"/>
      <c r="F21" s="7"/>
      <c r="G21" s="7"/>
      <c r="H21" s="7"/>
      <c r="I21" s="7"/>
      <c r="J21" s="7"/>
      <c r="K21" s="116"/>
      <c r="L21" s="26"/>
      <c r="M21" s="12"/>
      <c r="N21" s="12">
        <f t="shared" ref="N21:Q21" si="71">N20/N$24</f>
        <v>0.90056098186063738</v>
      </c>
      <c r="O21" s="12">
        <f t="shared" si="71"/>
        <v>0.88976732408631798</v>
      </c>
      <c r="P21" s="12">
        <f t="shared" si="71"/>
        <v>0.88976732408631798</v>
      </c>
      <c r="Q21" s="12">
        <f t="shared" si="71"/>
        <v>0.88976732408631798</v>
      </c>
      <c r="R21" s="7"/>
      <c r="S21" s="7"/>
      <c r="T21" s="7"/>
      <c r="U21" s="7"/>
      <c r="AG21" s="33"/>
      <c r="AH21" s="14">
        <f>AH20/AH24</f>
        <v>0.89244140928139071</v>
      </c>
      <c r="AI21" s="14">
        <f t="shared" ref="AI21:AW21" si="72">AI20/AI24</f>
        <v>0.93589770342227108</v>
      </c>
      <c r="AJ21" s="14">
        <f t="shared" si="72"/>
        <v>0.95646803755248622</v>
      </c>
      <c r="AK21" s="14">
        <f t="shared" si="72"/>
        <v>0.97046921560851196</v>
      </c>
      <c r="AL21" s="14">
        <f t="shared" si="72"/>
        <v>0.97473501835471876</v>
      </c>
      <c r="AM21" s="14">
        <f t="shared" si="72"/>
        <v>0.97753574074572014</v>
      </c>
      <c r="AN21" s="14">
        <f t="shared" si="72"/>
        <v>0.97653322740544601</v>
      </c>
      <c r="AO21" s="14">
        <f t="shared" si="72"/>
        <v>0.97707185871277913</v>
      </c>
      <c r="AP21" s="14">
        <f t="shared" si="72"/>
        <v>0.98138515701380336</v>
      </c>
      <c r="AQ21" s="14">
        <f t="shared" si="72"/>
        <v>0.98323128072057886</v>
      </c>
      <c r="AR21" s="14">
        <f t="shared" si="72"/>
        <v>0.98697281290376493</v>
      </c>
      <c r="AS21" s="14">
        <f t="shared" si="72"/>
        <v>0.99063789686826798</v>
      </c>
      <c r="AT21" s="14">
        <f t="shared" si="72"/>
        <v>0.99318833518781535</v>
      </c>
      <c r="AU21" s="14">
        <f t="shared" si="72"/>
        <v>0.99488253677982541</v>
      </c>
      <c r="AV21" s="14">
        <f t="shared" si="72"/>
        <v>0.99543734127290939</v>
      </c>
      <c r="AW21" s="14">
        <f t="shared" si="72"/>
        <v>0.96038217246846513</v>
      </c>
    </row>
    <row r="22" spans="1:49" s="10" customFormat="1">
      <c r="A22" s="61" t="s">
        <v>172</v>
      </c>
      <c r="B22" s="7"/>
      <c r="C22" s="7"/>
      <c r="D22" s="7"/>
      <c r="E22" s="7"/>
      <c r="F22" s="7"/>
      <c r="G22" s="7"/>
      <c r="H22" s="7"/>
      <c r="I22" s="7"/>
      <c r="J22" s="7"/>
      <c r="K22" s="116"/>
      <c r="L22" s="26"/>
      <c r="M22" s="12"/>
      <c r="N22" s="12">
        <f t="shared" ref="N22:Q22" si="73">N20/N14</f>
        <v>0.1211879291074565</v>
      </c>
      <c r="O22" s="12">
        <f t="shared" si="73"/>
        <v>0.11387983651716752</v>
      </c>
      <c r="P22" s="12">
        <f t="shared" si="73"/>
        <v>0.10744194737467938</v>
      </c>
      <c r="Q22" s="12">
        <f t="shared" si="73"/>
        <v>0.10611525878701453</v>
      </c>
      <c r="R22" s="7"/>
      <c r="S22" s="7"/>
      <c r="T22" s="7"/>
      <c r="U22" s="7"/>
      <c r="AG22" s="26">
        <f>AG20/AG14</f>
        <v>0</v>
      </c>
      <c r="AH22" s="12">
        <f t="shared" ref="AH22:AW22" si="74">AH20/AH14</f>
        <v>0.11184462585835964</v>
      </c>
      <c r="AI22" s="12">
        <f t="shared" si="74"/>
        <v>0.16489534495776925</v>
      </c>
      <c r="AJ22" s="12">
        <f t="shared" si="74"/>
        <v>0.20935280519487953</v>
      </c>
      <c r="AK22" s="12">
        <f t="shared" si="74"/>
        <v>0.26085154983420361</v>
      </c>
      <c r="AL22" s="12">
        <f t="shared" si="74"/>
        <v>0.26963834434797429</v>
      </c>
      <c r="AM22" s="12">
        <f t="shared" si="74"/>
        <v>0.27063442801129817</v>
      </c>
      <c r="AN22" s="12">
        <f t="shared" si="74"/>
        <v>0.24023291544119516</v>
      </c>
      <c r="AO22" s="12">
        <f t="shared" si="74"/>
        <v>0.22392431136031421</v>
      </c>
      <c r="AP22" s="12">
        <f t="shared" si="74"/>
        <v>0.24132256100958094</v>
      </c>
      <c r="AQ22" s="12">
        <f t="shared" si="74"/>
        <v>0.23968092101080282</v>
      </c>
      <c r="AR22" s="12">
        <f t="shared" si="74"/>
        <v>0.26630216461283551</v>
      </c>
      <c r="AS22" s="12">
        <f t="shared" si="74"/>
        <v>0.31116008261164096</v>
      </c>
      <c r="AT22" s="12">
        <f t="shared" si="74"/>
        <v>0.356770790033133</v>
      </c>
      <c r="AU22" s="12">
        <f t="shared" si="74"/>
        <v>0.39722613695647813</v>
      </c>
      <c r="AV22" s="12">
        <f t="shared" si="74"/>
        <v>0.39722613695647818</v>
      </c>
      <c r="AW22" s="12">
        <f t="shared" si="74"/>
        <v>6.1250779468595806E-2</v>
      </c>
    </row>
    <row r="23" spans="1:49" s="9" customFormat="1">
      <c r="A23" s="62"/>
      <c r="B23" s="4"/>
      <c r="C23" s="4"/>
      <c r="D23" s="4"/>
      <c r="E23" s="4"/>
      <c r="F23" s="4"/>
      <c r="G23" s="4"/>
      <c r="H23" s="4"/>
      <c r="I23" s="4"/>
      <c r="J23" s="4"/>
      <c r="K23" s="112"/>
      <c r="L23" s="23"/>
      <c r="M23" s="4"/>
      <c r="N23" s="4"/>
      <c r="O23" s="4"/>
      <c r="P23" s="4"/>
      <c r="Q23" s="4"/>
      <c r="R23" s="4"/>
      <c r="S23" s="4"/>
      <c r="T23" s="4"/>
      <c r="U23" s="4"/>
      <c r="AG23" s="32"/>
    </row>
    <row r="24" spans="1:49" s="15" customFormat="1">
      <c r="A24" s="63" t="s">
        <v>170</v>
      </c>
      <c r="B24" s="16">
        <v>0</v>
      </c>
      <c r="C24" s="16">
        <v>0</v>
      </c>
      <c r="D24" s="16">
        <v>0</v>
      </c>
      <c r="E24" s="16">
        <f>AE24-D24-C24-B24</f>
        <v>739.62800000000004</v>
      </c>
      <c r="F24" s="16">
        <v>3084</v>
      </c>
      <c r="G24" s="16">
        <v>3376.0859999999998</v>
      </c>
      <c r="H24" s="16">
        <v>3178.6210000000001</v>
      </c>
      <c r="I24" s="16">
        <f>+AF24-H24-G24-F24</f>
        <v>3214.637999999999</v>
      </c>
      <c r="J24" s="16">
        <v>3492</v>
      </c>
      <c r="K24" s="119">
        <f>K17</f>
        <v>3918</v>
      </c>
      <c r="L24" s="27">
        <f>L20+L17</f>
        <v>3918</v>
      </c>
      <c r="M24" s="16">
        <f>M20+M17</f>
        <v>3918</v>
      </c>
      <c r="N24" s="16">
        <f t="shared" ref="N24:Q24" si="75">N20+N17</f>
        <v>31605.300000000003</v>
      </c>
      <c r="O24" s="16">
        <f t="shared" si="75"/>
        <v>31988.700000000004</v>
      </c>
      <c r="P24" s="16">
        <f t="shared" si="75"/>
        <v>31988.700000000004</v>
      </c>
      <c r="Q24" s="16">
        <f t="shared" si="75"/>
        <v>31988.700000000004</v>
      </c>
      <c r="R24" s="16"/>
      <c r="S24" s="16"/>
      <c r="T24" s="16"/>
      <c r="U24" s="16"/>
      <c r="AE24" s="15">
        <v>739.62800000000004</v>
      </c>
      <c r="AF24" s="15">
        <v>12853.344999999999</v>
      </c>
      <c r="AG24" s="34">
        <f>AG17+AG20</f>
        <v>15246</v>
      </c>
      <c r="AH24" s="15">
        <f t="shared" ref="AH24:AW24" si="76">AH20+AH17</f>
        <v>127571.40000000001</v>
      </c>
      <c r="AI24" s="15">
        <f t="shared" si="76"/>
        <v>192649.26</v>
      </c>
      <c r="AJ24" s="15">
        <f t="shared" si="76"/>
        <v>255314.33400000003</v>
      </c>
      <c r="AK24" s="15">
        <f t="shared" si="76"/>
        <v>338727.90059999999</v>
      </c>
      <c r="AL24" s="15">
        <f t="shared" si="76"/>
        <v>356327.61054000008</v>
      </c>
      <c r="AM24" s="15">
        <f t="shared" si="76"/>
        <v>360677.34948600008</v>
      </c>
      <c r="AN24" s="15">
        <f t="shared" si="76"/>
        <v>310742.11453740008</v>
      </c>
      <c r="AO24" s="15">
        <f t="shared" si="76"/>
        <v>286237.90308365994</v>
      </c>
      <c r="AP24" s="15">
        <f t="shared" si="76"/>
        <v>317306.61277529399</v>
      </c>
      <c r="AQ24" s="15">
        <f t="shared" si="76"/>
        <v>317015.95149776468</v>
      </c>
      <c r="AR24" s="15">
        <f t="shared" si="76"/>
        <v>367259.35634798813</v>
      </c>
      <c r="AS24" s="15">
        <f t="shared" si="76"/>
        <v>459930.92071318935</v>
      </c>
      <c r="AT24" s="15">
        <f t="shared" si="76"/>
        <v>568925.32864187041</v>
      </c>
      <c r="AU24" s="15">
        <f t="shared" si="76"/>
        <v>681547.79577768338</v>
      </c>
      <c r="AV24" s="15">
        <f t="shared" si="76"/>
        <v>687979.61619991495</v>
      </c>
      <c r="AW24" s="15">
        <f t="shared" si="76"/>
        <v>71309.174579923521</v>
      </c>
    </row>
    <row r="25" spans="1:49" s="15" customFormat="1">
      <c r="A25" s="63"/>
      <c r="B25" s="16"/>
      <c r="C25" s="16"/>
      <c r="D25" s="16"/>
      <c r="E25" s="16"/>
      <c r="F25" s="16"/>
      <c r="G25" s="16"/>
      <c r="H25" s="16"/>
      <c r="I25" s="16"/>
      <c r="J25" s="16"/>
      <c r="K25" s="119"/>
      <c r="L25" s="27"/>
      <c r="M25" s="16"/>
      <c r="N25" s="16"/>
      <c r="O25" s="16"/>
      <c r="P25" s="16"/>
      <c r="Q25" s="16"/>
      <c r="R25" s="16"/>
      <c r="S25" s="16"/>
      <c r="T25" s="16"/>
      <c r="U25" s="16"/>
      <c r="AG25" s="34"/>
    </row>
    <row r="26" spans="1:49" s="9" customFormat="1">
      <c r="A26" s="62" t="s">
        <v>64</v>
      </c>
      <c r="B26" s="4">
        <v>0</v>
      </c>
      <c r="C26" s="4">
        <v>0</v>
      </c>
      <c r="D26" s="4">
        <v>0</v>
      </c>
      <c r="E26" s="4">
        <f>AE26-D26-C26-B26</f>
        <v>237.71199999999999</v>
      </c>
      <c r="F26" s="4">
        <v>694</v>
      </c>
      <c r="G26" s="4">
        <v>713.73599999999999</v>
      </c>
      <c r="H26" s="4">
        <v>889.51099999999997</v>
      </c>
      <c r="I26" s="4">
        <f>AF26-H26-G26-F26</f>
        <v>725.66400000000021</v>
      </c>
      <c r="J26" s="4">
        <v>694</v>
      </c>
      <c r="K26" s="112">
        <v>731</v>
      </c>
      <c r="L26" s="23">
        <f>L24*0.15</f>
        <v>587.69999999999993</v>
      </c>
      <c r="M26" s="4">
        <f t="shared" ref="M26:Q26" si="77">M24*0.15</f>
        <v>587.69999999999993</v>
      </c>
      <c r="N26" s="4">
        <f t="shared" si="77"/>
        <v>4740.7950000000001</v>
      </c>
      <c r="O26" s="4">
        <f t="shared" si="77"/>
        <v>4798.3050000000003</v>
      </c>
      <c r="P26" s="4">
        <f t="shared" si="77"/>
        <v>4798.3050000000003</v>
      </c>
      <c r="Q26" s="4">
        <f t="shared" si="77"/>
        <v>4798.3050000000003</v>
      </c>
      <c r="R26" s="4"/>
      <c r="S26" s="4"/>
      <c r="T26" s="4"/>
      <c r="U26" s="4"/>
      <c r="AE26" s="9">
        <v>237.71199999999999</v>
      </c>
      <c r="AF26" s="9">
        <v>3022.9110000000001</v>
      </c>
      <c r="AG26" s="32">
        <f>SUM(J26:M26)</f>
        <v>2600.3999999999996</v>
      </c>
      <c r="AH26" s="9">
        <f>AH24-AH27</f>
        <v>22962.852000000014</v>
      </c>
      <c r="AI26" s="9">
        <f t="shared" ref="AI26:AJ26" si="78">AI24-AI27</f>
        <v>32750.37420000002</v>
      </c>
      <c r="AJ26" s="9">
        <f t="shared" si="78"/>
        <v>40850.293440000009</v>
      </c>
      <c r="AK26" s="9">
        <f t="shared" ref="AK26" si="79">AK24-AK27</f>
        <v>50809.185089999984</v>
      </c>
      <c r="AL26" s="9">
        <f t="shared" ref="AL26" si="80">AL24-AL27</f>
        <v>53449.141581000003</v>
      </c>
      <c r="AM26" s="9">
        <f t="shared" ref="AM26" si="81">AM24-AM27</f>
        <v>54101.602422900032</v>
      </c>
      <c r="AN26" s="9">
        <f t="shared" ref="AN26" si="82">AN24-AN27</f>
        <v>46611.317180610029</v>
      </c>
      <c r="AO26" s="9">
        <f t="shared" ref="AO26" si="83">AO24-AO27</f>
        <v>42935.685462549009</v>
      </c>
      <c r="AP26" s="9">
        <f t="shared" ref="AP26" si="84">AP24-AP27</f>
        <v>47595.991916294093</v>
      </c>
      <c r="AQ26" s="9">
        <f t="shared" ref="AQ26" si="85">AQ24-AQ27</f>
        <v>47552.392724664707</v>
      </c>
      <c r="AR26" s="9">
        <f t="shared" ref="AR26" si="86">AR24-AR27</f>
        <v>55088.903452198254</v>
      </c>
      <c r="AS26" s="9">
        <f t="shared" ref="AS26" si="87">AS24-AS27</f>
        <v>68989.63810697844</v>
      </c>
      <c r="AT26" s="9">
        <f t="shared" ref="AT26" si="88">AT24-AT27</f>
        <v>85338.799296280602</v>
      </c>
      <c r="AU26" s="9">
        <f t="shared" ref="AU26" si="89">AU24-AU27</f>
        <v>102232.1693666525</v>
      </c>
      <c r="AV26" s="9">
        <f>AV24-AV27</f>
        <v>103196.94242998725</v>
      </c>
      <c r="AW26" s="9">
        <f t="shared" ref="AW26" si="90">AW24-AW27</f>
        <v>10696.376186988527</v>
      </c>
    </row>
    <row r="27" spans="1:49" s="9" customFormat="1">
      <c r="A27" s="62" t="s">
        <v>65</v>
      </c>
      <c r="B27" s="4">
        <f>B24-B26</f>
        <v>0</v>
      </c>
      <c r="C27" s="4">
        <f t="shared" ref="C27" si="91">C24-C26</f>
        <v>0</v>
      </c>
      <c r="D27" s="4">
        <f t="shared" ref="D27:H27" si="92">D24-D26</f>
        <v>0</v>
      </c>
      <c r="E27" s="4">
        <f t="shared" si="92"/>
        <v>501.91600000000005</v>
      </c>
      <c r="F27" s="4">
        <f t="shared" si="92"/>
        <v>2390</v>
      </c>
      <c r="G27" s="4">
        <f t="shared" si="92"/>
        <v>2662.35</v>
      </c>
      <c r="H27" s="4">
        <f t="shared" si="92"/>
        <v>2289.11</v>
      </c>
      <c r="I27" s="4">
        <f>I24-I26</f>
        <v>2488.9739999999988</v>
      </c>
      <c r="J27" s="4">
        <f>J24-J26</f>
        <v>2798</v>
      </c>
      <c r="K27" s="112">
        <f t="shared" ref="K27" si="93">K24-K26</f>
        <v>3187</v>
      </c>
      <c r="L27" s="23">
        <f t="shared" ref="L27" si="94">L24-L26</f>
        <v>3330.3</v>
      </c>
      <c r="M27" s="4">
        <f t="shared" ref="M27:Q27" si="95">M24-M26</f>
        <v>3330.3</v>
      </c>
      <c r="N27" s="4">
        <f t="shared" si="95"/>
        <v>26864.505000000005</v>
      </c>
      <c r="O27" s="4">
        <f t="shared" si="95"/>
        <v>27190.395000000004</v>
      </c>
      <c r="P27" s="4">
        <f t="shared" si="95"/>
        <v>27190.395000000004</v>
      </c>
      <c r="Q27" s="4">
        <f t="shared" si="95"/>
        <v>27190.395000000004</v>
      </c>
      <c r="R27" s="4"/>
      <c r="S27" s="4"/>
      <c r="T27" s="4"/>
      <c r="U27" s="4"/>
      <c r="AE27" s="9">
        <f t="shared" ref="AE27" si="96">AE24-AE26</f>
        <v>501.91600000000005</v>
      </c>
      <c r="AF27" s="9">
        <f>AF24-AF26</f>
        <v>9830.4339999999993</v>
      </c>
      <c r="AG27" s="32">
        <f>AG24-AG26</f>
        <v>12645.6</v>
      </c>
      <c r="AH27" s="9">
        <f>AH24*0.82</f>
        <v>104608.548</v>
      </c>
      <c r="AI27" s="9">
        <f>AI24*0.83</f>
        <v>159898.88579999999</v>
      </c>
      <c r="AJ27" s="9">
        <f>AJ24*0.84</f>
        <v>214464.04056000002</v>
      </c>
      <c r="AK27" s="9">
        <f>AK24*0.85</f>
        <v>287918.71551000001</v>
      </c>
      <c r="AL27" s="9">
        <f t="shared" ref="AL27:AS27" si="97">AL24*0.85</f>
        <v>302878.46895900008</v>
      </c>
      <c r="AM27" s="9">
        <f t="shared" si="97"/>
        <v>306575.74706310005</v>
      </c>
      <c r="AN27" s="9">
        <f t="shared" si="97"/>
        <v>264130.79735679005</v>
      </c>
      <c r="AO27" s="9">
        <f t="shared" si="97"/>
        <v>243302.21762111093</v>
      </c>
      <c r="AP27" s="9">
        <f t="shared" si="97"/>
        <v>269710.6208589999</v>
      </c>
      <c r="AQ27" s="9">
        <f t="shared" si="97"/>
        <v>269463.55877309997</v>
      </c>
      <c r="AR27" s="9">
        <f t="shared" si="97"/>
        <v>312170.45289578987</v>
      </c>
      <c r="AS27" s="9">
        <f t="shared" si="97"/>
        <v>390941.28260621091</v>
      </c>
      <c r="AT27" s="9">
        <f t="shared" ref="AT27:AU27" si="98">AT24*0.85</f>
        <v>483586.52934558981</v>
      </c>
      <c r="AU27" s="9">
        <f t="shared" si="98"/>
        <v>579315.62641103088</v>
      </c>
      <c r="AV27" s="9">
        <f>AV24*0.85</f>
        <v>584782.6737699277</v>
      </c>
      <c r="AW27" s="9">
        <f t="shared" ref="AW27" si="99">AW24*0.85</f>
        <v>60612.798392934994</v>
      </c>
    </row>
    <row r="28" spans="1:49" s="9" customFormat="1">
      <c r="A28" s="62" t="s">
        <v>66</v>
      </c>
      <c r="B28" s="4">
        <v>10822.924000000001</v>
      </c>
      <c r="C28" s="4">
        <v>8490.4179999999997</v>
      </c>
      <c r="D28" s="4">
        <v>7660.9790000000003</v>
      </c>
      <c r="E28" s="4">
        <f>AE28-D28-C28-B28</f>
        <v>5248.0720000000001</v>
      </c>
      <c r="F28" s="4">
        <v>6054</v>
      </c>
      <c r="G28" s="4">
        <v>4595.4179999999997</v>
      </c>
      <c r="H28" s="4">
        <v>4487.098</v>
      </c>
      <c r="I28" s="4">
        <f t="shared" ref="I28:I29" si="100">AF28-H28-G28-F28</f>
        <v>5380.4320000000007</v>
      </c>
      <c r="J28" s="4">
        <v>4728</v>
      </c>
      <c r="K28" s="112">
        <v>5219</v>
      </c>
      <c r="L28" s="23">
        <f t="shared" ref="L28:M28" si="101">K28-500</f>
        <v>4719</v>
      </c>
      <c r="M28" s="4">
        <f t="shared" si="101"/>
        <v>4219</v>
      </c>
      <c r="N28" s="4">
        <f t="shared" ref="N28" si="102">M28-500</f>
        <v>3719</v>
      </c>
      <c r="O28" s="4">
        <f t="shared" ref="O28" si="103">N28-500</f>
        <v>3219</v>
      </c>
      <c r="P28" s="4">
        <f t="shared" ref="P28" si="104">O28-500</f>
        <v>2719</v>
      </c>
      <c r="Q28" s="4">
        <f t="shared" ref="Q28" si="105">P28-500</f>
        <v>2219</v>
      </c>
      <c r="R28" s="4"/>
      <c r="S28" s="4"/>
      <c r="T28" s="4"/>
      <c r="U28" s="4"/>
      <c r="AE28" s="9">
        <v>32222.393</v>
      </c>
      <c r="AF28" s="9">
        <v>20516.948</v>
      </c>
      <c r="AG28" s="32">
        <f t="shared" ref="AG28:AG29" si="106">SUM(J28:M28)</f>
        <v>18885</v>
      </c>
      <c r="AH28" s="9">
        <f>AG28*0.8</f>
        <v>15108</v>
      </c>
      <c r="AI28" s="9">
        <f t="shared" ref="AI28:AS28" si="107">AH28*0.8</f>
        <v>12086.400000000001</v>
      </c>
      <c r="AJ28" s="9">
        <f t="shared" si="107"/>
        <v>9669.1200000000008</v>
      </c>
      <c r="AK28" s="9">
        <f t="shared" si="107"/>
        <v>7735.2960000000012</v>
      </c>
      <c r="AL28" s="9">
        <f t="shared" si="107"/>
        <v>6188.2368000000015</v>
      </c>
      <c r="AM28" s="9">
        <f t="shared" si="107"/>
        <v>4950.5894400000016</v>
      </c>
      <c r="AN28" s="9">
        <f t="shared" si="107"/>
        <v>3960.4715520000013</v>
      </c>
      <c r="AO28" s="9">
        <f t="shared" si="107"/>
        <v>3168.3772416000011</v>
      </c>
      <c r="AP28" s="9">
        <f t="shared" si="107"/>
        <v>2534.7017932800009</v>
      </c>
      <c r="AQ28" s="9">
        <f t="shared" si="107"/>
        <v>2027.7614346240007</v>
      </c>
      <c r="AR28" s="9">
        <f t="shared" si="107"/>
        <v>1622.2091476992007</v>
      </c>
      <c r="AS28" s="9">
        <f t="shared" si="107"/>
        <v>1297.7673181593607</v>
      </c>
      <c r="AT28" s="9">
        <f t="shared" ref="AT28:AU28" si="108">AS28*0.8</f>
        <v>1038.2138545274886</v>
      </c>
      <c r="AU28" s="9">
        <f t="shared" si="108"/>
        <v>830.57108362199097</v>
      </c>
      <c r="AV28" s="9">
        <f>AU28*0.8</f>
        <v>664.45686689759282</v>
      </c>
      <c r="AW28" s="9">
        <f t="shared" ref="AW28" si="109">AV28*0.8</f>
        <v>531.56549351807428</v>
      </c>
    </row>
    <row r="29" spans="1:49" s="9" customFormat="1">
      <c r="A29" s="62" t="s">
        <v>67</v>
      </c>
      <c r="B29" s="4">
        <v>3823.1970000000001</v>
      </c>
      <c r="C29" s="4">
        <v>5226.2640000000001</v>
      </c>
      <c r="D29" s="4">
        <v>7151.7879999999996</v>
      </c>
      <c r="E29" s="4">
        <f>AE29-D29-C29-B29</f>
        <v>11167.403999999999</v>
      </c>
      <c r="F29" s="4">
        <v>5337</v>
      </c>
      <c r="G29" s="4">
        <v>4420.79</v>
      </c>
      <c r="H29" s="4">
        <v>4881.6689999999999</v>
      </c>
      <c r="I29" s="4">
        <f t="shared" si="100"/>
        <v>8471.07</v>
      </c>
      <c r="J29" s="4">
        <v>12542</v>
      </c>
      <c r="K29" s="112">
        <v>6938</v>
      </c>
      <c r="L29" s="23">
        <f t="shared" ref="L29:M29" si="110">K29</f>
        <v>6938</v>
      </c>
      <c r="M29" s="4">
        <f t="shared" si="110"/>
        <v>6938</v>
      </c>
      <c r="N29" s="4">
        <f t="shared" ref="N29" si="111">M29</f>
        <v>6938</v>
      </c>
      <c r="O29" s="4">
        <f t="shared" ref="O29" si="112">N29</f>
        <v>6938</v>
      </c>
      <c r="P29" s="4">
        <f t="shared" ref="P29" si="113">O29</f>
        <v>6938</v>
      </c>
      <c r="Q29" s="4">
        <f t="shared" ref="Q29" si="114">P29</f>
        <v>6938</v>
      </c>
      <c r="R29" s="4"/>
      <c r="S29" s="4"/>
      <c r="T29" s="4"/>
      <c r="U29" s="4"/>
      <c r="AE29" s="9">
        <v>27368.652999999998</v>
      </c>
      <c r="AF29" s="9">
        <v>23110.528999999999</v>
      </c>
      <c r="AG29" s="32">
        <f t="shared" si="106"/>
        <v>33356</v>
      </c>
      <c r="AH29" s="9">
        <f>AG29*1.03</f>
        <v>34356.68</v>
      </c>
      <c r="AI29" s="9">
        <f t="shared" ref="AI29:AU29" si="115">AH29*1.03</f>
        <v>35387.380400000002</v>
      </c>
      <c r="AJ29" s="9">
        <f t="shared" si="115"/>
        <v>36449.001812000002</v>
      </c>
      <c r="AK29" s="9">
        <f t="shared" si="115"/>
        <v>37542.47186636</v>
      </c>
      <c r="AL29" s="9">
        <f t="shared" si="115"/>
        <v>38668.746022350802</v>
      </c>
      <c r="AM29" s="9">
        <f t="shared" si="115"/>
        <v>39828.808403021329</v>
      </c>
      <c r="AN29" s="9">
        <f t="shared" si="115"/>
        <v>41023.672655111972</v>
      </c>
      <c r="AO29" s="9">
        <f t="shared" si="115"/>
        <v>42254.382834765333</v>
      </c>
      <c r="AP29" s="9">
        <f t="shared" si="115"/>
        <v>43522.014319808295</v>
      </c>
      <c r="AQ29" s="9">
        <f t="shared" si="115"/>
        <v>44827.674749402548</v>
      </c>
      <c r="AR29" s="9">
        <f t="shared" si="115"/>
        <v>46172.504991884627</v>
      </c>
      <c r="AS29" s="9">
        <f t="shared" si="115"/>
        <v>47557.680141641169</v>
      </c>
      <c r="AT29" s="9">
        <f t="shared" si="115"/>
        <v>48984.410545890409</v>
      </c>
      <c r="AU29" s="9">
        <f t="shared" si="115"/>
        <v>50453.942862267126</v>
      </c>
      <c r="AV29" s="9">
        <f>AU29*1.03</f>
        <v>51967.561148135144</v>
      </c>
      <c r="AW29" s="9">
        <f t="shared" ref="AW29" si="116">AV29*0.1</f>
        <v>5196.7561148135146</v>
      </c>
    </row>
    <row r="30" spans="1:49" s="9" customFormat="1">
      <c r="A30" s="62" t="s">
        <v>68</v>
      </c>
      <c r="B30" s="4">
        <f t="shared" ref="B30" si="117">+B28+B29</f>
        <v>14646.121000000001</v>
      </c>
      <c r="C30" s="4">
        <f t="shared" ref="C30" si="118">+C28+C29</f>
        <v>13716.682000000001</v>
      </c>
      <c r="D30" s="4">
        <f t="shared" ref="D30:H30" si="119">+D28+D29</f>
        <v>14812.767</v>
      </c>
      <c r="E30" s="4">
        <f t="shared" si="119"/>
        <v>16415.475999999999</v>
      </c>
      <c r="F30" s="4">
        <f t="shared" si="119"/>
        <v>11391</v>
      </c>
      <c r="G30" s="4">
        <f t="shared" si="119"/>
        <v>9016.2079999999987</v>
      </c>
      <c r="H30" s="4">
        <f t="shared" si="119"/>
        <v>9368.7669999999998</v>
      </c>
      <c r="I30" s="4">
        <f>+I28+I29</f>
        <v>13851.502</v>
      </c>
      <c r="J30" s="4">
        <f>+J28+J29</f>
        <v>17270</v>
      </c>
      <c r="K30" s="112">
        <f t="shared" ref="K30" si="120">+K28+K29</f>
        <v>12157</v>
      </c>
      <c r="L30" s="23">
        <f t="shared" ref="L30" si="121">+L28+L29</f>
        <v>11657</v>
      </c>
      <c r="M30" s="4">
        <f t="shared" ref="M30:Q30" si="122">+M28+M29</f>
        <v>11157</v>
      </c>
      <c r="N30" s="4">
        <f t="shared" si="122"/>
        <v>10657</v>
      </c>
      <c r="O30" s="4">
        <f t="shared" si="122"/>
        <v>10157</v>
      </c>
      <c r="P30" s="4">
        <f t="shared" si="122"/>
        <v>9657</v>
      </c>
      <c r="Q30" s="4">
        <f t="shared" si="122"/>
        <v>9157</v>
      </c>
      <c r="R30" s="4"/>
      <c r="S30" s="4"/>
      <c r="T30" s="4"/>
      <c r="U30" s="4"/>
      <c r="AE30" s="9">
        <f t="shared" ref="AE30" si="123">AE29+AE28</f>
        <v>59591.046000000002</v>
      </c>
      <c r="AF30" s="9">
        <f>AF29+AF28</f>
        <v>43627.476999999999</v>
      </c>
      <c r="AG30" s="32">
        <f t="shared" ref="AG30" si="124">AG29+AG28</f>
        <v>52241</v>
      </c>
      <c r="AH30" s="9">
        <f t="shared" ref="AH30" si="125">AH29+AH28</f>
        <v>49464.68</v>
      </c>
      <c r="AI30" s="9">
        <f t="shared" ref="AI30" si="126">AI29+AI28</f>
        <v>47473.780400000003</v>
      </c>
      <c r="AJ30" s="9">
        <f t="shared" ref="AJ30" si="127">AJ29+AJ28</f>
        <v>46118.121812000005</v>
      </c>
      <c r="AK30" s="9">
        <f t="shared" ref="AK30" si="128">AK29+AK28</f>
        <v>45277.767866360002</v>
      </c>
      <c r="AL30" s="9">
        <f t="shared" ref="AL30" si="129">AL29+AL28</f>
        <v>44856.982822350801</v>
      </c>
      <c r="AM30" s="9">
        <f t="shared" ref="AM30" si="130">AM29+AM28</f>
        <v>44779.397843021332</v>
      </c>
      <c r="AN30" s="9">
        <f t="shared" ref="AN30" si="131">AN29+AN28</f>
        <v>44984.144207111975</v>
      </c>
      <c r="AO30" s="9">
        <f t="shared" ref="AO30" si="132">AO29+AO28</f>
        <v>45422.760076365332</v>
      </c>
      <c r="AP30" s="9">
        <f t="shared" ref="AP30" si="133">AP29+AP28</f>
        <v>46056.716113088296</v>
      </c>
      <c r="AQ30" s="9">
        <f t="shared" ref="AQ30" si="134">AQ29+AQ28</f>
        <v>46855.436184026548</v>
      </c>
      <c r="AR30" s="9">
        <f t="shared" ref="AR30" si="135">AR29+AR28</f>
        <v>47794.714139583826</v>
      </c>
      <c r="AS30" s="9">
        <f t="shared" ref="AS30" si="136">AS29+AS28</f>
        <v>48855.447459800533</v>
      </c>
      <c r="AT30" s="9">
        <f t="shared" ref="AT30" si="137">AT29+AT28</f>
        <v>50022.624400417895</v>
      </c>
      <c r="AU30" s="9">
        <f t="shared" ref="AU30" si="138">AU29+AU28</f>
        <v>51284.513945889114</v>
      </c>
      <c r="AV30" s="9">
        <f>AV29+AV28</f>
        <v>52632.018015032736</v>
      </c>
      <c r="AW30" s="9">
        <f t="shared" ref="AW30" si="139">AW29+AW28</f>
        <v>5728.3216083315892</v>
      </c>
    </row>
    <row r="31" spans="1:49" s="9" customFormat="1">
      <c r="A31" s="62" t="s">
        <v>69</v>
      </c>
      <c r="B31" s="4">
        <f t="shared" ref="B31" si="140">+B27-B30</f>
        <v>-14646.121000000001</v>
      </c>
      <c r="C31" s="4">
        <f t="shared" ref="C31" si="141">+C27-C30</f>
        <v>-13716.682000000001</v>
      </c>
      <c r="D31" s="4">
        <f t="shared" ref="D31:H31" si="142">+D27-D30</f>
        <v>-14812.767</v>
      </c>
      <c r="E31" s="4">
        <f t="shared" si="142"/>
        <v>-15913.56</v>
      </c>
      <c r="F31" s="4">
        <f t="shared" si="142"/>
        <v>-9001</v>
      </c>
      <c r="G31" s="4">
        <f t="shared" si="142"/>
        <v>-6353.8579999999984</v>
      </c>
      <c r="H31" s="4">
        <f t="shared" si="142"/>
        <v>-7079.6569999999992</v>
      </c>
      <c r="I31" s="4">
        <f>+I27-I30</f>
        <v>-11362.528000000002</v>
      </c>
      <c r="J31" s="4">
        <f>+J27-J30</f>
        <v>-14472</v>
      </c>
      <c r="K31" s="112">
        <f>+K27-K30</f>
        <v>-8970</v>
      </c>
      <c r="L31" s="23">
        <f t="shared" ref="L31" si="143">+L27-L30</f>
        <v>-8326.7000000000007</v>
      </c>
      <c r="M31" s="4">
        <f t="shared" ref="M31:Q31" si="144">+M27-M30</f>
        <v>-7826.7</v>
      </c>
      <c r="N31" s="4">
        <f t="shared" si="144"/>
        <v>16207.505000000005</v>
      </c>
      <c r="O31" s="4">
        <f t="shared" si="144"/>
        <v>17033.395000000004</v>
      </c>
      <c r="P31" s="4">
        <f t="shared" si="144"/>
        <v>17533.395000000004</v>
      </c>
      <c r="Q31" s="4">
        <f t="shared" si="144"/>
        <v>18033.395000000004</v>
      </c>
      <c r="R31" s="4"/>
      <c r="S31" s="4"/>
      <c r="T31" s="4"/>
      <c r="U31" s="4"/>
      <c r="AE31" s="9">
        <f t="shared" ref="AE31" si="145">AE27-AE30</f>
        <v>-59089.130000000005</v>
      </c>
      <c r="AF31" s="9">
        <f>AF27-AF30</f>
        <v>-33797.042999999998</v>
      </c>
      <c r="AG31" s="32">
        <f t="shared" ref="AG31" si="146">AG27-AG30</f>
        <v>-39595.4</v>
      </c>
      <c r="AH31" s="9">
        <f t="shared" ref="AH31" si="147">AH27-AH30</f>
        <v>55143.867999999995</v>
      </c>
      <c r="AI31" s="9">
        <f t="shared" ref="AI31" si="148">AI27-AI30</f>
        <v>112425.10539999999</v>
      </c>
      <c r="AJ31" s="9">
        <f t="shared" ref="AJ31" si="149">AJ27-AJ30</f>
        <v>168345.91874800003</v>
      </c>
      <c r="AK31" s="9">
        <f t="shared" ref="AK31" si="150">AK27-AK30</f>
        <v>242640.94764364001</v>
      </c>
      <c r="AL31" s="9">
        <f t="shared" ref="AL31" si="151">AL27-AL30</f>
        <v>258021.48613664927</v>
      </c>
      <c r="AM31" s="9">
        <f t="shared" ref="AM31" si="152">AM27-AM30</f>
        <v>261796.34922007873</v>
      </c>
      <c r="AN31" s="9">
        <f t="shared" ref="AN31" si="153">AN27-AN30</f>
        <v>219146.65314967808</v>
      </c>
      <c r="AO31" s="9">
        <f t="shared" ref="AO31" si="154">AO27-AO30</f>
        <v>197879.45754474559</v>
      </c>
      <c r="AP31" s="9">
        <f t="shared" ref="AP31" si="155">AP27-AP30</f>
        <v>223653.9047459116</v>
      </c>
      <c r="AQ31" s="9">
        <f t="shared" ref="AQ31" si="156">AQ27-AQ30</f>
        <v>222608.12258907343</v>
      </c>
      <c r="AR31" s="9">
        <f t="shared" ref="AR31" si="157">AR27-AR30</f>
        <v>264375.73875620606</v>
      </c>
      <c r="AS31" s="9">
        <f t="shared" ref="AS31" si="158">AS27-AS30</f>
        <v>342085.83514641039</v>
      </c>
      <c r="AT31" s="9">
        <f t="shared" ref="AT31" si="159">AT27-AT30</f>
        <v>433563.9049451719</v>
      </c>
      <c r="AU31" s="9">
        <f t="shared" ref="AU31" si="160">AU27-AU30</f>
        <v>528031.11246514181</v>
      </c>
      <c r="AV31" s="9">
        <f>AV27-AV30</f>
        <v>532150.65575489495</v>
      </c>
      <c r="AW31" s="9">
        <f t="shared" ref="AW31" si="161">AW27-AW30</f>
        <v>54884.476784603408</v>
      </c>
    </row>
    <row r="32" spans="1:49" s="9" customFormat="1">
      <c r="A32" s="62" t="s">
        <v>70</v>
      </c>
      <c r="B32" s="4">
        <f>109.59-254.948</f>
        <v>-145.358</v>
      </c>
      <c r="C32" s="4">
        <f>11.631-211.05</f>
        <v>-199.41900000000001</v>
      </c>
      <c r="D32" s="4">
        <f>34.633-190.546</f>
        <v>-155.91299999999998</v>
      </c>
      <c r="E32" s="4">
        <f>AE32-D32-C32-B32</f>
        <v>-172.94900000000001</v>
      </c>
      <c r="F32" s="4">
        <f>21-150</f>
        <v>-129</v>
      </c>
      <c r="G32" s="4">
        <f>4.88-202.508</f>
        <v>-197.62800000000001</v>
      </c>
      <c r="H32" s="4">
        <f>3.875-205.11</f>
        <v>-201.23500000000001</v>
      </c>
      <c r="I32" s="4">
        <f t="shared" ref="I32:I34" si="162">AF32-H32-G32-F32</f>
        <v>-253.74199999999996</v>
      </c>
      <c r="J32" s="4">
        <f>4-478</f>
        <v>-474</v>
      </c>
      <c r="K32" s="112">
        <f>65-542</f>
        <v>-477</v>
      </c>
      <c r="L32" s="23"/>
      <c r="M32" s="4"/>
      <c r="N32" s="4"/>
      <c r="O32" s="4"/>
      <c r="P32" s="4"/>
      <c r="Q32" s="4"/>
      <c r="R32" s="4"/>
      <c r="S32" s="4"/>
      <c r="T32" s="4"/>
      <c r="U32" s="4"/>
      <c r="AE32" s="9">
        <f>184.359-857.998</f>
        <v>-673.63900000000001</v>
      </c>
      <c r="AF32" s="9">
        <f>33.435-815.04</f>
        <v>-781.60500000000002</v>
      </c>
      <c r="AG32" s="32">
        <f>AF32</f>
        <v>-781.60500000000002</v>
      </c>
      <c r="AH32" s="9">
        <f>AG44*'NPV Valuation'!$D$22</f>
        <v>643.87200000000007</v>
      </c>
      <c r="AI32" s="9">
        <f>AH44*'NPV Valuation'!$D$22</f>
        <v>1648.0513200000003</v>
      </c>
      <c r="AJ32" s="9">
        <f>AI44*'NPV Valuation'!$D$22</f>
        <v>3701.3681409599999</v>
      </c>
      <c r="AK32" s="9">
        <f>AJ44*'NPV Valuation'!$D$22</f>
        <v>6798.2193049612806</v>
      </c>
      <c r="AL32" s="9">
        <f>AK44*'NPV Valuation'!$D$22</f>
        <v>10539.806809190301</v>
      </c>
      <c r="AM32" s="9">
        <f>AL44*'NPV Valuation'!$D$22</f>
        <v>14568.226203377895</v>
      </c>
      <c r="AN32" s="9">
        <f>AM44*'NPV Valuation'!$D$22</f>
        <v>18713.694834729744</v>
      </c>
      <c r="AO32" s="9">
        <f>AN44*'NPV Valuation'!$D$22</f>
        <v>22281.600054495862</v>
      </c>
      <c r="AP32" s="9">
        <f>AO44*'NPV Valuation'!$D$22</f>
        <v>25584.015918484485</v>
      </c>
      <c r="AQ32" s="9">
        <f>AP44*'NPV Valuation'!$D$22</f>
        <v>29322.584728450427</v>
      </c>
      <c r="AR32" s="9">
        <f>AQ44*'NPV Valuation'!$D$22</f>
        <v>33101.545338213284</v>
      </c>
      <c r="AS32" s="9">
        <f>AR44*'NPV Valuation'!$D$22</f>
        <v>37563.704599629578</v>
      </c>
      <c r="AT32" s="9">
        <f>AS44*'NPV Valuation'!$D$22</f>
        <v>43258.447695820178</v>
      </c>
      <c r="AU32" s="9">
        <f>AT44*'NPV Valuation'!$D$22</f>
        <v>50410.782985435057</v>
      </c>
      <c r="AV32" s="9">
        <f>AU44*'NPV Valuation'!$D$22</f>
        <v>59087.411417193711</v>
      </c>
      <c r="AW32" s="9">
        <f>AV44*'NPV Valuation'!$D$22</f>
        <v>67955.982424775051</v>
      </c>
    </row>
    <row r="33" spans="1:49" s="9" customFormat="1">
      <c r="A33" s="62" t="s">
        <v>71</v>
      </c>
      <c r="B33" s="4">
        <f t="shared" ref="B33:C33" si="163">+B31+B32</f>
        <v>-14791.479000000001</v>
      </c>
      <c r="C33" s="4">
        <f t="shared" si="163"/>
        <v>-13916.101000000001</v>
      </c>
      <c r="D33" s="4">
        <f t="shared" ref="D33:I33" si="164">+D31+D32</f>
        <v>-14968.68</v>
      </c>
      <c r="E33" s="4">
        <f t="shared" si="164"/>
        <v>-16086.509</v>
      </c>
      <c r="F33" s="4">
        <f t="shared" si="164"/>
        <v>-9130</v>
      </c>
      <c r="G33" s="4">
        <f t="shared" si="164"/>
        <v>-6551.4859999999981</v>
      </c>
      <c r="H33" s="4">
        <f t="shared" si="164"/>
        <v>-7280.8919999999989</v>
      </c>
      <c r="I33" s="4">
        <f t="shared" si="164"/>
        <v>-11616.270000000002</v>
      </c>
      <c r="J33" s="4">
        <f>+J31+J32</f>
        <v>-14946</v>
      </c>
      <c r="K33" s="112">
        <f t="shared" ref="K33" si="165">+K31+K32</f>
        <v>-9447</v>
      </c>
      <c r="L33" s="23">
        <f t="shared" ref="L33" si="166">+L31+L32</f>
        <v>-8326.7000000000007</v>
      </c>
      <c r="M33" s="4">
        <f t="shared" ref="M33:Q33" si="167">+M31+M32</f>
        <v>-7826.7</v>
      </c>
      <c r="N33" s="4">
        <f t="shared" si="167"/>
        <v>16207.505000000005</v>
      </c>
      <c r="O33" s="4">
        <f t="shared" si="167"/>
        <v>17033.395000000004</v>
      </c>
      <c r="P33" s="4">
        <f t="shared" si="167"/>
        <v>17533.395000000004</v>
      </c>
      <c r="Q33" s="4">
        <f t="shared" si="167"/>
        <v>18033.395000000004</v>
      </c>
      <c r="R33" s="4"/>
      <c r="S33" s="4"/>
      <c r="T33" s="4"/>
      <c r="U33" s="4"/>
      <c r="AE33" s="9">
        <f t="shared" ref="AE33" si="168">AE31+AE32</f>
        <v>-59762.769000000008</v>
      </c>
      <c r="AF33" s="9">
        <f>AF31+AF32</f>
        <v>-34578.648000000001</v>
      </c>
      <c r="AG33" s="32">
        <f t="shared" ref="AG33" si="169">AG31+AG32</f>
        <v>-40377.005000000005</v>
      </c>
      <c r="AH33" s="9">
        <f t="shared" ref="AH33" si="170">AH31+AH32</f>
        <v>55787.74</v>
      </c>
      <c r="AI33" s="9">
        <f t="shared" ref="AI33" si="171">AI31+AI32</f>
        <v>114073.15671999998</v>
      </c>
      <c r="AJ33" s="9">
        <f t="shared" ref="AJ33" si="172">AJ31+AJ32</f>
        <v>172047.28688896002</v>
      </c>
      <c r="AK33" s="9">
        <f t="shared" ref="AK33" si="173">AK31+AK32</f>
        <v>249439.16694860128</v>
      </c>
      <c r="AL33" s="9">
        <f t="shared" ref="AL33" si="174">AL31+AL32</f>
        <v>268561.29294583958</v>
      </c>
      <c r="AM33" s="9">
        <f t="shared" ref="AM33" si="175">AM31+AM32</f>
        <v>276364.57542345661</v>
      </c>
      <c r="AN33" s="9">
        <f t="shared" ref="AN33" si="176">AN31+AN32</f>
        <v>237860.34798440782</v>
      </c>
      <c r="AO33" s="9">
        <f t="shared" ref="AO33" si="177">AO31+AO32</f>
        <v>220161.05759924144</v>
      </c>
      <c r="AP33" s="9">
        <f t="shared" ref="AP33" si="178">AP31+AP32</f>
        <v>249237.92066439608</v>
      </c>
      <c r="AQ33" s="9">
        <f t="shared" ref="AQ33" si="179">AQ31+AQ32</f>
        <v>251930.70731752386</v>
      </c>
      <c r="AR33" s="9">
        <f t="shared" ref="AR33" si="180">AR31+AR32</f>
        <v>297477.28409441933</v>
      </c>
      <c r="AS33" s="9">
        <f t="shared" ref="AS33" si="181">AS31+AS32</f>
        <v>379649.53974603995</v>
      </c>
      <c r="AT33" s="9">
        <f t="shared" ref="AT33" si="182">AT31+AT32</f>
        <v>476822.35264099209</v>
      </c>
      <c r="AU33" s="9">
        <f t="shared" ref="AU33" si="183">AU31+AU32</f>
        <v>578441.89545057691</v>
      </c>
      <c r="AV33" s="9">
        <f>AV31+AV32</f>
        <v>591238.06717208866</v>
      </c>
      <c r="AW33" s="9">
        <f t="shared" ref="AW33" si="184">AW31+AW32</f>
        <v>122840.45920937846</v>
      </c>
    </row>
    <row r="34" spans="1:49" s="9" customFormat="1">
      <c r="A34" s="62" t="s">
        <v>122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f t="shared" si="162"/>
        <v>0</v>
      </c>
      <c r="J34" s="4">
        <v>0</v>
      </c>
      <c r="K34" s="112">
        <v>0</v>
      </c>
      <c r="L34" s="23">
        <v>0</v>
      </c>
      <c r="M34" s="4">
        <v>0</v>
      </c>
      <c r="N34" s="4">
        <f>-N33*-0.1</f>
        <v>1620.7505000000006</v>
      </c>
      <c r="O34" s="4">
        <f t="shared" ref="O34:Q34" si="185">-O33*-0.1</f>
        <v>1703.3395000000005</v>
      </c>
      <c r="P34" s="4">
        <f t="shared" si="185"/>
        <v>1753.3395000000005</v>
      </c>
      <c r="Q34" s="4">
        <f t="shared" si="185"/>
        <v>1803.3395000000005</v>
      </c>
      <c r="R34" s="4"/>
      <c r="S34" s="4"/>
      <c r="T34" s="4"/>
      <c r="U34" s="4"/>
      <c r="AE34" s="9">
        <v>0</v>
      </c>
      <c r="AF34" s="9">
        <v>0</v>
      </c>
      <c r="AG34" s="32">
        <v>0</v>
      </c>
      <c r="AH34" s="9">
        <f>AH33*0.1</f>
        <v>5578.7740000000003</v>
      </c>
      <c r="AI34" s="9">
        <f t="shared" ref="AI34:AJ34" si="186">AI33*0.1</f>
        <v>11407.315671999999</v>
      </c>
      <c r="AJ34" s="9">
        <f t="shared" si="186"/>
        <v>17204.728688896004</v>
      </c>
      <c r="AK34" s="9">
        <f>AK33*0.25</f>
        <v>62359.791737150321</v>
      </c>
      <c r="AL34" s="9">
        <f t="shared" ref="AL34:AW34" si="187">AL33*0.25</f>
        <v>67140.323236459895</v>
      </c>
      <c r="AM34" s="9">
        <f t="shared" si="187"/>
        <v>69091.143855864153</v>
      </c>
      <c r="AN34" s="9">
        <f t="shared" si="187"/>
        <v>59465.086996101956</v>
      </c>
      <c r="AO34" s="9">
        <f t="shared" si="187"/>
        <v>55040.264399810359</v>
      </c>
      <c r="AP34" s="9">
        <f t="shared" si="187"/>
        <v>62309.48016609902</v>
      </c>
      <c r="AQ34" s="9">
        <f t="shared" si="187"/>
        <v>62982.676829380966</v>
      </c>
      <c r="AR34" s="9">
        <f t="shared" si="187"/>
        <v>74369.321023604833</v>
      </c>
      <c r="AS34" s="9">
        <f t="shared" si="187"/>
        <v>94912.384936509989</v>
      </c>
      <c r="AT34" s="9">
        <f t="shared" si="187"/>
        <v>119205.58816024802</v>
      </c>
      <c r="AU34" s="9">
        <f t="shared" si="187"/>
        <v>144610.47386264423</v>
      </c>
      <c r="AV34" s="9">
        <f>AV33*0.25</f>
        <v>147809.51679302217</v>
      </c>
      <c r="AW34" s="9">
        <f t="shared" si="187"/>
        <v>30710.114802344615</v>
      </c>
    </row>
    <row r="35" spans="1:49" s="9" customFormat="1">
      <c r="A35" s="62" t="s">
        <v>121</v>
      </c>
      <c r="B35" s="4">
        <f t="shared" ref="B35:C35" si="188">B33-B34</f>
        <v>-14791.479000000001</v>
      </c>
      <c r="C35" s="4">
        <f t="shared" si="188"/>
        <v>-13916.101000000001</v>
      </c>
      <c r="D35" s="4">
        <f t="shared" ref="D35:I35" si="189">D33-D34</f>
        <v>-14968.68</v>
      </c>
      <c r="E35" s="4">
        <f t="shared" si="189"/>
        <v>-16086.509</v>
      </c>
      <c r="F35" s="4">
        <f t="shared" si="189"/>
        <v>-9130</v>
      </c>
      <c r="G35" s="4">
        <f t="shared" si="189"/>
        <v>-6551.4859999999981</v>
      </c>
      <c r="H35" s="4">
        <f t="shared" si="189"/>
        <v>-7280.8919999999989</v>
      </c>
      <c r="I35" s="4">
        <f t="shared" si="189"/>
        <v>-11616.270000000002</v>
      </c>
      <c r="J35" s="4">
        <f>J33-J34</f>
        <v>-14946</v>
      </c>
      <c r="K35" s="112">
        <f t="shared" ref="K35" si="190">K33-K34</f>
        <v>-9447</v>
      </c>
      <c r="L35" s="23">
        <f t="shared" ref="L35" si="191">L33-L34</f>
        <v>-8326.7000000000007</v>
      </c>
      <c r="M35" s="4">
        <f t="shared" ref="M35:Q35" si="192">M33-M34</f>
        <v>-7826.7</v>
      </c>
      <c r="N35" s="4">
        <f t="shared" si="192"/>
        <v>14586.754500000005</v>
      </c>
      <c r="O35" s="4">
        <f t="shared" si="192"/>
        <v>15330.055500000004</v>
      </c>
      <c r="P35" s="4">
        <f t="shared" si="192"/>
        <v>15780.055500000004</v>
      </c>
      <c r="Q35" s="4">
        <f t="shared" si="192"/>
        <v>16230.055500000004</v>
      </c>
      <c r="R35" s="4"/>
      <c r="S35" s="4"/>
      <c r="T35" s="4"/>
      <c r="U35" s="4"/>
      <c r="AE35" s="9">
        <f t="shared" ref="AE35" si="193">AE33-AE34</f>
        <v>-59762.769000000008</v>
      </c>
      <c r="AF35" s="9">
        <f>AF33-AF34</f>
        <v>-34578.648000000001</v>
      </c>
      <c r="AG35" s="32">
        <f t="shared" ref="AG35" si="194">AG33-AG34</f>
        <v>-40377.005000000005</v>
      </c>
      <c r="AH35" s="9">
        <f t="shared" ref="AH35" si="195">AH33-AH34</f>
        <v>50208.966</v>
      </c>
      <c r="AI35" s="9">
        <f t="shared" ref="AI35" si="196">AI33-AI34</f>
        <v>102665.84104799999</v>
      </c>
      <c r="AJ35" s="9">
        <f t="shared" ref="AJ35" si="197">AJ33-AJ34</f>
        <v>154842.55820006403</v>
      </c>
      <c r="AK35" s="9">
        <f t="shared" ref="AK35" si="198">AK33-AK34</f>
        <v>187079.37521145097</v>
      </c>
      <c r="AL35" s="9">
        <f t="shared" ref="AL35" si="199">AL33-AL34</f>
        <v>201420.96970937969</v>
      </c>
      <c r="AM35" s="9">
        <f t="shared" ref="AM35" si="200">AM33-AM34</f>
        <v>207273.43156759246</v>
      </c>
      <c r="AN35" s="9">
        <f t="shared" ref="AN35" si="201">AN33-AN34</f>
        <v>178395.26098830588</v>
      </c>
      <c r="AO35" s="9">
        <f t="shared" ref="AO35" si="202">AO33-AO34</f>
        <v>165120.79319943109</v>
      </c>
      <c r="AP35" s="9">
        <f t="shared" ref="AP35" si="203">AP33-AP34</f>
        <v>186928.44049829704</v>
      </c>
      <c r="AQ35" s="9">
        <f t="shared" ref="AQ35" si="204">AQ33-AQ34</f>
        <v>188948.03048814289</v>
      </c>
      <c r="AR35" s="9">
        <f t="shared" ref="AR35" si="205">AR33-AR34</f>
        <v>223107.9630708145</v>
      </c>
      <c r="AS35" s="9">
        <f t="shared" ref="AS35" si="206">AS33-AS34</f>
        <v>284737.15480952995</v>
      </c>
      <c r="AT35" s="9">
        <f t="shared" ref="AT35" si="207">AT33-AT34</f>
        <v>357616.76448074408</v>
      </c>
      <c r="AU35" s="9">
        <f t="shared" ref="AU35" si="208">AU33-AU34</f>
        <v>433831.42158793268</v>
      </c>
      <c r="AV35" s="9">
        <f>AV33-AV34</f>
        <v>443428.5503790665</v>
      </c>
      <c r="AW35" s="9">
        <f>AW33-AW34</f>
        <v>92130.344407033845</v>
      </c>
    </row>
    <row r="36" spans="1:49" s="9" customFormat="1">
      <c r="A36" s="62" t="s">
        <v>182</v>
      </c>
      <c r="B36" s="17">
        <f t="shared" ref="B36:C36" si="209">B35/B37</f>
        <v>-0.52030246565643579</v>
      </c>
      <c r="C36" s="17">
        <f t="shared" si="209"/>
        <v>-0.48864402477950786</v>
      </c>
      <c r="D36" s="17">
        <f t="shared" ref="D36:I36" si="210">D35/D37</f>
        <v>-0.396463855623365</v>
      </c>
      <c r="E36" s="17">
        <f t="shared" si="210"/>
        <v>-0.42607092820876402</v>
      </c>
      <c r="F36" s="17">
        <f t="shared" si="210"/>
        <v>-0.21015869375299948</v>
      </c>
      <c r="G36" s="17">
        <f t="shared" si="210"/>
        <v>-0.12884673167171726</v>
      </c>
      <c r="H36" s="17">
        <f t="shared" si="210"/>
        <v>-0.13979805534391607</v>
      </c>
      <c r="I36" s="17">
        <f t="shared" si="210"/>
        <v>-0.22304024786384311</v>
      </c>
      <c r="J36" s="17">
        <f>J35/J37</f>
        <v>-0.28487409474185049</v>
      </c>
      <c r="K36" s="111">
        <f t="shared" ref="K36" si="211">K35/K37</f>
        <v>-0.15193157916448247</v>
      </c>
      <c r="L36" s="28">
        <f t="shared" ref="L36" si="212">L35/L37</f>
        <v>-0.13391433049951268</v>
      </c>
      <c r="M36" s="17">
        <f t="shared" ref="M36:Q36" si="213">M35/M37</f>
        <v>-0.12587306982604582</v>
      </c>
      <c r="N36" s="17">
        <f t="shared" si="213"/>
        <v>0.23459179062873098</v>
      </c>
      <c r="O36" s="17">
        <f t="shared" si="213"/>
        <v>0.24654594482842812</v>
      </c>
      <c r="P36" s="17">
        <f t="shared" si="213"/>
        <v>0.25378307943454825</v>
      </c>
      <c r="Q36" s="17">
        <f t="shared" si="213"/>
        <v>0.26102021404066844</v>
      </c>
      <c r="R36" s="4"/>
      <c r="S36" s="4"/>
      <c r="T36" s="4"/>
      <c r="U36" s="4"/>
      <c r="AE36" s="18">
        <f t="shared" ref="AE36" si="214">AE35/AE37</f>
        <v>-1.7635152158403071</v>
      </c>
      <c r="AF36" s="18">
        <f>AF35/AF37</f>
        <v>-0.69605924279521836</v>
      </c>
      <c r="AG36" s="35">
        <f t="shared" ref="AG36" si="215">AG35/AG37</f>
        <v>-0.6493640448377479</v>
      </c>
      <c r="AH36" s="18">
        <f t="shared" ref="AH36" si="216">AH35/AH37</f>
        <v>0.80748676750246728</v>
      </c>
      <c r="AI36" s="18">
        <f t="shared" ref="AI36" si="217">AI35/AI37</f>
        <v>1.6511255802553597</v>
      </c>
      <c r="AJ36" s="18">
        <f t="shared" ref="AJ36" si="218">AJ35/AJ37</f>
        <v>2.49025874766635</v>
      </c>
      <c r="AK36" s="18">
        <f t="shared" ref="AK36" si="219">AK35/AK37</f>
        <v>3.0087080454091755</v>
      </c>
      <c r="AL36" s="18">
        <f t="shared" ref="AL36" si="220">AL35/AL37</f>
        <v>3.2393570450711806</v>
      </c>
      <c r="AM36" s="18">
        <f t="shared" ref="AM36" si="221">AM35/AM37</f>
        <v>3.3334793878380027</v>
      </c>
      <c r="AN36" s="18">
        <f t="shared" ref="AN36" si="222">AN35/AN37</f>
        <v>2.8690455930362342</v>
      </c>
      <c r="AO36" s="18">
        <f t="shared" ref="AO36" si="223">AO35/AO37</f>
        <v>2.6555586814524719</v>
      </c>
      <c r="AP36" s="18">
        <f t="shared" ref="AP36" si="224">AP35/AP37</f>
        <v>3.0062806346628843</v>
      </c>
      <c r="AQ36" s="18">
        <f t="shared" ref="AQ36" si="225">AQ35/AQ37</f>
        <v>3.0387607337866336</v>
      </c>
      <c r="AR36" s="18">
        <f t="shared" ref="AR36" si="226">AR35/AR37</f>
        <v>3.5881385787572651</v>
      </c>
      <c r="AS36" s="18">
        <f t="shared" ref="AS36" si="227">AS35/AS37</f>
        <v>4.5792913704894245</v>
      </c>
      <c r="AT36" s="18">
        <f t="shared" ref="AT36" si="228">AT35/AT37</f>
        <v>5.7513792487829205</v>
      </c>
      <c r="AU36" s="18">
        <f t="shared" ref="AU36" si="229">AU35/AU37</f>
        <v>6.9771030986585112</v>
      </c>
      <c r="AV36" s="18">
        <f>AV35/AV37</f>
        <v>7.1314491273111926</v>
      </c>
      <c r="AW36" s="18">
        <f t="shared" ref="AW36" si="230">AW35/AW37</f>
        <v>1.4816882306264736</v>
      </c>
    </row>
    <row r="37" spans="1:49" s="9" customFormat="1">
      <c r="A37" s="62" t="s">
        <v>181</v>
      </c>
      <c r="B37" s="4">
        <v>28428.616000000002</v>
      </c>
      <c r="C37" s="4">
        <v>28479.016</v>
      </c>
      <c r="D37" s="4">
        <v>37755.472000000002</v>
      </c>
      <c r="E37" s="4">
        <f>D37</f>
        <v>37755.472000000002</v>
      </c>
      <c r="F37" s="4">
        <v>43443.360999999997</v>
      </c>
      <c r="G37" s="4">
        <v>50847.125999999997</v>
      </c>
      <c r="H37" s="4">
        <v>52081.497000000003</v>
      </c>
      <c r="I37" s="4">
        <f>H37</f>
        <v>52081.497000000003</v>
      </c>
      <c r="J37" s="4">
        <v>52465.283000000003</v>
      </c>
      <c r="K37" s="112">
        <v>62179.305</v>
      </c>
      <c r="L37" s="23">
        <f t="shared" ref="L37:M37" si="231">K37</f>
        <v>62179.305</v>
      </c>
      <c r="M37" s="4">
        <f t="shared" si="231"/>
        <v>62179.305</v>
      </c>
      <c r="N37" s="4">
        <f t="shared" ref="N37" si="232">M37</f>
        <v>62179.305</v>
      </c>
      <c r="O37" s="4">
        <f t="shared" ref="O37" si="233">N37</f>
        <v>62179.305</v>
      </c>
      <c r="P37" s="4">
        <f t="shared" ref="P37" si="234">O37</f>
        <v>62179.305</v>
      </c>
      <c r="Q37" s="4">
        <f t="shared" ref="Q37" si="235">P37</f>
        <v>62179.305</v>
      </c>
      <c r="R37" s="4"/>
      <c r="S37" s="4"/>
      <c r="T37" s="4"/>
      <c r="U37" s="4"/>
      <c r="AE37" s="9">
        <v>33888.434000000001</v>
      </c>
      <c r="AF37" s="37">
        <v>49677.737000000001</v>
      </c>
      <c r="AG37" s="9">
        <f>M37</f>
        <v>62179.305</v>
      </c>
      <c r="AH37" s="9">
        <f>AG37</f>
        <v>62179.305</v>
      </c>
      <c r="AI37" s="9">
        <f t="shared" ref="AI37:AS37" si="236">AH37</f>
        <v>62179.305</v>
      </c>
      <c r="AJ37" s="9">
        <f t="shared" si="236"/>
        <v>62179.305</v>
      </c>
      <c r="AK37" s="9">
        <f t="shared" si="236"/>
        <v>62179.305</v>
      </c>
      <c r="AL37" s="9">
        <f t="shared" si="236"/>
        <v>62179.305</v>
      </c>
      <c r="AM37" s="9">
        <f t="shared" si="236"/>
        <v>62179.305</v>
      </c>
      <c r="AN37" s="9">
        <f t="shared" si="236"/>
        <v>62179.305</v>
      </c>
      <c r="AO37" s="9">
        <f t="shared" si="236"/>
        <v>62179.305</v>
      </c>
      <c r="AP37" s="9">
        <f t="shared" si="236"/>
        <v>62179.305</v>
      </c>
      <c r="AQ37" s="9">
        <f t="shared" si="236"/>
        <v>62179.305</v>
      </c>
      <c r="AR37" s="9">
        <f t="shared" si="236"/>
        <v>62179.305</v>
      </c>
      <c r="AS37" s="9">
        <f t="shared" si="236"/>
        <v>62179.305</v>
      </c>
      <c r="AT37" s="9">
        <f t="shared" ref="AT37:AU37" si="237">AS37</f>
        <v>62179.305</v>
      </c>
      <c r="AU37" s="9">
        <f t="shared" si="237"/>
        <v>62179.305</v>
      </c>
      <c r="AV37" s="9">
        <f>AU37</f>
        <v>62179.305</v>
      </c>
      <c r="AW37" s="9">
        <f t="shared" ref="AW37" si="238">AV37</f>
        <v>62179.305</v>
      </c>
    </row>
    <row r="38" spans="1:49" s="9" customFormat="1">
      <c r="A38" s="62" t="s">
        <v>200</v>
      </c>
      <c r="B38" s="4"/>
      <c r="C38" s="4"/>
      <c r="D38" s="4"/>
      <c r="E38" s="4"/>
      <c r="F38" s="4"/>
      <c r="G38" s="4"/>
      <c r="H38" s="4"/>
      <c r="I38" s="4"/>
      <c r="J38" s="111">
        <f>J35/J39</f>
        <v>-0.2322810336303959</v>
      </c>
      <c r="K38" s="111">
        <f t="shared" ref="K38:Q38" si="239">K35/K39</f>
        <v>-0.12756133354700228</v>
      </c>
      <c r="L38" s="28">
        <f t="shared" si="239"/>
        <v>-0.13010468750000001</v>
      </c>
      <c r="M38" s="17">
        <f t="shared" si="239"/>
        <v>-0.1222921875</v>
      </c>
      <c r="N38" s="17">
        <f t="shared" si="239"/>
        <v>0.22791803906250008</v>
      </c>
      <c r="O38" s="17">
        <f t="shared" si="239"/>
        <v>0.23953211718750006</v>
      </c>
      <c r="P38" s="17">
        <f t="shared" si="239"/>
        <v>0.24656336718750008</v>
      </c>
      <c r="Q38" s="17">
        <f t="shared" si="239"/>
        <v>0.25359461718750004</v>
      </c>
      <c r="R38" s="4"/>
      <c r="S38" s="4"/>
      <c r="T38" s="4"/>
      <c r="U38" s="4"/>
      <c r="AE38" s="17">
        <f>AE35/AE39</f>
        <v>-0.93379326562500009</v>
      </c>
      <c r="AF38" s="38">
        <f t="shared" ref="AF38" si="240">AF35/AF39</f>
        <v>-0.54029137500000002</v>
      </c>
      <c r="AG38" s="17">
        <f t="shared" ref="AG38" si="241">AG35/AG39</f>
        <v>-0.63089070312500006</v>
      </c>
      <c r="AH38" s="17">
        <f t="shared" ref="AH38" si="242">AH35/AH39</f>
        <v>0.78451509375000006</v>
      </c>
      <c r="AI38" s="17">
        <f t="shared" ref="AI38" si="243">AI35/AI39</f>
        <v>1.6041537663749998</v>
      </c>
      <c r="AJ38" s="17">
        <f t="shared" ref="AJ38" si="244">AJ35/AJ39</f>
        <v>2.4194149718760003</v>
      </c>
      <c r="AK38" s="17">
        <f t="shared" ref="AK38" si="245">AK35/AK39</f>
        <v>2.9231152376789216</v>
      </c>
      <c r="AL38" s="17">
        <f t="shared" ref="AL38" si="246">AL35/AL39</f>
        <v>3.1472026517090574</v>
      </c>
      <c r="AM38" s="17">
        <f t="shared" ref="AM38" si="247">AM35/AM39</f>
        <v>3.2386473682436323</v>
      </c>
      <c r="AN38" s="17">
        <f t="shared" ref="AN38" si="248">AN35/AN39</f>
        <v>2.7874259529422791</v>
      </c>
      <c r="AO38" s="17">
        <f t="shared" ref="AO38" si="249">AO35/AO39</f>
        <v>2.5800123937411108</v>
      </c>
      <c r="AP38" s="17">
        <f t="shared" ref="AP38" si="250">AP35/AP39</f>
        <v>2.9207568827858914</v>
      </c>
      <c r="AQ38" s="17">
        <f t="shared" ref="AQ38" si="251">AQ35/AQ39</f>
        <v>2.9523129763772324</v>
      </c>
      <c r="AR38" s="17">
        <f t="shared" ref="AR38" si="252">AR35/AR39</f>
        <v>3.4860619229814764</v>
      </c>
      <c r="AS38" s="17">
        <f t="shared" ref="AS38" si="253">AS35/AS39</f>
        <v>4.4490180438989055</v>
      </c>
      <c r="AT38" s="17">
        <f t="shared" ref="AT38" si="254">AT35/AT39</f>
        <v>5.5877619450116267</v>
      </c>
      <c r="AU38" s="17">
        <f t="shared" ref="AU38" si="255">AU35/AU39</f>
        <v>6.7786159623114477</v>
      </c>
      <c r="AV38" s="17">
        <f t="shared" ref="AV38" si="256">AV35/AV39</f>
        <v>6.9285710996729142</v>
      </c>
      <c r="AW38" s="17">
        <f t="shared" ref="AW38" si="257">AW35/AW39</f>
        <v>1.4395366313599038</v>
      </c>
    </row>
    <row r="39" spans="1:49" s="9" customFormat="1">
      <c r="A39" s="62" t="s">
        <v>201</v>
      </c>
      <c r="B39" s="4"/>
      <c r="C39" s="4"/>
      <c r="D39" s="4"/>
      <c r="E39" s="4"/>
      <c r="F39" s="4"/>
      <c r="G39" s="4"/>
      <c r="H39" s="4"/>
      <c r="I39" s="4"/>
      <c r="J39" s="112">
        <v>64344.47</v>
      </c>
      <c r="K39" s="112">
        <f>J39-J37+K37</f>
        <v>74058.491999999998</v>
      </c>
      <c r="L39" s="23">
        <v>64000</v>
      </c>
      <c r="M39" s="4">
        <v>64000</v>
      </c>
      <c r="N39" s="4">
        <v>64000</v>
      </c>
      <c r="O39" s="4">
        <v>64000</v>
      </c>
      <c r="P39" s="4">
        <v>64000</v>
      </c>
      <c r="Q39" s="4">
        <v>64000</v>
      </c>
      <c r="R39" s="4"/>
      <c r="S39" s="4"/>
      <c r="T39" s="4"/>
      <c r="U39" s="4"/>
      <c r="AE39" s="4">
        <v>64000</v>
      </c>
      <c r="AF39" s="39">
        <v>64000</v>
      </c>
      <c r="AG39" s="4">
        <v>64000</v>
      </c>
      <c r="AH39" s="4">
        <v>64000</v>
      </c>
      <c r="AI39" s="4">
        <v>64000</v>
      </c>
      <c r="AJ39" s="4">
        <v>64000</v>
      </c>
      <c r="AK39" s="4">
        <v>64000</v>
      </c>
      <c r="AL39" s="4">
        <v>64000</v>
      </c>
      <c r="AM39" s="4">
        <v>64000</v>
      </c>
      <c r="AN39" s="4">
        <v>64000</v>
      </c>
      <c r="AO39" s="4">
        <v>64000</v>
      </c>
      <c r="AP39" s="4">
        <v>64000</v>
      </c>
      <c r="AQ39" s="4">
        <v>64000</v>
      </c>
      <c r="AR39" s="4">
        <v>64000</v>
      </c>
      <c r="AS39" s="4">
        <v>64000</v>
      </c>
      <c r="AT39" s="4">
        <v>64000</v>
      </c>
      <c r="AU39" s="4">
        <v>64000</v>
      </c>
      <c r="AV39" s="4">
        <v>64000</v>
      </c>
      <c r="AW39" s="4">
        <v>64000</v>
      </c>
    </row>
    <row r="40" spans="1:49" s="9" customFormat="1">
      <c r="A40" s="62"/>
      <c r="B40" s="4"/>
      <c r="C40" s="4"/>
      <c r="D40" s="4"/>
      <c r="E40" s="4"/>
      <c r="F40" s="4"/>
      <c r="G40" s="4"/>
      <c r="H40" s="4"/>
      <c r="I40" s="4"/>
      <c r="J40" s="4"/>
      <c r="K40" s="112"/>
      <c r="L40" s="23"/>
      <c r="M40" s="4"/>
      <c r="N40" s="4"/>
      <c r="O40" s="4"/>
      <c r="P40" s="4"/>
      <c r="Q40" s="4"/>
      <c r="R40" s="4"/>
      <c r="S40" s="4"/>
      <c r="T40" s="4"/>
      <c r="U40" s="4"/>
      <c r="AG40" s="32"/>
    </row>
    <row r="41" spans="1:49" s="10" customFormat="1">
      <c r="A41" s="61" t="s">
        <v>123</v>
      </c>
      <c r="B41" s="7"/>
      <c r="C41" s="7"/>
      <c r="D41" s="7"/>
      <c r="E41" s="7"/>
      <c r="F41" s="19"/>
      <c r="G41" s="19"/>
      <c r="H41" s="19"/>
      <c r="I41" s="19">
        <f t="shared" ref="I41" si="258">I24/E24-1</f>
        <v>3.3462902972845789</v>
      </c>
      <c r="J41" s="19">
        <f>J24/F24-1</f>
        <v>0.13229571984435795</v>
      </c>
      <c r="K41" s="120">
        <f t="shared" ref="K41:Q41" si="259">K24/G24-1</f>
        <v>0.16051546080283496</v>
      </c>
      <c r="L41" s="29">
        <f t="shared" si="259"/>
        <v>0.23260999030711749</v>
      </c>
      <c r="M41" s="19">
        <f t="shared" si="259"/>
        <v>0.21879975288041797</v>
      </c>
      <c r="N41" s="19">
        <f t="shared" si="259"/>
        <v>8.0507731958762889</v>
      </c>
      <c r="O41" s="19">
        <f t="shared" si="259"/>
        <v>7.1645482388973978</v>
      </c>
      <c r="P41" s="19">
        <f t="shared" si="259"/>
        <v>7.1645482388973978</v>
      </c>
      <c r="Q41" s="19">
        <f t="shared" si="259"/>
        <v>7.1645482388973978</v>
      </c>
      <c r="R41" s="7"/>
      <c r="S41" s="7"/>
      <c r="T41" s="7"/>
      <c r="U41" s="7"/>
      <c r="AG41" s="36">
        <f>AG24/AF24-1</f>
        <v>0.18615037564151593</v>
      </c>
      <c r="AH41" s="20">
        <f t="shared" ref="AH41:AS41" si="260">AH24/AG24-1</f>
        <v>7.3675324675324685</v>
      </c>
      <c r="AI41" s="20">
        <f t="shared" si="260"/>
        <v>0.51012891604231037</v>
      </c>
      <c r="AJ41" s="20">
        <f t="shared" si="260"/>
        <v>0.32528063694612697</v>
      </c>
      <c r="AK41" s="20">
        <f t="shared" si="260"/>
        <v>0.32670929709727914</v>
      </c>
      <c r="AL41" s="20">
        <f t="shared" si="260"/>
        <v>5.1958252948236971E-2</v>
      </c>
      <c r="AM41" s="20">
        <f t="shared" si="260"/>
        <v>1.2207134157827815E-2</v>
      </c>
      <c r="AN41" s="20">
        <f t="shared" si="260"/>
        <v>-0.13844849148348937</v>
      </c>
      <c r="AO41" s="20">
        <f t="shared" si="260"/>
        <v>-7.8857066060129655E-2</v>
      </c>
      <c r="AP41" s="20">
        <f t="shared" si="260"/>
        <v>0.10854156405189097</v>
      </c>
      <c r="AQ41" s="20">
        <f t="shared" si="260"/>
        <v>-9.160265365637521E-4</v>
      </c>
      <c r="AR41" s="20">
        <f t="shared" si="260"/>
        <v>0.15848857009511619</v>
      </c>
      <c r="AS41" s="20">
        <f t="shared" si="260"/>
        <v>0.2523327527628525</v>
      </c>
      <c r="AT41" s="20">
        <f t="shared" ref="AT41:AV41" si="261">AT24/AS24-1</f>
        <v>0.23697995290177376</v>
      </c>
      <c r="AU41" s="20">
        <f t="shared" si="261"/>
        <v>0.19795650055634462</v>
      </c>
      <c r="AV41" s="20">
        <f t="shared" si="261"/>
        <v>9.4370790457807274E-3</v>
      </c>
      <c r="AW41" s="20">
        <f t="shared" ref="AW41" si="262">AW24/AV24-1</f>
        <v>-0.89634987301832747</v>
      </c>
    </row>
    <row r="42" spans="1:49" s="10" customFormat="1">
      <c r="A42" s="61" t="s">
        <v>124</v>
      </c>
      <c r="B42" s="19"/>
      <c r="C42" s="19"/>
      <c r="D42" s="19"/>
      <c r="E42" s="19">
        <f t="shared" ref="E42:F42" si="263">E27/E24</f>
        <v>0.67860600193610843</v>
      </c>
      <c r="F42" s="19">
        <f t="shared" si="263"/>
        <v>0.77496757457846954</v>
      </c>
      <c r="G42" s="19">
        <f t="shared" ref="G42:I42" si="264">G27/G24</f>
        <v>0.78859069348351907</v>
      </c>
      <c r="H42" s="19">
        <f t="shared" si="264"/>
        <v>0.72015820697088462</v>
      </c>
      <c r="I42" s="19">
        <f t="shared" si="264"/>
        <v>0.77426260748488618</v>
      </c>
      <c r="J42" s="19">
        <f>J27/J24</f>
        <v>0.80126002290950749</v>
      </c>
      <c r="K42" s="120">
        <f t="shared" ref="K42:Q42" si="265">K27/K24</f>
        <v>0.8134252169474222</v>
      </c>
      <c r="L42" s="29">
        <f t="shared" si="265"/>
        <v>0.85000000000000009</v>
      </c>
      <c r="M42" s="19">
        <f t="shared" si="265"/>
        <v>0.85000000000000009</v>
      </c>
      <c r="N42" s="19">
        <f t="shared" si="265"/>
        <v>0.85000000000000009</v>
      </c>
      <c r="O42" s="19">
        <f t="shared" si="265"/>
        <v>0.85</v>
      </c>
      <c r="P42" s="19">
        <f t="shared" si="265"/>
        <v>0.85</v>
      </c>
      <c r="Q42" s="19">
        <f t="shared" si="265"/>
        <v>0.85</v>
      </c>
      <c r="R42" s="7"/>
      <c r="S42" s="7"/>
      <c r="T42" s="7"/>
      <c r="U42" s="7"/>
      <c r="AE42" s="19">
        <f t="shared" ref="AE42:AS42" si="266">AE27/AE24</f>
        <v>0.67860600193610843</v>
      </c>
      <c r="AF42" s="19">
        <f t="shared" si="266"/>
        <v>0.76481522903182009</v>
      </c>
      <c r="AG42" s="29">
        <f t="shared" si="266"/>
        <v>0.82943722943722942</v>
      </c>
      <c r="AH42" s="19">
        <f t="shared" si="266"/>
        <v>0.82</v>
      </c>
      <c r="AI42" s="19">
        <f t="shared" si="266"/>
        <v>0.82999999999999985</v>
      </c>
      <c r="AJ42" s="19">
        <f t="shared" si="266"/>
        <v>0.84</v>
      </c>
      <c r="AK42" s="19">
        <f t="shared" si="266"/>
        <v>0.85000000000000009</v>
      </c>
      <c r="AL42" s="19">
        <f t="shared" si="266"/>
        <v>0.85</v>
      </c>
      <c r="AM42" s="19">
        <f t="shared" si="266"/>
        <v>0.85</v>
      </c>
      <c r="AN42" s="19">
        <f t="shared" si="266"/>
        <v>0.85</v>
      </c>
      <c r="AO42" s="19">
        <f t="shared" si="266"/>
        <v>0.85</v>
      </c>
      <c r="AP42" s="19">
        <f t="shared" si="266"/>
        <v>0.85</v>
      </c>
      <c r="AQ42" s="19">
        <f t="shared" si="266"/>
        <v>0.85</v>
      </c>
      <c r="AR42" s="19">
        <f t="shared" si="266"/>
        <v>0.84999999999999987</v>
      </c>
      <c r="AS42" s="19">
        <f t="shared" si="266"/>
        <v>0.84999999999999987</v>
      </c>
      <c r="AT42" s="19">
        <f t="shared" ref="AT42:AV42" si="267">AT27/AT24</f>
        <v>0.85</v>
      </c>
      <c r="AU42" s="19">
        <f t="shared" si="267"/>
        <v>0.85</v>
      </c>
      <c r="AV42" s="19">
        <f t="shared" si="267"/>
        <v>0.85</v>
      </c>
      <c r="AW42" s="19">
        <f t="shared" ref="AW42" si="268">AW27/AW24</f>
        <v>0.85</v>
      </c>
    </row>
    <row r="43" spans="1:49" s="9" customFormat="1">
      <c r="A43" s="62"/>
      <c r="B43" s="4"/>
      <c r="C43" s="4"/>
      <c r="D43" s="4"/>
      <c r="E43" s="4"/>
      <c r="F43" s="4"/>
      <c r="G43" s="4"/>
      <c r="H43" s="4"/>
      <c r="I43" s="4"/>
      <c r="J43" s="4"/>
      <c r="K43" s="112"/>
      <c r="L43" s="23"/>
      <c r="M43" s="4"/>
      <c r="N43" s="4"/>
      <c r="O43" s="4"/>
      <c r="P43" s="4"/>
      <c r="Q43" s="4"/>
      <c r="R43" s="4"/>
      <c r="S43" s="4"/>
      <c r="T43" s="4"/>
      <c r="U43" s="4"/>
      <c r="AG43" s="32"/>
    </row>
    <row r="44" spans="1:49" s="9" customFormat="1">
      <c r="A44" s="62" t="s">
        <v>17</v>
      </c>
      <c r="B44" s="4"/>
      <c r="C44" s="4"/>
      <c r="D44" s="4"/>
      <c r="E44" s="4"/>
      <c r="F44" s="4"/>
      <c r="G44" s="4"/>
      <c r="H44" s="4"/>
      <c r="I44" s="4">
        <v>57494</v>
      </c>
      <c r="J44" s="4">
        <v>57794</v>
      </c>
      <c r="K44" s="112">
        <f>J44+K35</f>
        <v>48347</v>
      </c>
      <c r="L44" s="23">
        <f t="shared" ref="L44:M44" si="269">K44+L35</f>
        <v>40020.300000000003</v>
      </c>
      <c r="M44" s="4">
        <f t="shared" si="269"/>
        <v>32193.600000000002</v>
      </c>
      <c r="N44" s="4">
        <f t="shared" ref="N44" si="270">M44+N35</f>
        <v>46780.354500000009</v>
      </c>
      <c r="O44" s="4">
        <f t="shared" ref="O44" si="271">N44+O35</f>
        <v>62110.410000000011</v>
      </c>
      <c r="P44" s="4">
        <f t="shared" ref="P44" si="272">O44+P35</f>
        <v>77890.46550000002</v>
      </c>
      <c r="Q44" s="4">
        <f t="shared" ref="Q44" si="273">P44+Q35</f>
        <v>94120.521000000022</v>
      </c>
      <c r="R44" s="4"/>
      <c r="S44" s="4"/>
      <c r="T44" s="4"/>
      <c r="U44" s="4"/>
      <c r="AG44" s="32">
        <f>M44</f>
        <v>32193.600000000002</v>
      </c>
      <c r="AH44" s="9">
        <f>AG44+AH35</f>
        <v>82402.566000000006</v>
      </c>
      <c r="AI44" s="9">
        <f t="shared" ref="AI44:AW44" si="274">AH44+AI35</f>
        <v>185068.40704799999</v>
      </c>
      <c r="AJ44" s="9">
        <f t="shared" si="274"/>
        <v>339910.96524806402</v>
      </c>
      <c r="AK44" s="9">
        <f t="shared" si="274"/>
        <v>526990.34045951499</v>
      </c>
      <c r="AL44" s="9">
        <f t="shared" si="274"/>
        <v>728411.31016889471</v>
      </c>
      <c r="AM44" s="9">
        <f t="shared" si="274"/>
        <v>935684.74173648714</v>
      </c>
      <c r="AN44" s="9">
        <f t="shared" si="274"/>
        <v>1114080.002724793</v>
      </c>
      <c r="AO44" s="9">
        <f t="shared" si="274"/>
        <v>1279200.7959242242</v>
      </c>
      <c r="AP44" s="9">
        <f t="shared" si="274"/>
        <v>1466129.2364225213</v>
      </c>
      <c r="AQ44" s="9">
        <f t="shared" si="274"/>
        <v>1655077.2669106643</v>
      </c>
      <c r="AR44" s="9">
        <f t="shared" si="274"/>
        <v>1878185.2299814788</v>
      </c>
      <c r="AS44" s="9">
        <f t="shared" si="274"/>
        <v>2162922.3847910087</v>
      </c>
      <c r="AT44" s="9">
        <f t="shared" si="274"/>
        <v>2520539.1492717527</v>
      </c>
      <c r="AU44" s="9">
        <f t="shared" si="274"/>
        <v>2954370.5708596855</v>
      </c>
      <c r="AV44" s="9">
        <f t="shared" si="274"/>
        <v>3397799.1212387523</v>
      </c>
      <c r="AW44" s="9">
        <f t="shared" si="274"/>
        <v>3489929.4656457859</v>
      </c>
    </row>
    <row r="45" spans="1:49" s="9" customFormat="1">
      <c r="A45" s="62" t="s">
        <v>72</v>
      </c>
      <c r="B45" s="4"/>
      <c r="C45" s="4"/>
      <c r="D45" s="4"/>
      <c r="E45" s="4"/>
      <c r="F45" s="4"/>
      <c r="G45" s="4"/>
      <c r="H45" s="4"/>
      <c r="I45" s="4">
        <v>2990</v>
      </c>
      <c r="J45" s="4">
        <v>3287</v>
      </c>
      <c r="K45" s="112">
        <v>3753</v>
      </c>
      <c r="L45" s="23"/>
      <c r="M45" s="4"/>
      <c r="N45" s="4"/>
      <c r="O45" s="4"/>
      <c r="P45" s="4"/>
      <c r="Q45" s="4"/>
      <c r="R45" s="4"/>
      <c r="S45" s="4"/>
      <c r="T45" s="4"/>
      <c r="U45" s="4"/>
      <c r="AG45" s="32"/>
    </row>
    <row r="46" spans="1:49" s="9" customFormat="1">
      <c r="A46" s="62" t="s">
        <v>73</v>
      </c>
      <c r="B46" s="4"/>
      <c r="C46" s="4"/>
      <c r="D46" s="4"/>
      <c r="E46" s="4"/>
      <c r="F46" s="4"/>
      <c r="G46" s="4"/>
      <c r="H46" s="4"/>
      <c r="I46" s="4">
        <v>792</v>
      </c>
      <c r="J46" s="4">
        <v>874</v>
      </c>
      <c r="K46" s="112"/>
      <c r="L46" s="23"/>
      <c r="M46" s="4"/>
      <c r="N46" s="4"/>
      <c r="O46" s="4"/>
      <c r="P46" s="4"/>
      <c r="Q46" s="4"/>
      <c r="R46" s="4"/>
      <c r="S46" s="4"/>
      <c r="T46" s="4"/>
      <c r="U46" s="4"/>
      <c r="AG46" s="32"/>
    </row>
    <row r="47" spans="1:49" s="9" customFormat="1">
      <c r="A47" s="62" t="s">
        <v>21</v>
      </c>
      <c r="B47" s="4"/>
      <c r="C47" s="4"/>
      <c r="D47" s="4"/>
      <c r="E47" s="4"/>
      <c r="F47" s="4"/>
      <c r="G47" s="4"/>
      <c r="H47" s="4"/>
      <c r="I47" s="4">
        <v>5017</v>
      </c>
      <c r="J47" s="4">
        <v>4614</v>
      </c>
      <c r="K47" s="112"/>
      <c r="L47" s="23"/>
      <c r="M47" s="4"/>
      <c r="N47" s="4"/>
      <c r="O47" s="4"/>
      <c r="P47" s="4"/>
      <c r="Q47" s="4"/>
      <c r="R47" s="4"/>
      <c r="S47" s="4"/>
      <c r="T47" s="4"/>
      <c r="U47" s="4"/>
      <c r="AG47" s="32"/>
    </row>
    <row r="48" spans="1:49" s="9" customFormat="1">
      <c r="A48" s="62" t="s">
        <v>74</v>
      </c>
      <c r="B48" s="4"/>
      <c r="C48" s="4"/>
      <c r="D48" s="4"/>
      <c r="E48" s="4"/>
      <c r="F48" s="4"/>
      <c r="G48" s="4"/>
      <c r="H48" s="4"/>
      <c r="I48" s="4">
        <v>2412</v>
      </c>
      <c r="J48" s="4">
        <v>2342</v>
      </c>
      <c r="K48" s="112"/>
      <c r="L48" s="23"/>
      <c r="M48" s="4"/>
      <c r="N48" s="4"/>
      <c r="O48" s="4"/>
      <c r="P48" s="4"/>
      <c r="Q48" s="4"/>
      <c r="R48" s="4"/>
      <c r="S48" s="4"/>
      <c r="T48" s="4"/>
      <c r="U48" s="4"/>
      <c r="AG48" s="32"/>
    </row>
    <row r="49" spans="1:33" s="9" customFormat="1">
      <c r="A49" s="62" t="s">
        <v>75</v>
      </c>
      <c r="B49" s="4"/>
      <c r="C49" s="4"/>
      <c r="D49" s="4"/>
      <c r="E49" s="4"/>
      <c r="F49" s="4"/>
      <c r="G49" s="4"/>
      <c r="H49" s="4"/>
      <c r="I49" s="4">
        <v>6282</v>
      </c>
      <c r="J49" s="4">
        <v>6420</v>
      </c>
      <c r="K49" s="112"/>
      <c r="L49" s="23"/>
      <c r="M49" s="4"/>
      <c r="N49" s="4"/>
      <c r="O49" s="4"/>
      <c r="P49" s="4"/>
      <c r="Q49" s="4"/>
      <c r="R49" s="4"/>
      <c r="S49" s="4"/>
      <c r="T49" s="4"/>
      <c r="U49" s="4"/>
      <c r="AG49" s="32"/>
    </row>
    <row r="50" spans="1:33" s="9" customFormat="1">
      <c r="A50" s="62" t="s">
        <v>76</v>
      </c>
      <c r="B50" s="4"/>
      <c r="C50" s="4"/>
      <c r="D50" s="4"/>
      <c r="E50" s="4"/>
      <c r="F50" s="4"/>
      <c r="G50" s="4"/>
      <c r="H50" s="4"/>
      <c r="I50" s="4">
        <v>10138</v>
      </c>
      <c r="J50" s="4">
        <v>9759</v>
      </c>
      <c r="K50" s="112"/>
      <c r="L50" s="23"/>
      <c r="M50" s="4"/>
      <c r="N50" s="4"/>
      <c r="O50" s="4"/>
      <c r="P50" s="4"/>
      <c r="Q50" s="4"/>
      <c r="R50" s="4"/>
      <c r="S50" s="4"/>
      <c r="T50" s="4"/>
      <c r="U50" s="4"/>
      <c r="AG50" s="32"/>
    </row>
    <row r="51" spans="1:33" s="9" customFormat="1">
      <c r="A51" s="62" t="s">
        <v>77</v>
      </c>
      <c r="B51" s="4"/>
      <c r="C51" s="4"/>
      <c r="D51" s="4"/>
      <c r="E51" s="4"/>
      <c r="F51" s="4"/>
      <c r="G51" s="4"/>
      <c r="H51" s="4"/>
      <c r="I51" s="4">
        <f>4390+3903</f>
        <v>8293</v>
      </c>
      <c r="J51" s="4">
        <f>4225+3903</f>
        <v>8128</v>
      </c>
      <c r="K51" s="112"/>
      <c r="L51" s="23"/>
      <c r="M51" s="4"/>
      <c r="N51" s="4"/>
      <c r="O51" s="4"/>
      <c r="P51" s="4"/>
      <c r="Q51" s="4"/>
      <c r="R51" s="4"/>
      <c r="S51" s="4"/>
      <c r="T51" s="4"/>
      <c r="U51" s="4"/>
      <c r="AG51" s="32"/>
    </row>
    <row r="52" spans="1:33" s="9" customFormat="1">
      <c r="A52" s="62" t="s">
        <v>78</v>
      </c>
      <c r="B52" s="4"/>
      <c r="C52" s="4"/>
      <c r="D52" s="4"/>
      <c r="E52" s="4"/>
      <c r="F52" s="4"/>
      <c r="G52" s="4"/>
      <c r="H52" s="4"/>
      <c r="I52" s="4">
        <v>311</v>
      </c>
      <c r="J52" s="4">
        <v>307</v>
      </c>
      <c r="K52" s="112"/>
      <c r="L52" s="23"/>
      <c r="M52" s="4"/>
      <c r="N52" s="4"/>
      <c r="O52" s="4"/>
      <c r="P52" s="4"/>
      <c r="Q52" s="4"/>
      <c r="R52" s="4"/>
      <c r="S52" s="4"/>
      <c r="T52" s="4"/>
      <c r="U52" s="4"/>
      <c r="AG52" s="32"/>
    </row>
    <row r="53" spans="1:33" s="9" customFormat="1">
      <c r="A53" s="62" t="s">
        <v>79</v>
      </c>
      <c r="B53" s="4"/>
      <c r="C53" s="4"/>
      <c r="D53" s="4"/>
      <c r="E53" s="4"/>
      <c r="F53" s="4"/>
      <c r="G53" s="4"/>
      <c r="H53" s="4"/>
      <c r="I53" s="4">
        <f>SUM(I44:I52)</f>
        <v>93729</v>
      </c>
      <c r="J53" s="4">
        <f>SUM(J44:J52)</f>
        <v>93525</v>
      </c>
      <c r="K53" s="112"/>
      <c r="L53" s="23"/>
      <c r="M53" s="4"/>
      <c r="N53" s="4"/>
      <c r="O53" s="4"/>
      <c r="P53" s="4"/>
      <c r="Q53" s="4"/>
      <c r="R53" s="4"/>
      <c r="S53" s="4"/>
      <c r="T53" s="4"/>
      <c r="U53" s="4"/>
      <c r="AG53" s="32"/>
    </row>
    <row r="54" spans="1:33" s="9" customFormat="1">
      <c r="A54" s="62"/>
      <c r="B54" s="4"/>
      <c r="C54" s="4"/>
      <c r="D54" s="4"/>
      <c r="E54" s="4"/>
      <c r="F54" s="4"/>
      <c r="G54" s="4"/>
      <c r="H54" s="4"/>
      <c r="I54" s="4"/>
      <c r="J54" s="4"/>
      <c r="K54" s="112"/>
      <c r="L54" s="23"/>
      <c r="M54" s="4"/>
      <c r="N54" s="4"/>
      <c r="O54" s="4"/>
      <c r="P54" s="4"/>
      <c r="Q54" s="4"/>
      <c r="R54" s="4"/>
      <c r="S54" s="4"/>
      <c r="T54" s="4"/>
      <c r="U54" s="4"/>
      <c r="AG54" s="32"/>
    </row>
    <row r="55" spans="1:33" s="9" customFormat="1">
      <c r="A55" s="62" t="s">
        <v>80</v>
      </c>
      <c r="B55" s="4"/>
      <c r="C55" s="4"/>
      <c r="D55" s="4"/>
      <c r="E55" s="4"/>
      <c r="F55" s="4"/>
      <c r="G55" s="4"/>
      <c r="H55" s="4"/>
      <c r="I55" s="4">
        <v>1070</v>
      </c>
      <c r="J55" s="4">
        <v>1666</v>
      </c>
      <c r="K55" s="112"/>
      <c r="L55" s="23"/>
      <c r="M55" s="4"/>
      <c r="N55" s="4"/>
      <c r="O55" s="4"/>
      <c r="P55" s="4"/>
      <c r="Q55" s="4"/>
      <c r="R55" s="4"/>
      <c r="S55" s="4"/>
      <c r="T55" s="4"/>
      <c r="U55" s="4"/>
      <c r="AG55" s="32"/>
    </row>
    <row r="56" spans="1:33" s="9" customFormat="1">
      <c r="A56" s="62" t="s">
        <v>81</v>
      </c>
      <c r="B56" s="4"/>
      <c r="C56" s="4"/>
      <c r="D56" s="4"/>
      <c r="E56" s="4"/>
      <c r="F56" s="4"/>
      <c r="G56" s="4"/>
      <c r="H56" s="4"/>
      <c r="I56" s="4">
        <v>3157</v>
      </c>
      <c r="J56" s="4">
        <v>845</v>
      </c>
      <c r="K56" s="112"/>
      <c r="L56" s="23"/>
      <c r="M56" s="4"/>
      <c r="N56" s="4"/>
      <c r="O56" s="4"/>
      <c r="P56" s="4"/>
      <c r="Q56" s="4"/>
      <c r="R56" s="4"/>
      <c r="S56" s="4"/>
      <c r="T56" s="4"/>
      <c r="U56" s="4"/>
      <c r="AG56" s="32"/>
    </row>
    <row r="57" spans="1:33" s="9" customFormat="1">
      <c r="A57" s="62" t="s">
        <v>82</v>
      </c>
      <c r="B57" s="4"/>
      <c r="C57" s="4"/>
      <c r="D57" s="4"/>
      <c r="E57" s="4"/>
      <c r="F57" s="4"/>
      <c r="G57" s="4"/>
      <c r="H57" s="4"/>
      <c r="I57" s="4">
        <v>2014</v>
      </c>
      <c r="J57" s="4">
        <v>4327</v>
      </c>
      <c r="K57" s="112"/>
      <c r="L57" s="23"/>
      <c r="M57" s="4"/>
      <c r="N57" s="4"/>
      <c r="O57" s="4"/>
      <c r="P57" s="4"/>
      <c r="Q57" s="4"/>
      <c r="R57" s="4"/>
      <c r="S57" s="4"/>
      <c r="T57" s="4"/>
      <c r="U57" s="4"/>
      <c r="AG57" s="32"/>
    </row>
    <row r="58" spans="1:33" s="9" customFormat="1">
      <c r="A58" s="62" t="s">
        <v>83</v>
      </c>
      <c r="B58" s="4"/>
      <c r="C58" s="4"/>
      <c r="D58" s="4"/>
      <c r="E58" s="4"/>
      <c r="F58" s="4"/>
      <c r="G58" s="4"/>
      <c r="H58" s="4"/>
      <c r="I58" s="4">
        <f>775+4232</f>
        <v>5007</v>
      </c>
      <c r="J58" s="4">
        <f>804+4018</f>
        <v>4822</v>
      </c>
      <c r="K58" s="112"/>
      <c r="L58" s="23"/>
      <c r="M58" s="4"/>
      <c r="N58" s="4"/>
      <c r="O58" s="4"/>
      <c r="P58" s="4"/>
      <c r="Q58" s="4"/>
      <c r="R58" s="4"/>
      <c r="S58" s="4"/>
      <c r="T58" s="4"/>
      <c r="U58" s="4"/>
      <c r="AG58" s="32"/>
    </row>
    <row r="59" spans="1:33" s="9" customFormat="1">
      <c r="A59" s="62" t="s">
        <v>84</v>
      </c>
      <c r="B59" s="4"/>
      <c r="C59" s="4"/>
      <c r="D59" s="4"/>
      <c r="E59" s="4"/>
      <c r="F59" s="4"/>
      <c r="G59" s="4"/>
      <c r="H59" s="4"/>
      <c r="I59" s="4">
        <f>311+352</f>
        <v>663</v>
      </c>
      <c r="J59" s="4">
        <f>334+247</f>
        <v>581</v>
      </c>
      <c r="K59" s="112"/>
      <c r="L59" s="23"/>
      <c r="M59" s="4"/>
      <c r="N59" s="4"/>
      <c r="O59" s="4"/>
      <c r="P59" s="4"/>
      <c r="Q59" s="4"/>
      <c r="R59" s="4"/>
      <c r="S59" s="4"/>
      <c r="T59" s="4"/>
      <c r="U59" s="4"/>
      <c r="AG59" s="32"/>
    </row>
    <row r="60" spans="1:33" s="9" customFormat="1">
      <c r="A60" s="62" t="s">
        <v>85</v>
      </c>
      <c r="B60" s="4"/>
      <c r="C60" s="4"/>
      <c r="D60" s="4"/>
      <c r="E60" s="4"/>
      <c r="F60" s="4"/>
      <c r="G60" s="4"/>
      <c r="H60" s="4"/>
      <c r="I60" s="4">
        <v>6143</v>
      </c>
      <c r="J60" s="4">
        <v>6419</v>
      </c>
      <c r="K60" s="112"/>
      <c r="L60" s="23"/>
      <c r="M60" s="4"/>
      <c r="N60" s="4"/>
      <c r="O60" s="4"/>
      <c r="P60" s="4"/>
      <c r="Q60" s="4"/>
      <c r="R60" s="4"/>
      <c r="S60" s="4"/>
      <c r="T60" s="4"/>
      <c r="U60" s="4"/>
      <c r="AG60" s="32"/>
    </row>
    <row r="61" spans="1:33" s="9" customFormat="1">
      <c r="A61" s="62" t="s">
        <v>18</v>
      </c>
      <c r="B61" s="4"/>
      <c r="C61" s="4"/>
      <c r="D61" s="4"/>
      <c r="E61" s="4"/>
      <c r="F61" s="4"/>
      <c r="G61" s="4"/>
      <c r="H61" s="4"/>
      <c r="I61" s="4">
        <v>10410</v>
      </c>
      <c r="J61" s="4">
        <v>19476</v>
      </c>
      <c r="K61" s="112"/>
      <c r="L61" s="23"/>
      <c r="M61" s="4"/>
      <c r="N61" s="4"/>
      <c r="O61" s="4"/>
      <c r="P61" s="4"/>
      <c r="Q61" s="4"/>
      <c r="R61" s="4"/>
      <c r="S61" s="4"/>
      <c r="T61" s="4"/>
      <c r="U61" s="4"/>
      <c r="AG61" s="32"/>
    </row>
    <row r="62" spans="1:33" s="9" customFormat="1">
      <c r="A62" s="62" t="s">
        <v>86</v>
      </c>
      <c r="B62" s="4"/>
      <c r="C62" s="4"/>
      <c r="D62" s="4"/>
      <c r="E62" s="4"/>
      <c r="F62" s="4"/>
      <c r="G62" s="4"/>
      <c r="H62" s="4"/>
      <c r="I62" s="4">
        <v>65265</v>
      </c>
      <c r="J62" s="4">
        <v>55389</v>
      </c>
      <c r="K62" s="112"/>
      <c r="L62" s="23"/>
      <c r="M62" s="4"/>
      <c r="N62" s="4"/>
      <c r="O62" s="4"/>
      <c r="P62" s="4"/>
      <c r="Q62" s="4"/>
      <c r="R62" s="4"/>
      <c r="S62" s="4"/>
      <c r="T62" s="4"/>
      <c r="U62" s="4"/>
      <c r="AG62" s="32"/>
    </row>
    <row r="63" spans="1:33" s="9" customFormat="1">
      <c r="A63" s="62" t="s">
        <v>87</v>
      </c>
      <c r="B63" s="4"/>
      <c r="C63" s="4"/>
      <c r="D63" s="4"/>
      <c r="E63" s="4"/>
      <c r="F63" s="4"/>
      <c r="G63" s="4"/>
      <c r="H63" s="4"/>
      <c r="I63" s="4">
        <f>SUM(I55:I62)</f>
        <v>93729</v>
      </c>
      <c r="J63" s="4">
        <f>SUM(J55:J62)</f>
        <v>93525</v>
      </c>
      <c r="K63" s="112"/>
      <c r="L63" s="23"/>
      <c r="M63" s="4"/>
      <c r="N63" s="4"/>
      <c r="O63" s="4"/>
      <c r="P63" s="4"/>
      <c r="Q63" s="4"/>
      <c r="R63" s="4"/>
      <c r="S63" s="4"/>
      <c r="T63" s="4"/>
      <c r="U63" s="4"/>
      <c r="AG63" s="32"/>
    </row>
    <row r="64" spans="1:33" s="9" customFormat="1">
      <c r="A64" s="62" t="s">
        <v>88</v>
      </c>
      <c r="B64" s="4"/>
      <c r="C64" s="4"/>
      <c r="D64" s="4"/>
      <c r="E64" s="4"/>
      <c r="F64" s="4"/>
      <c r="G64" s="4"/>
      <c r="H64" s="4"/>
      <c r="I64" s="4">
        <v>52</v>
      </c>
      <c r="J64" s="4">
        <v>53</v>
      </c>
      <c r="K64" s="112"/>
      <c r="L64" s="23"/>
      <c r="M64" s="4"/>
      <c r="N64" s="4"/>
      <c r="O64" s="4"/>
      <c r="P64" s="4"/>
      <c r="Q64" s="4"/>
      <c r="R64" s="4"/>
      <c r="S64" s="4"/>
      <c r="T64" s="4"/>
      <c r="U64" s="4"/>
      <c r="AG64" s="32"/>
    </row>
    <row r="65" spans="1:33" s="9" customFormat="1">
      <c r="A65" s="62" t="s">
        <v>89</v>
      </c>
      <c r="B65" s="4"/>
      <c r="C65" s="4"/>
      <c r="D65" s="4"/>
      <c r="E65" s="4"/>
      <c r="F65" s="4"/>
      <c r="G65" s="4"/>
      <c r="H65" s="4"/>
      <c r="I65" s="4">
        <v>374794</v>
      </c>
      <c r="J65" s="4">
        <v>380860</v>
      </c>
      <c r="K65" s="112"/>
      <c r="L65" s="23"/>
      <c r="M65" s="4"/>
      <c r="N65" s="4"/>
      <c r="O65" s="4"/>
      <c r="P65" s="4"/>
      <c r="Q65" s="4"/>
      <c r="R65" s="4"/>
      <c r="S65" s="4"/>
      <c r="T65" s="4"/>
      <c r="U65" s="4"/>
      <c r="AG65" s="32"/>
    </row>
    <row r="66" spans="1:33" s="9" customFormat="1">
      <c r="A66" s="62" t="s">
        <v>23</v>
      </c>
      <c r="B66" s="4"/>
      <c r="C66" s="4"/>
      <c r="D66" s="4"/>
      <c r="E66" s="4"/>
      <c r="F66" s="4"/>
      <c r="G66" s="4"/>
      <c r="H66" s="4"/>
      <c r="I66" s="4">
        <v>309581</v>
      </c>
      <c r="J66" s="4">
        <v>325524</v>
      </c>
      <c r="K66" s="112"/>
      <c r="L66" s="23"/>
      <c r="M66" s="4"/>
      <c r="N66" s="4"/>
      <c r="O66" s="4"/>
      <c r="P66" s="4"/>
      <c r="Q66" s="4"/>
      <c r="R66" s="4"/>
      <c r="S66" s="4"/>
      <c r="T66" s="4"/>
      <c r="U66" s="4"/>
      <c r="AG66" s="32"/>
    </row>
    <row r="67" spans="1:33" s="9" customFormat="1">
      <c r="A67" s="62" t="s">
        <v>90</v>
      </c>
      <c r="B67" s="4"/>
      <c r="C67" s="4"/>
      <c r="D67" s="4"/>
      <c r="E67" s="4"/>
      <c r="F67" s="4"/>
      <c r="G67" s="4"/>
      <c r="H67" s="4"/>
      <c r="I67" s="4">
        <f>I65-I66+I64</f>
        <v>65265</v>
      </c>
      <c r="J67" s="4">
        <f>J65-J66+J64</f>
        <v>55389</v>
      </c>
      <c r="K67" s="112"/>
      <c r="L67" s="23"/>
      <c r="M67" s="4"/>
      <c r="N67" s="4"/>
      <c r="O67" s="4"/>
      <c r="P67" s="4"/>
      <c r="Q67" s="4"/>
      <c r="R67" s="4"/>
      <c r="S67" s="4"/>
      <c r="T67" s="4"/>
      <c r="U67" s="4"/>
      <c r="AG67" s="32"/>
    </row>
    <row r="69" spans="1:33" s="9" customFormat="1">
      <c r="A69" s="62" t="s">
        <v>91</v>
      </c>
      <c r="B69" s="4"/>
      <c r="C69" s="4"/>
      <c r="D69" s="4"/>
      <c r="E69" s="4"/>
      <c r="F69" s="4"/>
      <c r="G69" s="4"/>
      <c r="H69" s="4"/>
      <c r="I69" s="4"/>
      <c r="J69" s="4">
        <v>-15943</v>
      </c>
      <c r="K69" s="112">
        <f>K35</f>
        <v>-9447</v>
      </c>
      <c r="L69" s="23"/>
      <c r="M69" s="4"/>
      <c r="N69" s="4"/>
      <c r="O69" s="4"/>
      <c r="P69" s="4"/>
      <c r="Q69" s="4"/>
      <c r="R69" s="4"/>
      <c r="S69" s="4"/>
      <c r="T69" s="4"/>
      <c r="U69" s="4"/>
      <c r="AG69" s="32"/>
    </row>
    <row r="70" spans="1:33" s="9" customFormat="1">
      <c r="A70" s="62" t="s">
        <v>92</v>
      </c>
      <c r="B70" s="4"/>
      <c r="C70" s="4"/>
      <c r="D70" s="4"/>
      <c r="E70" s="4"/>
      <c r="F70" s="4"/>
      <c r="G70" s="4"/>
      <c r="H70" s="4"/>
      <c r="I70" s="4"/>
      <c r="J70" s="4">
        <v>4185</v>
      </c>
      <c r="K70" s="112">
        <v>5832</v>
      </c>
      <c r="L70" s="23"/>
      <c r="M70" s="4"/>
      <c r="N70" s="4"/>
      <c r="O70" s="4"/>
      <c r="P70" s="4"/>
      <c r="Q70" s="4"/>
      <c r="R70" s="4"/>
      <c r="S70" s="4"/>
      <c r="T70" s="4"/>
      <c r="U70" s="4"/>
      <c r="AG70" s="32"/>
    </row>
    <row r="71" spans="1:33" s="9" customFormat="1">
      <c r="A71" s="62" t="s">
        <v>93</v>
      </c>
      <c r="B71" s="4"/>
      <c r="C71" s="4"/>
      <c r="D71" s="4"/>
      <c r="E71" s="4"/>
      <c r="F71" s="4"/>
      <c r="G71" s="4"/>
      <c r="H71" s="4"/>
      <c r="I71" s="4"/>
      <c r="J71" s="4">
        <v>947</v>
      </c>
      <c r="K71" s="112">
        <v>1953</v>
      </c>
      <c r="L71" s="23"/>
      <c r="M71" s="4"/>
      <c r="N71" s="4"/>
      <c r="O71" s="4"/>
      <c r="P71" s="4"/>
      <c r="Q71" s="4"/>
      <c r="R71" s="4"/>
      <c r="S71" s="4"/>
      <c r="T71" s="4"/>
      <c r="U71" s="4"/>
      <c r="AG71" s="32"/>
    </row>
    <row r="72" spans="1:33" s="9" customFormat="1">
      <c r="A72" s="62" t="s">
        <v>74</v>
      </c>
      <c r="B72" s="4"/>
      <c r="C72" s="4"/>
      <c r="D72" s="4"/>
      <c r="E72" s="4"/>
      <c r="F72" s="4"/>
      <c r="G72" s="4"/>
      <c r="H72" s="4"/>
      <c r="I72" s="4"/>
      <c r="J72" s="4">
        <v>70</v>
      </c>
      <c r="K72" s="112">
        <v>146</v>
      </c>
      <c r="L72" s="23"/>
      <c r="M72" s="4"/>
      <c r="N72" s="4"/>
      <c r="O72" s="4"/>
      <c r="P72" s="4"/>
      <c r="Q72" s="4"/>
      <c r="R72" s="4"/>
      <c r="S72" s="4"/>
      <c r="T72" s="4"/>
      <c r="U72" s="4"/>
      <c r="AG72" s="32"/>
    </row>
    <row r="73" spans="1:33" s="9" customFormat="1">
      <c r="A73" s="62" t="s">
        <v>94</v>
      </c>
      <c r="B73" s="4"/>
      <c r="C73" s="4"/>
      <c r="D73" s="4"/>
      <c r="E73" s="4"/>
      <c r="F73" s="4"/>
      <c r="G73" s="4"/>
      <c r="H73" s="4"/>
      <c r="I73" s="4"/>
      <c r="J73" s="4">
        <v>997</v>
      </c>
      <c r="K73" s="112">
        <v>997</v>
      </c>
      <c r="L73" s="23"/>
      <c r="M73" s="4"/>
      <c r="N73" s="4"/>
      <c r="O73" s="4"/>
      <c r="P73" s="4"/>
      <c r="Q73" s="4"/>
      <c r="R73" s="4"/>
      <c r="S73" s="4"/>
      <c r="T73" s="4"/>
      <c r="U73" s="4"/>
      <c r="AG73" s="32"/>
    </row>
    <row r="74" spans="1:33" s="9" customFormat="1">
      <c r="A74" s="62" t="s">
        <v>95</v>
      </c>
      <c r="B74" s="4"/>
      <c r="C74" s="4"/>
      <c r="D74" s="4"/>
      <c r="E74" s="4"/>
      <c r="F74" s="4"/>
      <c r="G74" s="4"/>
      <c r="H74" s="4"/>
      <c r="I74" s="4"/>
      <c r="J74" s="4">
        <v>-6</v>
      </c>
      <c r="K74" s="112">
        <v>109</v>
      </c>
      <c r="L74" s="23"/>
      <c r="M74" s="4"/>
      <c r="N74" s="4"/>
      <c r="O74" s="4"/>
      <c r="P74" s="4"/>
      <c r="Q74" s="4"/>
      <c r="R74" s="4"/>
      <c r="S74" s="4"/>
      <c r="T74" s="4"/>
      <c r="U74" s="4"/>
      <c r="AG74" s="32"/>
    </row>
    <row r="75" spans="1:33" s="9" customFormat="1">
      <c r="A75" s="62" t="s">
        <v>72</v>
      </c>
      <c r="B75" s="4"/>
      <c r="C75" s="4"/>
      <c r="D75" s="4"/>
      <c r="E75" s="4"/>
      <c r="F75" s="4"/>
      <c r="G75" s="4"/>
      <c r="H75" s="4"/>
      <c r="I75" s="4"/>
      <c r="J75" s="4">
        <v>-297</v>
      </c>
      <c r="K75" s="112">
        <v>-763</v>
      </c>
      <c r="L75" s="23"/>
      <c r="M75" s="4"/>
      <c r="N75" s="4"/>
      <c r="O75" s="4"/>
      <c r="P75" s="4"/>
      <c r="Q75" s="4"/>
      <c r="R75" s="4"/>
      <c r="S75" s="4"/>
      <c r="T75" s="4"/>
      <c r="U75" s="4"/>
      <c r="AG75" s="32"/>
    </row>
    <row r="76" spans="1:33" s="9" customFormat="1">
      <c r="A76" s="62" t="s">
        <v>73</v>
      </c>
      <c r="B76" s="4"/>
      <c r="C76" s="4"/>
      <c r="D76" s="4"/>
      <c r="E76" s="4"/>
      <c r="F76" s="4"/>
      <c r="G76" s="4"/>
      <c r="H76" s="4"/>
      <c r="I76" s="4"/>
      <c r="J76" s="4">
        <v>-82</v>
      </c>
      <c r="K76" s="112">
        <v>-115</v>
      </c>
      <c r="L76" s="23"/>
      <c r="M76" s="4"/>
      <c r="N76" s="4"/>
      <c r="O76" s="4"/>
      <c r="P76" s="4"/>
      <c r="Q76" s="4"/>
      <c r="R76" s="4"/>
      <c r="S76" s="4"/>
      <c r="T76" s="4"/>
      <c r="U76" s="4"/>
      <c r="AG76" s="32"/>
    </row>
    <row r="77" spans="1:33" s="9" customFormat="1">
      <c r="A77" s="62" t="s">
        <v>96</v>
      </c>
      <c r="B77" s="4"/>
      <c r="C77" s="4"/>
      <c r="D77" s="4"/>
      <c r="E77" s="4"/>
      <c r="F77" s="4"/>
      <c r="G77" s="4"/>
      <c r="H77" s="4"/>
      <c r="I77" s="4"/>
      <c r="J77" s="4">
        <v>4</v>
      </c>
      <c r="K77" s="112">
        <v>4</v>
      </c>
      <c r="L77" s="23"/>
      <c r="M77" s="4"/>
      <c r="N77" s="4"/>
      <c r="O77" s="4"/>
      <c r="P77" s="4"/>
      <c r="Q77" s="4"/>
      <c r="R77" s="4"/>
      <c r="S77" s="4"/>
      <c r="T77" s="4"/>
      <c r="U77" s="4"/>
      <c r="AG77" s="32"/>
    </row>
    <row r="78" spans="1:33" s="9" customFormat="1">
      <c r="A78" s="62" t="s">
        <v>80</v>
      </c>
      <c r="B78" s="4"/>
      <c r="C78" s="4"/>
      <c r="D78" s="4"/>
      <c r="E78" s="4"/>
      <c r="F78" s="4"/>
      <c r="G78" s="4"/>
      <c r="H78" s="4"/>
      <c r="I78" s="4"/>
      <c r="J78" s="4">
        <v>458</v>
      </c>
      <c r="K78" s="112">
        <v>111</v>
      </c>
      <c r="L78" s="23"/>
      <c r="M78" s="4"/>
      <c r="N78" s="4"/>
      <c r="O78" s="4"/>
      <c r="P78" s="4"/>
      <c r="Q78" s="4"/>
      <c r="R78" s="4"/>
      <c r="S78" s="4"/>
      <c r="T78" s="4"/>
      <c r="U78" s="4"/>
      <c r="AG78" s="32"/>
    </row>
    <row r="79" spans="1:33" s="9" customFormat="1">
      <c r="A79" s="62" t="s">
        <v>81</v>
      </c>
      <c r="B79" s="4"/>
      <c r="C79" s="4"/>
      <c r="D79" s="4"/>
      <c r="E79" s="4"/>
      <c r="F79" s="4"/>
      <c r="G79" s="4"/>
      <c r="H79" s="4"/>
      <c r="I79" s="4"/>
      <c r="J79" s="4">
        <v>-2368</v>
      </c>
      <c r="K79" s="112"/>
      <c r="L79" s="23"/>
      <c r="M79" s="4"/>
      <c r="N79" s="4"/>
      <c r="O79" s="4"/>
      <c r="P79" s="4"/>
      <c r="Q79" s="4"/>
      <c r="R79" s="4"/>
      <c r="S79" s="4"/>
      <c r="T79" s="4"/>
      <c r="U79" s="4"/>
      <c r="AG79" s="32"/>
    </row>
    <row r="80" spans="1:33" s="9" customFormat="1">
      <c r="A80" s="62" t="s">
        <v>97</v>
      </c>
      <c r="B80" s="4"/>
      <c r="C80" s="4"/>
      <c r="D80" s="4"/>
      <c r="E80" s="4"/>
      <c r="F80" s="4"/>
      <c r="G80" s="4"/>
      <c r="H80" s="4"/>
      <c r="I80" s="4"/>
      <c r="J80" s="4">
        <v>2438</v>
      </c>
      <c r="K80" s="112">
        <v>-721</v>
      </c>
      <c r="L80" s="23"/>
      <c r="M80" s="4"/>
      <c r="N80" s="4"/>
      <c r="O80" s="4"/>
      <c r="P80" s="4"/>
      <c r="Q80" s="4"/>
      <c r="R80" s="4"/>
      <c r="S80" s="4"/>
      <c r="T80" s="4"/>
      <c r="U80" s="4"/>
      <c r="AG80" s="32"/>
    </row>
    <row r="81" spans="1:33" s="9" customFormat="1">
      <c r="A81" s="62" t="s">
        <v>98</v>
      </c>
      <c r="B81" s="4"/>
      <c r="C81" s="4"/>
      <c r="D81" s="4"/>
      <c r="E81" s="4"/>
      <c r="F81" s="4"/>
      <c r="G81" s="4"/>
      <c r="H81" s="4"/>
      <c r="I81" s="4"/>
      <c r="J81" s="4">
        <v>-185</v>
      </c>
      <c r="K81" s="112">
        <v>-375</v>
      </c>
      <c r="L81" s="23"/>
      <c r="M81" s="4"/>
      <c r="N81" s="4"/>
      <c r="O81" s="4"/>
      <c r="P81" s="4"/>
      <c r="Q81" s="4"/>
      <c r="R81" s="4"/>
      <c r="S81" s="4"/>
      <c r="T81" s="4"/>
      <c r="U81" s="4"/>
      <c r="AG81" s="32"/>
    </row>
    <row r="82" spans="1:33" s="9" customFormat="1">
      <c r="A82" s="62" t="s">
        <v>99</v>
      </c>
      <c r="B82" s="4"/>
      <c r="C82" s="4"/>
      <c r="D82" s="4"/>
      <c r="E82" s="4"/>
      <c r="F82" s="4"/>
      <c r="G82" s="4"/>
      <c r="H82" s="4"/>
      <c r="I82" s="4"/>
      <c r="J82" s="4">
        <f>SUM(J69:J81)</f>
        <v>-9782</v>
      </c>
      <c r="K82" s="4">
        <f>SUM(K69:K81)</f>
        <v>-2269</v>
      </c>
      <c r="L82" s="23"/>
      <c r="M82" s="4"/>
      <c r="N82" s="4"/>
      <c r="O82" s="4"/>
      <c r="P82" s="4"/>
      <c r="Q82" s="4"/>
      <c r="R82" s="4"/>
      <c r="S82" s="4"/>
      <c r="T82" s="4"/>
      <c r="U82" s="4"/>
      <c r="AG82" s="32"/>
    </row>
  </sheetData>
  <hyperlinks>
    <hyperlink ref="A5" location="Main!A1" display="Main" xr:uid="{77F08E7E-EE40-44AB-B9E9-C8C5B5397DEC}"/>
    <hyperlink ref="A6" location="'DCF Valuation'!A1" display="DCF Valuation" xr:uid="{00E5A389-763C-8949-A7CE-D98CF7000C69}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7CF6-FCC3-BE4A-91D3-5DB98A18F2B4}">
  <dimension ref="A2:S26"/>
  <sheetViews>
    <sheetView zoomScale="98" workbookViewId="0">
      <selection activeCell="F19" sqref="F19"/>
    </sheetView>
  </sheetViews>
  <sheetFormatPr baseColWidth="10" defaultRowHeight="13"/>
  <cols>
    <col min="1" max="1" width="12.33203125" style="44" bestFit="1" customWidth="1"/>
    <col min="2" max="2" width="16" style="44" bestFit="1" customWidth="1"/>
    <col min="3" max="18" width="7.83203125" style="44" bestFit="1" customWidth="1"/>
    <col min="19" max="19" width="11" style="44" bestFit="1" customWidth="1"/>
    <col min="20" max="16384" width="10.83203125" style="44"/>
  </cols>
  <sheetData>
    <row r="2" spans="1:19" ht="18">
      <c r="A2" s="64" t="s">
        <v>163</v>
      </c>
    </row>
    <row r="3" spans="1:19">
      <c r="A3" s="44" t="s">
        <v>164</v>
      </c>
    </row>
    <row r="5" spans="1:19">
      <c r="A5" s="42" t="s">
        <v>63</v>
      </c>
    </row>
    <row r="6" spans="1:19">
      <c r="A6" s="42" t="s">
        <v>166</v>
      </c>
    </row>
    <row r="7" spans="1:19">
      <c r="A7" s="42"/>
    </row>
    <row r="8" spans="1:19">
      <c r="A8" s="42"/>
      <c r="B8" s="49" t="s">
        <v>199</v>
      </c>
    </row>
    <row r="9" spans="1:19">
      <c r="A9" s="42"/>
    </row>
    <row r="10" spans="1:19">
      <c r="C10" s="65" t="s">
        <v>174</v>
      </c>
      <c r="D10" s="100" t="s">
        <v>175</v>
      </c>
      <c r="E10" s="100" t="s">
        <v>184</v>
      </c>
      <c r="F10" s="100" t="s">
        <v>185</v>
      </c>
      <c r="G10" s="100" t="s">
        <v>186</v>
      </c>
      <c r="H10" s="100" t="s">
        <v>187</v>
      </c>
      <c r="I10" s="100" t="s">
        <v>188</v>
      </c>
      <c r="J10" s="100" t="s">
        <v>189</v>
      </c>
      <c r="K10" s="100" t="s">
        <v>190</v>
      </c>
      <c r="L10" s="100" t="s">
        <v>191</v>
      </c>
      <c r="M10" s="100" t="s">
        <v>192</v>
      </c>
      <c r="N10" s="100" t="s">
        <v>193</v>
      </c>
      <c r="O10" s="100" t="s">
        <v>194</v>
      </c>
      <c r="P10" s="100" t="s">
        <v>195</v>
      </c>
      <c r="Q10" s="100" t="s">
        <v>196</v>
      </c>
      <c r="R10" s="100" t="s">
        <v>197</v>
      </c>
      <c r="S10" s="101" t="s">
        <v>198</v>
      </c>
    </row>
    <row r="11" spans="1:19">
      <c r="C11" s="102">
        <v>2022</v>
      </c>
      <c r="D11" s="103">
        <f t="shared" ref="D11:S11" si="0">+C11+1</f>
        <v>2023</v>
      </c>
      <c r="E11" s="103">
        <f t="shared" si="0"/>
        <v>2024</v>
      </c>
      <c r="F11" s="103">
        <f t="shared" si="0"/>
        <v>2025</v>
      </c>
      <c r="G11" s="103">
        <f t="shared" si="0"/>
        <v>2026</v>
      </c>
      <c r="H11" s="103">
        <f t="shared" si="0"/>
        <v>2027</v>
      </c>
      <c r="I11" s="103">
        <f t="shared" si="0"/>
        <v>2028</v>
      </c>
      <c r="J11" s="103">
        <f t="shared" si="0"/>
        <v>2029</v>
      </c>
      <c r="K11" s="103">
        <f t="shared" si="0"/>
        <v>2030</v>
      </c>
      <c r="L11" s="103">
        <f t="shared" si="0"/>
        <v>2031</v>
      </c>
      <c r="M11" s="103">
        <f t="shared" si="0"/>
        <v>2032</v>
      </c>
      <c r="N11" s="103">
        <f t="shared" si="0"/>
        <v>2033</v>
      </c>
      <c r="O11" s="103">
        <f t="shared" si="0"/>
        <v>2034</v>
      </c>
      <c r="P11" s="103">
        <f t="shared" si="0"/>
        <v>2035</v>
      </c>
      <c r="Q11" s="103">
        <f t="shared" si="0"/>
        <v>2036</v>
      </c>
      <c r="R11" s="103">
        <f t="shared" si="0"/>
        <v>2037</v>
      </c>
      <c r="S11" s="104">
        <f t="shared" si="0"/>
        <v>2038</v>
      </c>
    </row>
    <row r="12" spans="1:19">
      <c r="B12" s="49" t="s">
        <v>170</v>
      </c>
      <c r="C12" s="9">
        <f>Model!AG24</f>
        <v>15246</v>
      </c>
      <c r="D12" s="9">
        <f>Model!AH24</f>
        <v>127571.40000000001</v>
      </c>
      <c r="E12" s="9">
        <f>Model!AI24</f>
        <v>192649.26</v>
      </c>
      <c r="F12" s="9">
        <f>Model!AJ24</f>
        <v>255314.33400000003</v>
      </c>
      <c r="G12" s="9">
        <f>Model!AK24</f>
        <v>338727.90059999999</v>
      </c>
      <c r="H12" s="9">
        <f>Model!AL24</f>
        <v>356327.61054000008</v>
      </c>
      <c r="I12" s="9">
        <f>Model!AM24</f>
        <v>360677.34948600008</v>
      </c>
      <c r="J12" s="9">
        <f>Model!AN24</f>
        <v>310742.11453740008</v>
      </c>
      <c r="K12" s="9">
        <f>Model!AO24</f>
        <v>286237.90308365994</v>
      </c>
      <c r="L12" s="9">
        <f>Model!AP24</f>
        <v>317306.61277529399</v>
      </c>
      <c r="M12" s="9">
        <f>Model!AQ24</f>
        <v>317015.95149776468</v>
      </c>
      <c r="N12" s="9">
        <f>Model!AR24</f>
        <v>367259.35634798813</v>
      </c>
      <c r="O12" s="9">
        <f>Model!AS24</f>
        <v>459930.92071318935</v>
      </c>
      <c r="P12" s="9">
        <f>Model!AT24</f>
        <v>568925.32864187041</v>
      </c>
      <c r="Q12" s="9">
        <f>Model!AU24</f>
        <v>681547.79577768338</v>
      </c>
      <c r="R12" s="9">
        <f>Model!AV24</f>
        <v>687979.61619991495</v>
      </c>
      <c r="S12" s="9">
        <f>Model!AW24</f>
        <v>71309.174579923521</v>
      </c>
    </row>
    <row r="13" spans="1:19">
      <c r="B13" s="4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B14" s="49" t="s">
        <v>176</v>
      </c>
      <c r="C14" s="9">
        <f>Model!AG31</f>
        <v>-39595.4</v>
      </c>
      <c r="D14" s="9">
        <f>Model!AH31</f>
        <v>55143.867999999995</v>
      </c>
      <c r="E14" s="9">
        <f>Model!AI31</f>
        <v>112425.10539999999</v>
      </c>
      <c r="F14" s="9">
        <f>Model!AJ31</f>
        <v>168345.91874800003</v>
      </c>
      <c r="G14" s="9">
        <f>Model!AK31</f>
        <v>242640.94764364001</v>
      </c>
      <c r="H14" s="9">
        <f>Model!AL31</f>
        <v>258021.48613664927</v>
      </c>
      <c r="I14" s="9">
        <f>Model!AM31</f>
        <v>261796.34922007873</v>
      </c>
      <c r="J14" s="9">
        <f>Model!AN31</f>
        <v>219146.65314967808</v>
      </c>
      <c r="K14" s="9">
        <f>Model!AO31</f>
        <v>197879.45754474559</v>
      </c>
      <c r="L14" s="9">
        <f>Model!AP31</f>
        <v>223653.9047459116</v>
      </c>
      <c r="M14" s="9">
        <f>Model!AQ31</f>
        <v>222608.12258907343</v>
      </c>
      <c r="N14" s="9">
        <f>Model!AR31</f>
        <v>264375.73875620606</v>
      </c>
      <c r="O14" s="9">
        <f>Model!AS31</f>
        <v>342085.83514641039</v>
      </c>
      <c r="P14" s="9">
        <f>Model!AT31</f>
        <v>433563.9049451719</v>
      </c>
      <c r="Q14" s="9">
        <f>Model!AU31</f>
        <v>528031.11246514181</v>
      </c>
      <c r="R14" s="9">
        <f>Model!AV31</f>
        <v>532150.65575489495</v>
      </c>
      <c r="S14" s="9">
        <f>Model!AW31</f>
        <v>54884.476784603408</v>
      </c>
    </row>
    <row r="15" spans="1:19">
      <c r="B15" s="4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B16" s="49" t="s">
        <v>121</v>
      </c>
      <c r="C16" s="9">
        <f>Model!AG35</f>
        <v>-40377.005000000005</v>
      </c>
      <c r="D16" s="9">
        <f>Model!AH35</f>
        <v>50208.966</v>
      </c>
      <c r="E16" s="9">
        <f>Model!AI35</f>
        <v>102665.84104799999</v>
      </c>
      <c r="F16" s="9">
        <f>Model!AJ35</f>
        <v>154842.55820006403</v>
      </c>
      <c r="G16" s="9">
        <f>Model!AK35</f>
        <v>187079.37521145097</v>
      </c>
      <c r="H16" s="9">
        <f>Model!AL35</f>
        <v>201420.96970937969</v>
      </c>
      <c r="I16" s="9">
        <f>Model!AM35</f>
        <v>207273.43156759246</v>
      </c>
      <c r="J16" s="9">
        <f>Model!AN35</f>
        <v>178395.26098830588</v>
      </c>
      <c r="K16" s="9">
        <f>Model!AO35</f>
        <v>165120.79319943109</v>
      </c>
      <c r="L16" s="9">
        <f>Model!AP35</f>
        <v>186928.44049829704</v>
      </c>
      <c r="M16" s="9">
        <f>Model!AQ35</f>
        <v>188948.03048814289</v>
      </c>
      <c r="N16" s="9">
        <f>Model!AR35</f>
        <v>223107.9630708145</v>
      </c>
      <c r="O16" s="9">
        <f>Model!AS35</f>
        <v>284737.15480952995</v>
      </c>
      <c r="P16" s="9">
        <f>Model!AT35</f>
        <v>357616.76448074408</v>
      </c>
      <c r="Q16" s="9">
        <f>Model!AU35</f>
        <v>433831.42158793268</v>
      </c>
      <c r="R16" s="9">
        <f>Model!AV35</f>
        <v>443428.5503790665</v>
      </c>
      <c r="S16" s="9">
        <f>Model!AW35</f>
        <v>92130.344407033845</v>
      </c>
    </row>
    <row r="20" spans="2:4">
      <c r="B20" s="79" t="s">
        <v>177</v>
      </c>
      <c r="C20" s="80"/>
      <c r="D20" s="97"/>
    </row>
    <row r="21" spans="2:4">
      <c r="B21" s="70" t="s">
        <v>126</v>
      </c>
      <c r="D21" s="71">
        <v>0.1</v>
      </c>
    </row>
    <row r="22" spans="2:4">
      <c r="B22" s="70" t="s">
        <v>127</v>
      </c>
      <c r="D22" s="71">
        <v>0.02</v>
      </c>
    </row>
    <row r="23" spans="2:4">
      <c r="B23" s="70" t="s">
        <v>179</v>
      </c>
      <c r="D23" s="72">
        <f>(NPV(D21,D16:S16))/1000</f>
        <v>1450.3289133473495</v>
      </c>
    </row>
    <row r="24" spans="2:4">
      <c r="B24" s="70" t="s">
        <v>178</v>
      </c>
      <c r="D24" s="72">
        <f>(NPV(D21,D16:S16)+Main!J26-Main!J27)/1000</f>
        <v>1450.4212313473495</v>
      </c>
    </row>
    <row r="25" spans="2:4">
      <c r="B25" s="70" t="s">
        <v>11</v>
      </c>
      <c r="D25" s="72">
        <f>Main!J24</f>
        <v>74.058492000000001</v>
      </c>
    </row>
    <row r="26" spans="2:4">
      <c r="B26" s="98" t="s">
        <v>180</v>
      </c>
      <c r="C26" s="74"/>
      <c r="D26" s="99">
        <f>D23/Main!J24</f>
        <v>19.583559888680281</v>
      </c>
    </row>
  </sheetData>
  <hyperlinks>
    <hyperlink ref="A5" location="Main!A1" display="Main" xr:uid="{24594825-FCA1-7B40-BAC6-5683B012DF9D}"/>
    <hyperlink ref="A6" location="Model!A1" display="Model" xr:uid="{17857592-E3A0-C346-89A2-5BE3B4CF1FF2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753-A828-4386-99A2-613746CE4CCE}">
  <dimension ref="A1:C29"/>
  <sheetViews>
    <sheetView workbookViewId="0">
      <selection activeCell="C9" sqref="C9"/>
    </sheetView>
  </sheetViews>
  <sheetFormatPr baseColWidth="10" defaultColWidth="9.1640625" defaultRowHeight="13"/>
  <cols>
    <col min="1" max="1" width="5" style="44" bestFit="1" customWidth="1"/>
    <col min="2" max="2" width="12" style="44" bestFit="1" customWidth="1"/>
    <col min="3" max="3" width="9.5" style="44" bestFit="1" customWidth="1"/>
    <col min="4" max="16384" width="9.1640625" style="44"/>
  </cols>
  <sheetData>
    <row r="1" spans="1:3">
      <c r="A1" s="42" t="s">
        <v>63</v>
      </c>
    </row>
    <row r="2" spans="1:3">
      <c r="B2" s="44" t="s">
        <v>0</v>
      </c>
      <c r="C2" s="44" t="s">
        <v>100</v>
      </c>
    </row>
    <row r="3" spans="1:3">
      <c r="B3" s="44" t="s">
        <v>1</v>
      </c>
      <c r="C3" s="44" t="s">
        <v>8</v>
      </c>
    </row>
    <row r="4" spans="1:3">
      <c r="B4" s="44" t="s">
        <v>3</v>
      </c>
      <c r="C4" s="44" t="s">
        <v>101</v>
      </c>
    </row>
    <row r="5" spans="1:3">
      <c r="B5" s="44" t="s">
        <v>102</v>
      </c>
      <c r="C5" s="44" t="s">
        <v>103</v>
      </c>
    </row>
    <row r="6" spans="1:3">
      <c r="B6" s="44" t="s">
        <v>4</v>
      </c>
      <c r="C6" s="44" t="s">
        <v>10</v>
      </c>
    </row>
    <row r="7" spans="1:3">
      <c r="B7" s="44" t="s">
        <v>5</v>
      </c>
      <c r="C7" s="44" t="s">
        <v>104</v>
      </c>
    </row>
    <row r="8" spans="1:3">
      <c r="C8" s="44" t="s">
        <v>105</v>
      </c>
    </row>
    <row r="9" spans="1:3">
      <c r="C9" s="44" t="s">
        <v>106</v>
      </c>
    </row>
    <row r="10" spans="1:3">
      <c r="C10" s="44" t="s">
        <v>130</v>
      </c>
    </row>
    <row r="11" spans="1:3">
      <c r="C11" s="44" t="s">
        <v>131</v>
      </c>
    </row>
    <row r="12" spans="1:3">
      <c r="C12" s="44" t="s">
        <v>107</v>
      </c>
    </row>
    <row r="13" spans="1:3">
      <c r="C13" s="44" t="s">
        <v>129</v>
      </c>
    </row>
    <row r="15" spans="1:3">
      <c r="C15" s="44" t="s">
        <v>108</v>
      </c>
    </row>
    <row r="16" spans="1:3">
      <c r="C16" s="44" t="s">
        <v>109</v>
      </c>
    </row>
    <row r="17" spans="2:3">
      <c r="C17" s="44" t="s">
        <v>110</v>
      </c>
    </row>
    <row r="18" spans="2:3">
      <c r="C18" s="44" t="s">
        <v>111</v>
      </c>
    </row>
    <row r="19" spans="2:3">
      <c r="C19" s="44" t="s">
        <v>112</v>
      </c>
    </row>
    <row r="20" spans="2:3">
      <c r="C20" s="44" t="s">
        <v>113</v>
      </c>
    </row>
    <row r="22" spans="2:3">
      <c r="C22" s="44" t="s">
        <v>128</v>
      </c>
    </row>
    <row r="24" spans="2:3">
      <c r="C24" s="105" t="s">
        <v>114</v>
      </c>
    </row>
    <row r="25" spans="2:3">
      <c r="C25" s="44" t="s">
        <v>115</v>
      </c>
    </row>
    <row r="27" spans="2:3">
      <c r="B27" s="44" t="s">
        <v>116</v>
      </c>
    </row>
    <row r="28" spans="2:3">
      <c r="C28" s="105" t="s">
        <v>117</v>
      </c>
    </row>
    <row r="29" spans="2:3">
      <c r="C29" s="44" t="s">
        <v>118</v>
      </c>
    </row>
  </sheetData>
  <hyperlinks>
    <hyperlink ref="A1" location="Main!A1" display="Main" xr:uid="{F7FB5C6B-5E16-4B3B-91E0-D96629ADD19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Main</vt:lpstr>
      <vt:lpstr>Model</vt:lpstr>
      <vt:lpstr>NPV Valuation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Shkreli</dc:creator>
  <cp:keywords/>
  <dc:description/>
  <cp:lastModifiedBy>WS</cp:lastModifiedBy>
  <cp:revision/>
  <dcterms:created xsi:type="dcterms:W3CDTF">2022-06-06T14:46:18Z</dcterms:created>
  <dcterms:modified xsi:type="dcterms:W3CDTF">2022-09-07T20:46:46Z</dcterms:modified>
  <cp:category/>
  <cp:contentStatus/>
</cp:coreProperties>
</file>