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/Documents/WhiteSky/Models/"/>
    </mc:Choice>
  </mc:AlternateContent>
  <xr:revisionPtr revIDLastSave="0" documentId="13_ncr:1_{DBB3CEDC-A149-584A-A133-FCE5FB864413}" xr6:coauthVersionLast="47" xr6:coauthVersionMax="47" xr10:uidLastSave="{00000000-0000-0000-0000-000000000000}"/>
  <bookViews>
    <workbookView xWindow="260" yWindow="1400" windowWidth="27240" windowHeight="18240" activeTab="1" xr2:uid="{84E2C13F-4787-A140-9D35-E8E0D58E8EEB}"/>
  </bookViews>
  <sheets>
    <sheet name="Main" sheetId="1" r:id="rId1"/>
    <sheet name="Model" sheetId="2" r:id="rId2"/>
    <sheet name="Drivers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7" i="2" l="1"/>
  <c r="N7" i="2"/>
  <c r="N21" i="2"/>
  <c r="N11" i="2"/>
  <c r="N12" i="2" s="1"/>
  <c r="N5" i="2"/>
  <c r="N36" i="2"/>
  <c r="N31" i="2"/>
  <c r="N37" i="2" s="1"/>
  <c r="N39" i="2" s="1"/>
  <c r="N42" i="2" s="1"/>
  <c r="F11" i="2"/>
  <c r="F12" i="2" s="1"/>
  <c r="G11" i="2"/>
  <c r="G12" i="2" s="1"/>
  <c r="K7" i="2"/>
  <c r="F21" i="2"/>
  <c r="F5" i="2" s="1"/>
  <c r="F36" i="2"/>
  <c r="F31" i="2"/>
  <c r="F32" i="2" s="1"/>
  <c r="G88" i="2"/>
  <c r="G79" i="2"/>
  <c r="G82" i="2" s="1"/>
  <c r="H79" i="2"/>
  <c r="H82" i="2" s="1"/>
  <c r="G68" i="2"/>
  <c r="G73" i="2" s="1"/>
  <c r="L18" i="3"/>
  <c r="G15" i="3"/>
  <c r="K18" i="3" s="1"/>
  <c r="H88" i="2"/>
  <c r="I68" i="2"/>
  <c r="J68" i="2"/>
  <c r="K68" i="2"/>
  <c r="L68" i="2"/>
  <c r="M68" i="2"/>
  <c r="H68" i="2"/>
  <c r="H73" i="2" s="1"/>
  <c r="G9" i="2" l="1"/>
  <c r="J7" i="2"/>
  <c r="N32" i="2"/>
  <c r="F37" i="2"/>
  <c r="F39" i="2" s="1"/>
  <c r="F42" i="2" s="1"/>
  <c r="G90" i="2"/>
  <c r="G91" i="2" s="1"/>
  <c r="H90" i="2"/>
  <c r="H91" i="2" s="1"/>
  <c r="I113" i="2"/>
  <c r="I121" i="2"/>
  <c r="I88" i="2"/>
  <c r="I79" i="2"/>
  <c r="I82" i="2" s="1"/>
  <c r="I90" i="2" s="1"/>
  <c r="I73" i="2"/>
  <c r="J121" i="2"/>
  <c r="K121" i="2"/>
  <c r="L121" i="2"/>
  <c r="M121" i="2"/>
  <c r="H121" i="2"/>
  <c r="G121" i="2"/>
  <c r="G113" i="2"/>
  <c r="J113" i="2"/>
  <c r="K113" i="2"/>
  <c r="L113" i="2"/>
  <c r="M113" i="2"/>
  <c r="H113" i="2"/>
  <c r="L88" i="2"/>
  <c r="L79" i="2"/>
  <c r="L82" i="2" s="1"/>
  <c r="L73" i="2"/>
  <c r="K88" i="2"/>
  <c r="K79" i="2"/>
  <c r="K82" i="2" s="1"/>
  <c r="K73" i="2"/>
  <c r="L52" i="2"/>
  <c r="K52" i="2"/>
  <c r="M52" i="2"/>
  <c r="D9" i="1"/>
  <c r="D10" i="1" s="1"/>
  <c r="D5" i="1"/>
  <c r="D6" i="1" s="1"/>
  <c r="H11" i="2"/>
  <c r="I11" i="2"/>
  <c r="K11" i="2"/>
  <c r="L11" i="2"/>
  <c r="L12" i="2" s="1"/>
  <c r="M11" i="2"/>
  <c r="M5" i="2"/>
  <c r="L5" i="2"/>
  <c r="P7" i="2" s="1"/>
  <c r="K5" i="2"/>
  <c r="K8" i="2" s="1"/>
  <c r="I5" i="2"/>
  <c r="M7" i="2" s="1"/>
  <c r="H5" i="2"/>
  <c r="H9" i="2" s="1"/>
  <c r="R29" i="3"/>
  <c r="S29" i="3" s="1"/>
  <c r="T29" i="3" s="1"/>
  <c r="U29" i="3" s="1"/>
  <c r="V29" i="3" s="1"/>
  <c r="W29" i="3" s="1"/>
  <c r="X29" i="3" s="1"/>
  <c r="Y29" i="3" s="1"/>
  <c r="Q7" i="2" l="1"/>
  <c r="N9" i="2"/>
  <c r="N13" i="2"/>
  <c r="O8" i="2" s="1"/>
  <c r="L90" i="2"/>
  <c r="I91" i="2"/>
  <c r="K90" i="2"/>
  <c r="K91" i="2" s="1"/>
  <c r="L91" i="2"/>
  <c r="D14" i="1"/>
  <c r="L9" i="2"/>
  <c r="M9" i="2"/>
  <c r="M8" i="2"/>
  <c r="O7" i="2"/>
  <c r="K12" i="2"/>
  <c r="I12" i="2"/>
  <c r="H12" i="2"/>
  <c r="M12" i="2"/>
  <c r="K15" i="3"/>
  <c r="M23" i="3"/>
  <c r="T26" i="3" s="1"/>
  <c r="L7" i="2"/>
  <c r="L8" i="2" s="1"/>
  <c r="I9" i="2"/>
  <c r="I23" i="3"/>
  <c r="M26" i="3" s="1"/>
  <c r="L23" i="3"/>
  <c r="L30" i="3" s="1"/>
  <c r="K23" i="3"/>
  <c r="K30" i="3" s="1"/>
  <c r="I15" i="3"/>
  <c r="M18" i="3" s="1"/>
  <c r="M15" i="3"/>
  <c r="L15" i="3"/>
  <c r="O35" i="2"/>
  <c r="P35" i="2" s="1"/>
  <c r="Q35" i="2" s="1"/>
  <c r="R35" i="2" s="1"/>
  <c r="S35" i="2" s="1"/>
  <c r="T35" i="2" s="1"/>
  <c r="U35" i="2" s="1"/>
  <c r="V35" i="2" s="1"/>
  <c r="I48" i="2"/>
  <c r="L48" i="2"/>
  <c r="M48" i="2"/>
  <c r="H48" i="2"/>
  <c r="M49" i="2"/>
  <c r="H49" i="2"/>
  <c r="I49" i="2"/>
  <c r="G49" i="2"/>
  <c r="L49" i="2"/>
  <c r="K49" i="2"/>
  <c r="I21" i="2"/>
  <c r="K21" i="2"/>
  <c r="L21" i="2"/>
  <c r="M21" i="2"/>
  <c r="G21" i="2"/>
  <c r="H21" i="2"/>
  <c r="Z36" i="2"/>
  <c r="AA36" i="2"/>
  <c r="Z31" i="2"/>
  <c r="Z32" i="2" s="1"/>
  <c r="AA31" i="2"/>
  <c r="AA32" i="2" s="1"/>
  <c r="Y31" i="2"/>
  <c r="Y32" i="2" s="1"/>
  <c r="Y36" i="2"/>
  <c r="H36" i="2"/>
  <c r="I36" i="2"/>
  <c r="K36" i="2"/>
  <c r="L36" i="2"/>
  <c r="M36" i="2"/>
  <c r="G36" i="2"/>
  <c r="H31" i="2"/>
  <c r="H32" i="2" s="1"/>
  <c r="I31" i="2"/>
  <c r="I32" i="2" s="1"/>
  <c r="K31" i="2"/>
  <c r="K32" i="2" s="1"/>
  <c r="L31" i="2"/>
  <c r="L32" i="2" s="1"/>
  <c r="M31" i="2"/>
  <c r="M25" i="2" l="1"/>
  <c r="R18" i="3"/>
  <c r="K19" i="3"/>
  <c r="L25" i="2"/>
  <c r="K25" i="2"/>
  <c r="I30" i="3"/>
  <c r="I36" i="3"/>
  <c r="I37" i="3" s="1"/>
  <c r="R26" i="3"/>
  <c r="M27" i="3"/>
  <c r="M31" i="3" s="1"/>
  <c r="M30" i="3"/>
  <c r="M36" i="3"/>
  <c r="M37" i="3" s="1"/>
  <c r="K36" i="3"/>
  <c r="K37" i="3" s="1"/>
  <c r="L36" i="3"/>
  <c r="L37" i="3" s="1"/>
  <c r="S26" i="3"/>
  <c r="M19" i="3"/>
  <c r="T18" i="3"/>
  <c r="L19" i="3"/>
  <c r="S18" i="3"/>
  <c r="O34" i="2"/>
  <c r="O11" i="2" s="1"/>
  <c r="O13" i="2" s="1"/>
  <c r="P8" i="2" s="1"/>
  <c r="O33" i="2"/>
  <c r="M22" i="2"/>
  <c r="Z37" i="2"/>
  <c r="M37" i="2"/>
  <c r="L37" i="2"/>
  <c r="L39" i="2" s="1"/>
  <c r="L42" i="2" s="1"/>
  <c r="L95" i="2" s="1"/>
  <c r="L107" i="2" s="1"/>
  <c r="L123" i="2" s="1"/>
  <c r="AA37" i="2"/>
  <c r="Y37" i="2"/>
  <c r="M32" i="2"/>
  <c r="K37" i="2"/>
  <c r="K39" i="2" s="1"/>
  <c r="K42" i="2" s="1"/>
  <c r="K95" i="2" s="1"/>
  <c r="K107" i="2" s="1"/>
  <c r="K123" i="2" s="1"/>
  <c r="I37" i="2"/>
  <c r="I39" i="2" s="1"/>
  <c r="I42" i="2" s="1"/>
  <c r="I95" i="2" s="1"/>
  <c r="I107" i="2" s="1"/>
  <c r="I123" i="2" s="1"/>
  <c r="H37" i="2"/>
  <c r="H39" i="2" s="1"/>
  <c r="H42" i="2" s="1"/>
  <c r="H95" i="2" s="1"/>
  <c r="H107" i="2" s="1"/>
  <c r="H123" i="2" s="1"/>
  <c r="I22" i="2"/>
  <c r="H44" i="2"/>
  <c r="AA38" i="2"/>
  <c r="Z38" i="2"/>
  <c r="Y38" i="2"/>
  <c r="J30" i="2"/>
  <c r="J33" i="2"/>
  <c r="J34" i="2"/>
  <c r="J11" i="2" s="1"/>
  <c r="J13" i="2" s="1"/>
  <c r="J40" i="2"/>
  <c r="J43" i="2"/>
  <c r="M26" i="2" l="1"/>
  <c r="M39" i="2"/>
  <c r="M42" i="2" s="1"/>
  <c r="M95" i="2" s="1"/>
  <c r="M107" i="2" s="1"/>
  <c r="M123" i="2" s="1"/>
  <c r="D11" i="1"/>
  <c r="D15" i="1" s="1"/>
  <c r="K14" i="2"/>
  <c r="K13" i="2"/>
  <c r="L13" i="2"/>
  <c r="M14" i="2" s="1"/>
  <c r="M13" i="2"/>
  <c r="P34" i="2"/>
  <c r="P11" i="2" s="1"/>
  <c r="P13" i="2" s="1"/>
  <c r="O36" i="2"/>
  <c r="P33" i="2"/>
  <c r="J48" i="2"/>
  <c r="K48" i="2"/>
  <c r="Z39" i="2"/>
  <c r="Z42" i="2" s="1"/>
  <c r="K22" i="2"/>
  <c r="M23" i="2"/>
  <c r="L22" i="2"/>
  <c r="Y39" i="2"/>
  <c r="Y42" i="2" s="1"/>
  <c r="AA39" i="2"/>
  <c r="AA42" i="2" s="1"/>
  <c r="J36" i="2"/>
  <c r="J73" i="2"/>
  <c r="M73" i="2"/>
  <c r="M79" i="2"/>
  <c r="M82" i="2" s="1"/>
  <c r="J79" i="2"/>
  <c r="J82" i="2" s="1"/>
  <c r="M88" i="2"/>
  <c r="J88" i="2"/>
  <c r="Q34" i="2" l="1"/>
  <c r="Q11" i="2" s="1"/>
  <c r="Q13" i="2" s="1"/>
  <c r="P36" i="2"/>
  <c r="Q33" i="2"/>
  <c r="L23" i="2"/>
  <c r="K23" i="2"/>
  <c r="I23" i="2"/>
  <c r="M27" i="2" s="1"/>
  <c r="M90" i="2"/>
  <c r="M91" i="2" s="1"/>
  <c r="J90" i="2"/>
  <c r="J91" i="2" s="1"/>
  <c r="G31" i="2"/>
  <c r="R34" i="2" l="1"/>
  <c r="R11" i="2" s="1"/>
  <c r="R13" i="2" s="1"/>
  <c r="Q36" i="2"/>
  <c r="R33" i="2"/>
  <c r="G32" i="2"/>
  <c r="G37" i="2"/>
  <c r="G39" i="2" s="1"/>
  <c r="G42" i="2" s="1"/>
  <c r="G95" i="2" s="1"/>
  <c r="G107" i="2" s="1"/>
  <c r="G123" i="2" s="1"/>
  <c r="J29" i="2"/>
  <c r="J5" i="2" l="1"/>
  <c r="J12" i="2"/>
  <c r="S34" i="2"/>
  <c r="S11" i="2" s="1"/>
  <c r="S13" i="2" s="1"/>
  <c r="S33" i="2"/>
  <c r="R36" i="2"/>
  <c r="J21" i="2"/>
  <c r="N25" i="2" s="1"/>
  <c r="J49" i="2"/>
  <c r="J31" i="2"/>
  <c r="N8" i="2" l="1"/>
  <c r="N14" i="2" s="1"/>
  <c r="J8" i="2"/>
  <c r="J23" i="3"/>
  <c r="J36" i="3" s="1"/>
  <c r="J37" i="3" s="1"/>
  <c r="J15" i="3"/>
  <c r="N18" i="3" s="1"/>
  <c r="J9" i="2"/>
  <c r="L14" i="2"/>
  <c r="K9" i="2"/>
  <c r="T34" i="2"/>
  <c r="T11" i="2" s="1"/>
  <c r="T13" i="2" s="1"/>
  <c r="T33" i="2"/>
  <c r="S36" i="2"/>
  <c r="J37" i="2"/>
  <c r="J39" i="2" s="1"/>
  <c r="J42" i="2" s="1"/>
  <c r="J95" i="2" s="1"/>
  <c r="J107" i="2" s="1"/>
  <c r="J123" i="2" s="1"/>
  <c r="J32" i="2"/>
  <c r="N26" i="3" l="1"/>
  <c r="J30" i="3"/>
  <c r="R7" i="2"/>
  <c r="N15" i="3"/>
  <c r="N23" i="3"/>
  <c r="N22" i="2" s="1"/>
  <c r="U34" i="2"/>
  <c r="U11" i="2" s="1"/>
  <c r="U13" i="2" s="1"/>
  <c r="U33" i="2"/>
  <c r="T36" i="2"/>
  <c r="J22" i="2"/>
  <c r="N26" i="2" l="1"/>
  <c r="N27" i="3"/>
  <c r="N31" i="3" s="1"/>
  <c r="AB29" i="2"/>
  <c r="N36" i="3"/>
  <c r="N23" i="2" s="1"/>
  <c r="U26" i="3"/>
  <c r="N30" i="3"/>
  <c r="U18" i="3"/>
  <c r="N19" i="3"/>
  <c r="O5" i="2"/>
  <c r="O9" i="2" s="1"/>
  <c r="V34" i="2"/>
  <c r="V11" i="2" s="1"/>
  <c r="V13" i="2" s="1"/>
  <c r="U36" i="2"/>
  <c r="V33" i="2"/>
  <c r="J23" i="2"/>
  <c r="N27" i="2" l="1"/>
  <c r="AB21" i="2"/>
  <c r="AB30" i="2"/>
  <c r="N37" i="3"/>
  <c r="O29" i="2"/>
  <c r="O52" i="2" s="1"/>
  <c r="R15" i="3"/>
  <c r="R23" i="3"/>
  <c r="S7" i="2"/>
  <c r="V36" i="2"/>
  <c r="R36" i="3" l="1"/>
  <c r="V26" i="3"/>
  <c r="R30" i="3"/>
  <c r="R27" i="3"/>
  <c r="R31" i="3" s="1"/>
  <c r="O22" i="2"/>
  <c r="O26" i="2" s="1"/>
  <c r="O21" i="2"/>
  <c r="O25" i="2" s="1"/>
  <c r="O49" i="2"/>
  <c r="P5" i="2"/>
  <c r="O30" i="2"/>
  <c r="O12" i="2"/>
  <c r="V18" i="3"/>
  <c r="R19" i="3"/>
  <c r="O31" i="2" l="1"/>
  <c r="O37" i="2" s="1"/>
  <c r="O39" i="2" s="1"/>
  <c r="O42" i="2" s="1"/>
  <c r="P29" i="2"/>
  <c r="P52" i="2" s="1"/>
  <c r="S23" i="3"/>
  <c r="S15" i="3"/>
  <c r="P9" i="2"/>
  <c r="T7" i="2"/>
  <c r="R37" i="3"/>
  <c r="O23" i="2"/>
  <c r="O27" i="2" s="1"/>
  <c r="W18" i="3" l="1"/>
  <c r="S19" i="3"/>
  <c r="S36" i="3"/>
  <c r="P22" i="2"/>
  <c r="P26" i="2" s="1"/>
  <c r="S30" i="3"/>
  <c r="W26" i="3"/>
  <c r="S27" i="3"/>
  <c r="S31" i="3" s="1"/>
  <c r="P49" i="2"/>
  <c r="P30" i="2"/>
  <c r="P12" i="2"/>
  <c r="Q8" i="2"/>
  <c r="Q5" i="2" s="1"/>
  <c r="P21" i="2"/>
  <c r="P25" i="2" s="1"/>
  <c r="P31" i="2" l="1"/>
  <c r="P37" i="2" s="1"/>
  <c r="P39" i="2" s="1"/>
  <c r="P42" i="2" s="1"/>
  <c r="S37" i="3"/>
  <c r="P23" i="2"/>
  <c r="P27" i="2" s="1"/>
  <c r="T23" i="3"/>
  <c r="T36" i="3" s="1"/>
  <c r="Q29" i="2"/>
  <c r="Q52" i="2" s="1"/>
  <c r="T15" i="3"/>
  <c r="Q9" i="2"/>
  <c r="U7" i="2"/>
  <c r="T37" i="3" l="1"/>
  <c r="Q23" i="2"/>
  <c r="Q27" i="2" s="1"/>
  <c r="T19" i="3"/>
  <c r="X18" i="3"/>
  <c r="Q49" i="2"/>
  <c r="Q21" i="2"/>
  <c r="Q25" i="2" s="1"/>
  <c r="Q30" i="2"/>
  <c r="Q12" i="2"/>
  <c r="R8" i="2"/>
  <c r="R5" i="2" s="1"/>
  <c r="R9" i="2" s="1"/>
  <c r="Q22" i="2"/>
  <c r="Q26" i="2" s="1"/>
  <c r="X26" i="3"/>
  <c r="T27" i="3"/>
  <c r="T31" i="3" s="1"/>
  <c r="T30" i="3"/>
  <c r="Q31" i="2" l="1"/>
  <c r="Q37" i="2" s="1"/>
  <c r="Q39" i="2" s="1"/>
  <c r="Q42" i="2" s="1"/>
  <c r="R29" i="2"/>
  <c r="U15" i="3"/>
  <c r="U23" i="3"/>
  <c r="U36" i="3" s="1"/>
  <c r="V7" i="2"/>
  <c r="AC29" i="2" l="1"/>
  <c r="R52" i="2"/>
  <c r="U37" i="3"/>
  <c r="R23" i="2"/>
  <c r="R27" i="2" s="1"/>
  <c r="U19" i="3"/>
  <c r="Y18" i="3"/>
  <c r="R22" i="2"/>
  <c r="R26" i="2" s="1"/>
  <c r="Y26" i="3"/>
  <c r="U30" i="3"/>
  <c r="U27" i="3"/>
  <c r="U31" i="3" s="1"/>
  <c r="R49" i="2"/>
  <c r="R12" i="2"/>
  <c r="S8" i="2"/>
  <c r="S5" i="2" s="1"/>
  <c r="R21" i="2"/>
  <c r="R30" i="2"/>
  <c r="R31" i="2" l="1"/>
  <c r="R37" i="2" s="1"/>
  <c r="R39" i="2" s="1"/>
  <c r="R42" i="2" s="1"/>
  <c r="AC30" i="2"/>
  <c r="R25" i="2"/>
  <c r="AC21" i="2"/>
  <c r="S9" i="2"/>
  <c r="V23" i="3"/>
  <c r="V36" i="3" s="1"/>
  <c r="V15" i="3"/>
  <c r="V19" i="3" s="1"/>
  <c r="S29" i="2"/>
  <c r="S52" i="2" s="1"/>
  <c r="V37" i="3" l="1"/>
  <c r="S23" i="2"/>
  <c r="S27" i="2" s="1"/>
  <c r="S21" i="2"/>
  <c r="S25" i="2" s="1"/>
  <c r="S12" i="2"/>
  <c r="T8" i="2"/>
  <c r="T5" i="2" s="1"/>
  <c r="S30" i="2"/>
  <c r="S49" i="2"/>
  <c r="S22" i="2"/>
  <c r="S26" i="2" s="1"/>
  <c r="V30" i="3"/>
  <c r="V27" i="3"/>
  <c r="V31" i="3" s="1"/>
  <c r="S31" i="2" l="1"/>
  <c r="S37" i="2" s="1"/>
  <c r="S39" i="2" s="1"/>
  <c r="S42" i="2" s="1"/>
  <c r="T29" i="2"/>
  <c r="T52" i="2" s="1"/>
  <c r="W15" i="3"/>
  <c r="W19" i="3" s="1"/>
  <c r="W23" i="3"/>
  <c r="W36" i="3" s="1"/>
  <c r="T9" i="2"/>
  <c r="W37" i="3" l="1"/>
  <c r="T23" i="2"/>
  <c r="T27" i="2" s="1"/>
  <c r="W27" i="3"/>
  <c r="W31" i="3" s="1"/>
  <c r="W30" i="3"/>
  <c r="T22" i="2"/>
  <c r="T26" i="2" s="1"/>
  <c r="T49" i="2"/>
  <c r="T30" i="2"/>
  <c r="T12" i="2"/>
  <c r="T21" i="2"/>
  <c r="T25" i="2" s="1"/>
  <c r="U8" i="2"/>
  <c r="U5" i="2" s="1"/>
  <c r="T31" i="2" l="1"/>
  <c r="T37" i="2" s="1"/>
  <c r="T39" i="2" s="1"/>
  <c r="T42" i="2" s="1"/>
  <c r="U29" i="2"/>
  <c r="U52" i="2" s="1"/>
  <c r="X15" i="3"/>
  <c r="X19" i="3" s="1"/>
  <c r="X23" i="3"/>
  <c r="U9" i="2"/>
  <c r="X36" i="3" l="1"/>
  <c r="X27" i="3"/>
  <c r="X31" i="3" s="1"/>
  <c r="U22" i="2"/>
  <c r="U26" i="2" s="1"/>
  <c r="X30" i="3"/>
  <c r="U49" i="2"/>
  <c r="U30" i="2"/>
  <c r="U12" i="2"/>
  <c r="U21" i="2"/>
  <c r="U25" i="2" s="1"/>
  <c r="V8" i="2"/>
  <c r="V5" i="2" s="1"/>
  <c r="V29" i="2" s="1"/>
  <c r="AD29" i="2" l="1"/>
  <c r="V52" i="2"/>
  <c r="U31" i="2"/>
  <c r="U37" i="2" s="1"/>
  <c r="U39" i="2" s="1"/>
  <c r="U42" i="2" s="1"/>
  <c r="Y15" i="3"/>
  <c r="Y19" i="3" s="1"/>
  <c r="V9" i="2"/>
  <c r="Y23" i="3"/>
  <c r="X37" i="3"/>
  <c r="U23" i="2"/>
  <c r="U27" i="2" s="1"/>
  <c r="Y36" i="3" l="1"/>
  <c r="Y30" i="3"/>
  <c r="Y27" i="3"/>
  <c r="Y31" i="3" s="1"/>
  <c r="V22" i="2"/>
  <c r="V26" i="2" s="1"/>
  <c r="V30" i="2"/>
  <c r="V49" i="2"/>
  <c r="V12" i="2"/>
  <c r="V21" i="2"/>
  <c r="V25" i="2" l="1"/>
  <c r="AD21" i="2"/>
  <c r="V31" i="2"/>
  <c r="V37" i="2" s="1"/>
  <c r="V39" i="2" s="1"/>
  <c r="V42" i="2" s="1"/>
  <c r="AD30" i="2"/>
  <c r="Y37" i="3"/>
  <c r="V23" i="2"/>
  <c r="V2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</author>
  </authors>
  <commentList>
    <comment ref="A6" authorId="0" shapeId="0" xr:uid="{0EDBE3BA-38F9-6D4B-B5A6-97FD074BF221}">
      <text>
        <r>
          <rPr>
            <b/>
            <sz val="10"/>
            <color rgb="FF000000"/>
            <rFont val="Tahoma"/>
            <family val="2"/>
          </rPr>
          <t>WS: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Includes Upsells, Churn, contraction for exisitng customers on a rolling LTM basis
</t>
        </r>
      </text>
    </comment>
  </commentList>
</comments>
</file>

<file path=xl/sharedStrings.xml><?xml version="1.0" encoding="utf-8"?>
<sst xmlns="http://schemas.openxmlformats.org/spreadsheetml/2006/main" count="165" uniqueCount="144">
  <si>
    <t>Net Dollar Rentention Rate</t>
  </si>
  <si>
    <t>2Q22</t>
  </si>
  <si>
    <t>FY22</t>
  </si>
  <si>
    <t>1Q22</t>
  </si>
  <si>
    <t>4Q21</t>
  </si>
  <si>
    <t>3Q21</t>
  </si>
  <si>
    <t>FY21</t>
  </si>
  <si>
    <t>FY20</t>
  </si>
  <si>
    <t>FY19</t>
  </si>
  <si>
    <t>2Q21</t>
  </si>
  <si>
    <t>1Q21</t>
  </si>
  <si>
    <t>4Q20</t>
  </si>
  <si>
    <t>3Q20</t>
  </si>
  <si>
    <t>2Q20</t>
  </si>
  <si>
    <t>1Q20</t>
  </si>
  <si>
    <t>4Q19</t>
  </si>
  <si>
    <t>Revenue</t>
  </si>
  <si>
    <t>Cost of Revenue</t>
  </si>
  <si>
    <t>R&amp;D</t>
  </si>
  <si>
    <t>S&amp;M</t>
  </si>
  <si>
    <t>G&amp;A</t>
  </si>
  <si>
    <t>Tax</t>
  </si>
  <si>
    <t>Reported Net Income</t>
  </si>
  <si>
    <t>DA</t>
  </si>
  <si>
    <t>SBC</t>
  </si>
  <si>
    <t>Purchase of PPE</t>
  </si>
  <si>
    <t>Capex</t>
  </si>
  <si>
    <t>Net Cash</t>
  </si>
  <si>
    <t>Cash Beginning</t>
  </si>
  <si>
    <t>Cash End</t>
  </si>
  <si>
    <t>Loss on Sale of PPE</t>
  </si>
  <si>
    <t>AP</t>
  </si>
  <si>
    <t>Deferred Revenue</t>
  </si>
  <si>
    <t>Offering Costs</t>
  </si>
  <si>
    <t>Tax Advance from Options</t>
  </si>
  <si>
    <t>Capital Lease Payments</t>
  </si>
  <si>
    <t>Net Income</t>
  </si>
  <si>
    <t>3Q22</t>
  </si>
  <si>
    <t>Enterprise Customers (+$50k ACV)</t>
  </si>
  <si>
    <t>ARR % from Customers +10 Users</t>
  </si>
  <si>
    <t>ARR% from Enterprise Users</t>
  </si>
  <si>
    <t>Consolidated Balance Sheet</t>
  </si>
  <si>
    <t>Cash &amp; Equivalents</t>
  </si>
  <si>
    <t>Net AR</t>
  </si>
  <si>
    <t>PE &amp; Other</t>
  </si>
  <si>
    <t>Total Current Assets</t>
  </si>
  <si>
    <t>Net PPE</t>
  </si>
  <si>
    <t>Other</t>
  </si>
  <si>
    <t>Total Assets</t>
  </si>
  <si>
    <t>AE &amp; Other</t>
  </si>
  <si>
    <t>Operating Lease Assets</t>
  </si>
  <si>
    <t>Operating Lease Liabilities</t>
  </si>
  <si>
    <t>Total Current Liabilities</t>
  </si>
  <si>
    <t>Other Non-Current Liabilities</t>
  </si>
  <si>
    <t>Total Liabillities</t>
  </si>
  <si>
    <t>Other Comprehensive</t>
  </si>
  <si>
    <t>Share Capital &amp; APIC</t>
  </si>
  <si>
    <t>Accumulated Deficit</t>
  </si>
  <si>
    <t>Total SE</t>
  </si>
  <si>
    <t>SE &amp; Liabilities</t>
  </si>
  <si>
    <t>Check</t>
  </si>
  <si>
    <t>Change in Accrued Interest</t>
  </si>
  <si>
    <t>Change in AR</t>
  </si>
  <si>
    <t>Change in PE</t>
  </si>
  <si>
    <t>Change in AP</t>
  </si>
  <si>
    <t>Change in AE</t>
  </si>
  <si>
    <t>Change in Deferred Revenue</t>
  </si>
  <si>
    <t>Change in Operating Assets &amp; Liabilities</t>
  </si>
  <si>
    <t>Repayment of Credit Facility</t>
  </si>
  <si>
    <t>Changes in Short Term Deposits</t>
  </si>
  <si>
    <t>Interest Income (Expense)</t>
  </si>
  <si>
    <t>ARR</t>
  </si>
  <si>
    <t>Enterprise User Segment (+$50k ARR)</t>
  </si>
  <si>
    <t>ARR from Customers +10 Users</t>
  </si>
  <si>
    <t>Enterprise ARR</t>
  </si>
  <si>
    <t>+10 Users NDR</t>
  </si>
  <si>
    <t>Existing Enterprise ARR</t>
  </si>
  <si>
    <t>New Enterprise ARR</t>
  </si>
  <si>
    <t>Average ARR per Enterprise Customer</t>
  </si>
  <si>
    <t>10+ User Segment</t>
  </si>
  <si>
    <t>Existing +10 User ARR</t>
  </si>
  <si>
    <t>New +10 User ARR</t>
  </si>
  <si>
    <t>Enterprise Customer NDR</t>
  </si>
  <si>
    <t>Non-Enterprise User Segment</t>
  </si>
  <si>
    <t>Gross Margin</t>
  </si>
  <si>
    <t>Gross Profit</t>
  </si>
  <si>
    <t>Total Operating Expense</t>
  </si>
  <si>
    <t>EBIT</t>
  </si>
  <si>
    <t>EBT</t>
  </si>
  <si>
    <t>Non-Enterprise ARR</t>
  </si>
  <si>
    <t>ARR % from Non-Enterprise Users</t>
  </si>
  <si>
    <t>Non-Enterprise Customer NDR</t>
  </si>
  <si>
    <t>Existing Non-Enterprise ARR</t>
  </si>
  <si>
    <t>New Non-Enterprise ARR</t>
  </si>
  <si>
    <t>Annual Recurring Revenue (ARR)</t>
  </si>
  <si>
    <t>Non-Enterprise Revenue</t>
  </si>
  <si>
    <t>Enterprise Revenue</t>
  </si>
  <si>
    <t>4Q22</t>
  </si>
  <si>
    <t>1Q23</t>
  </si>
  <si>
    <t>3Q23</t>
  </si>
  <si>
    <t>4Q23</t>
  </si>
  <si>
    <t>2Q23</t>
  </si>
  <si>
    <t>1Q24</t>
  </si>
  <si>
    <t>2Q24</t>
  </si>
  <si>
    <t>3Q24</t>
  </si>
  <si>
    <t>4Q24</t>
  </si>
  <si>
    <t>S&amp;M Spend</t>
  </si>
  <si>
    <t>S&amp;M Spend % of Revenue</t>
  </si>
  <si>
    <t>S&amp;M Spend Q/Q</t>
  </si>
  <si>
    <t>Annual Recurring Revenue (ARR) Y/Y</t>
  </si>
  <si>
    <t>Enterprise Revenue Y/Y</t>
  </si>
  <si>
    <t>Non-Enterprise Revenue Y/Y</t>
  </si>
  <si>
    <t>Average ARR per New Enterprise Customer</t>
  </si>
  <si>
    <t>% of Revenue</t>
  </si>
  <si>
    <t>Drivers &amp; Revenue Build</t>
  </si>
  <si>
    <t>LTM "Reinvested" Spend</t>
  </si>
  <si>
    <t>New ARR Return</t>
  </si>
  <si>
    <t>New ARR Y/Y</t>
  </si>
  <si>
    <t>Existing ARR Y/Y</t>
  </si>
  <si>
    <t>P&amp;L GAAP Drivers</t>
  </si>
  <si>
    <t>P&amp;L GAAP</t>
  </si>
  <si>
    <t>Cashflows from Operations</t>
  </si>
  <si>
    <t>Cashflows from Investing</t>
  </si>
  <si>
    <t>Cash Flows from Financing</t>
  </si>
  <si>
    <t>Basic Shares</t>
  </si>
  <si>
    <t>Consolidated Statement fo Cash Flows</t>
  </si>
  <si>
    <t>Shares</t>
  </si>
  <si>
    <t>Last</t>
  </si>
  <si>
    <t>Rev</t>
  </si>
  <si>
    <t>EBITDA</t>
  </si>
  <si>
    <t>ARR Multiple</t>
  </si>
  <si>
    <t>MC</t>
  </si>
  <si>
    <t>FY23</t>
  </si>
  <si>
    <t>FY24</t>
  </si>
  <si>
    <t>Non-current Operating Lease Liabilities</t>
  </si>
  <si>
    <t>Proceeds from Sale of PPE</t>
  </si>
  <si>
    <t xml:space="preserve">Capitalized Software </t>
  </si>
  <si>
    <t>Proceeds from Options Exercise &amp; ESPP</t>
  </si>
  <si>
    <t>Short Term Deposits</t>
  </si>
  <si>
    <t>Preferred</t>
  </si>
  <si>
    <t>Net ARR Q/Q</t>
  </si>
  <si>
    <t>Paid Customers</t>
  </si>
  <si>
    <t>ACV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</si>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</sst>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6" formatCode="_(&quot;$&quot;* #,##0_);_(&quot;$&quot;* \(#,##0\);_(&quot;$&quot;* &quot;-&quot;??_);_(@_)"/>
  </numFmts>
  <fonts count="6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34">
    <xf numFmtId="0" fontId="0" fillId="0" borderId="0" xfId="0"/>
    <xf numFmtId="9" fontId="0" fillId="0" borderId="0" xfId="0" applyNumberFormat="1"/>
    <xf numFmtId="0" fontId="0" fillId="0" borderId="0" xfId="0" quotePrefix="1"/>
    <xf numFmtId="1" fontId="0" fillId="0" borderId="0" xfId="0" applyNumberFormat="1"/>
    <xf numFmtId="0" fontId="3" fillId="0" borderId="0" xfId="0" applyFont="1"/>
    <xf numFmtId="0" fontId="3" fillId="0" borderId="0" xfId="0" quotePrefix="1" applyFont="1"/>
    <xf numFmtId="1" fontId="0" fillId="0" borderId="0" xfId="0" quotePrefix="1" applyNumberFormat="1"/>
    <xf numFmtId="9" fontId="0" fillId="0" borderId="0" xfId="1" applyFont="1"/>
    <xf numFmtId="9" fontId="0" fillId="0" borderId="0" xfId="1" quotePrefix="1" applyFont="1"/>
    <xf numFmtId="1" fontId="0" fillId="0" borderId="0" xfId="1" quotePrefix="1" applyNumberFormat="1" applyFont="1"/>
    <xf numFmtId="1" fontId="0" fillId="0" borderId="0" xfId="1" applyNumberFormat="1" applyFont="1"/>
    <xf numFmtId="1" fontId="3" fillId="0" borderId="0" xfId="0" applyNumberFormat="1" applyFont="1"/>
    <xf numFmtId="0" fontId="5" fillId="0" borderId="0" xfId="0" applyFont="1"/>
    <xf numFmtId="1" fontId="5" fillId="0" borderId="0" xfId="0" applyNumberFormat="1" applyFont="1"/>
    <xf numFmtId="9" fontId="5" fillId="0" borderId="0" xfId="1" applyFont="1"/>
    <xf numFmtId="164" fontId="0" fillId="0" borderId="0" xfId="0" applyNumberFormat="1"/>
    <xf numFmtId="2" fontId="0" fillId="0" borderId="0" xfId="0" applyNumberFormat="1"/>
    <xf numFmtId="0" fontId="3" fillId="2" borderId="0" xfId="0" applyFont="1" applyFill="1"/>
    <xf numFmtId="0" fontId="0" fillId="2" borderId="0" xfId="0" applyFill="1"/>
    <xf numFmtId="9" fontId="3" fillId="2" borderId="0" xfId="0" applyNumberFormat="1" applyFont="1" applyFill="1"/>
    <xf numFmtId="0" fontId="0" fillId="0" borderId="0" xfId="0" applyFill="1"/>
    <xf numFmtId="0" fontId="3" fillId="0" borderId="0" xfId="0" applyFont="1" applyFill="1"/>
    <xf numFmtId="1" fontId="3" fillId="0" borderId="0" xfId="0" quotePrefix="1" applyNumberFormat="1" applyFont="1" applyFill="1"/>
    <xf numFmtId="9" fontId="0" fillId="0" borderId="0" xfId="1" applyFont="1" applyFill="1"/>
    <xf numFmtId="1" fontId="0" fillId="0" borderId="0" xfId="0" applyNumberFormat="1" applyFill="1"/>
    <xf numFmtId="1" fontId="0" fillId="0" borderId="0" xfId="0" quotePrefix="1" applyNumberFormat="1" applyFill="1"/>
    <xf numFmtId="1" fontId="0" fillId="0" borderId="0" xfId="1" quotePrefix="1" applyNumberFormat="1" applyFont="1" applyFill="1"/>
    <xf numFmtId="1" fontId="0" fillId="0" borderId="0" xfId="1" applyNumberFormat="1" applyFont="1" applyFill="1"/>
    <xf numFmtId="9" fontId="0" fillId="0" borderId="0" xfId="0" applyNumberFormat="1" applyFill="1"/>
    <xf numFmtId="9" fontId="3" fillId="0" borderId="0" xfId="0" applyNumberFormat="1" applyFont="1" applyFill="1"/>
    <xf numFmtId="9" fontId="5" fillId="0" borderId="0" xfId="1" applyFont="1" applyFill="1"/>
    <xf numFmtId="1" fontId="3" fillId="0" borderId="0" xfId="0" applyNumberFormat="1" applyFont="1" applyFill="1"/>
    <xf numFmtId="164" fontId="0" fillId="0" borderId="0" xfId="0" applyNumberFormat="1" applyFill="1"/>
    <xf numFmtId="166" fontId="0" fillId="0" borderId="0" xfId="2" applyNumberFormat="1" applyFont="1" applyFill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85876-56A2-FF4E-BAE8-37D75770FC0B}">
  <dimension ref="C4:D15"/>
  <sheetViews>
    <sheetView workbookViewId="0">
      <selection activeCell="D15" sqref="D15"/>
    </sheetView>
  </sheetViews>
  <sheetFormatPr baseColWidth="10" defaultRowHeight="16" x14ac:dyDescent="0.2"/>
  <sheetData>
    <row r="4" spans="3:4" x14ac:dyDescent="0.2">
      <c r="C4" t="s">
        <v>127</v>
      </c>
      <c r="D4">
        <v>97</v>
      </c>
    </row>
    <row r="5" spans="3:4" x14ac:dyDescent="0.2">
      <c r="C5" t="s">
        <v>126</v>
      </c>
      <c r="D5">
        <f>Model!M44</f>
        <v>45.477803999999999</v>
      </c>
    </row>
    <row r="6" spans="3:4" x14ac:dyDescent="0.2">
      <c r="C6" t="s">
        <v>131</v>
      </c>
      <c r="D6">
        <f>D5*D4</f>
        <v>4411.3469880000002</v>
      </c>
    </row>
    <row r="9" spans="3:4" x14ac:dyDescent="0.2">
      <c r="C9" t="s">
        <v>128</v>
      </c>
      <c r="D9">
        <f>Model!M29</f>
        <v>136893</v>
      </c>
    </row>
    <row r="10" spans="3:4" x14ac:dyDescent="0.2">
      <c r="C10" t="s">
        <v>71</v>
      </c>
      <c r="D10">
        <f>D9*4</f>
        <v>547572</v>
      </c>
    </row>
    <row r="11" spans="3:4" x14ac:dyDescent="0.2">
      <c r="C11" t="s">
        <v>129</v>
      </c>
      <c r="D11" s="3">
        <f>Model!M37+Model!M96</f>
        <v>-25379</v>
      </c>
    </row>
    <row r="14" spans="3:4" x14ac:dyDescent="0.2">
      <c r="C14" t="s">
        <v>130</v>
      </c>
      <c r="D14">
        <f>D6/D10*1000</f>
        <v>8.0561953277377221</v>
      </c>
    </row>
    <row r="15" spans="3:4" x14ac:dyDescent="0.2">
      <c r="D15">
        <f>D6/(D11*4)*1000</f>
        <v>-43.454696678356122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FB386-02D9-5D4F-8430-D489624025B1}">
  <dimension ref="A1:AD127"/>
  <sheetViews>
    <sheetView tabSelected="1" zoomScale="119" workbookViewId="0">
      <pane xSplit="1" ySplit="2" topLeftCell="G3" activePane="bottomRight" state="frozen"/>
      <selection pane="topRight" activeCell="B1" sqref="B1"/>
      <selection pane="bottomLeft" activeCell="A3" sqref="A3"/>
      <selection pane="bottomRight" activeCell="J16" sqref="J16"/>
    </sheetView>
  </sheetViews>
  <sheetFormatPr baseColWidth="10" defaultRowHeight="16" outlineLevelCol="1" x14ac:dyDescent="0.2"/>
  <cols>
    <col min="1" max="1" width="33.83203125" customWidth="1"/>
    <col min="2" max="6" width="12" hidden="1" customWidth="1" outlineLevel="1"/>
    <col min="7" max="7" width="11" customWidth="1" collapsed="1"/>
    <col min="8" max="13" width="11" customWidth="1"/>
    <col min="14" max="22" width="11" style="20" customWidth="1"/>
    <col min="23" max="24" width="11" customWidth="1"/>
  </cols>
  <sheetData>
    <row r="1" spans="1:30" x14ac:dyDescent="0.2">
      <c r="B1" t="s">
        <v>15</v>
      </c>
      <c r="C1" t="s">
        <v>14</v>
      </c>
      <c r="D1" t="s">
        <v>13</v>
      </c>
      <c r="E1" t="s">
        <v>12</v>
      </c>
      <c r="F1" t="s">
        <v>11</v>
      </c>
      <c r="G1" t="s">
        <v>10</v>
      </c>
      <c r="H1" t="s">
        <v>9</v>
      </c>
      <c r="I1" t="s">
        <v>5</v>
      </c>
      <c r="J1" t="s">
        <v>4</v>
      </c>
      <c r="K1" t="s">
        <v>3</v>
      </c>
      <c r="L1" t="s">
        <v>1</v>
      </c>
      <c r="M1" t="s">
        <v>37</v>
      </c>
      <c r="N1" s="20" t="s">
        <v>97</v>
      </c>
      <c r="O1" s="20" t="s">
        <v>98</v>
      </c>
      <c r="P1" s="20" t="s">
        <v>101</v>
      </c>
      <c r="Q1" s="20" t="s">
        <v>99</v>
      </c>
      <c r="R1" s="20" t="s">
        <v>100</v>
      </c>
      <c r="S1" s="20" t="s">
        <v>102</v>
      </c>
      <c r="T1" s="20" t="s">
        <v>103</v>
      </c>
      <c r="U1" s="20" t="s">
        <v>104</v>
      </c>
      <c r="V1" s="20" t="s">
        <v>105</v>
      </c>
      <c r="Y1" t="s">
        <v>8</v>
      </c>
      <c r="Z1" t="s">
        <v>7</v>
      </c>
      <c r="AA1" t="s">
        <v>6</v>
      </c>
      <c r="AB1" t="s">
        <v>2</v>
      </c>
      <c r="AC1" t="s">
        <v>132</v>
      </c>
      <c r="AD1" t="s">
        <v>133</v>
      </c>
    </row>
    <row r="3" spans="1:30" s="17" customFormat="1" x14ac:dyDescent="0.2">
      <c r="A3" s="17" t="s">
        <v>114</v>
      </c>
      <c r="N3" s="21"/>
      <c r="O3" s="21"/>
      <c r="P3" s="21"/>
      <c r="Q3" s="21"/>
      <c r="R3" s="21"/>
      <c r="S3" s="21"/>
      <c r="T3" s="21"/>
      <c r="U3" s="21"/>
      <c r="V3" s="21"/>
    </row>
    <row r="5" spans="1:30" s="4" customFormat="1" x14ac:dyDescent="0.2">
      <c r="A5" s="5" t="s">
        <v>71</v>
      </c>
      <c r="B5" s="5"/>
      <c r="C5" s="5"/>
      <c r="D5" s="5"/>
      <c r="E5" s="5"/>
      <c r="F5" s="5">
        <f>F21</f>
        <v>200568</v>
      </c>
      <c r="G5" s="5">
        <v>235888</v>
      </c>
      <c r="H5" s="5">
        <f>Model!H29*4</f>
        <v>282460</v>
      </c>
      <c r="I5" s="5">
        <f>Model!I29*4</f>
        <v>332072</v>
      </c>
      <c r="J5" s="5">
        <f>Model!J29*4</f>
        <v>382180</v>
      </c>
      <c r="K5" s="5">
        <f>Model!K29*4</f>
        <v>433988</v>
      </c>
      <c r="L5" s="5">
        <f>Model!L29*4</f>
        <v>494872</v>
      </c>
      <c r="M5" s="5">
        <f>Model!M29*4</f>
        <v>547572</v>
      </c>
      <c r="N5" s="5">
        <f>Model!N29*4</f>
        <v>599684</v>
      </c>
      <c r="O5" s="22">
        <f t="shared" ref="O5:V5" si="0">O7+O8</f>
        <v>697216.2</v>
      </c>
      <c r="P5" s="22">
        <f t="shared" si="0"/>
        <v>734311.99749999994</v>
      </c>
      <c r="Q5" s="22">
        <f t="shared" si="0"/>
        <v>811104.62412499986</v>
      </c>
      <c r="R5" s="22">
        <f t="shared" si="0"/>
        <v>872442.48898687493</v>
      </c>
      <c r="S5" s="22">
        <f>S7+S8</f>
        <v>971769.77130384604</v>
      </c>
      <c r="T5" s="22">
        <f t="shared" si="0"/>
        <v>1015647.6278234036</v>
      </c>
      <c r="U5" s="22">
        <f t="shared" si="0"/>
        <v>1103238.0835695046</v>
      </c>
      <c r="V5" s="22">
        <f t="shared" si="0"/>
        <v>1173875.0798730471</v>
      </c>
      <c r="AB5" s="5"/>
    </row>
    <row r="6" spans="1:30" x14ac:dyDescent="0.2">
      <c r="A6" t="s">
        <v>0</v>
      </c>
      <c r="B6" s="1">
        <v>1</v>
      </c>
      <c r="C6" s="1"/>
      <c r="F6" s="1">
        <v>1.05</v>
      </c>
      <c r="G6" s="1">
        <v>1.07</v>
      </c>
      <c r="H6" s="1">
        <v>1.1000000000000001</v>
      </c>
      <c r="I6" s="1">
        <v>1.1499999999999999</v>
      </c>
      <c r="J6" s="1">
        <v>1.2</v>
      </c>
      <c r="K6" s="1">
        <v>1.25</v>
      </c>
      <c r="L6" s="1">
        <v>1.25</v>
      </c>
      <c r="M6" s="1">
        <v>1.2</v>
      </c>
      <c r="N6" s="23">
        <v>1.2</v>
      </c>
      <c r="O6" s="23">
        <v>1.2</v>
      </c>
      <c r="P6" s="23">
        <v>1.1499999999999999</v>
      </c>
      <c r="Q6" s="23">
        <v>1.1499999999999999</v>
      </c>
      <c r="R6" s="23">
        <v>1.1499999999999999</v>
      </c>
      <c r="S6" s="23">
        <v>1.1000000000000001</v>
      </c>
      <c r="T6" s="23">
        <v>1.1000000000000001</v>
      </c>
      <c r="U6" s="23">
        <v>1.1000000000000001</v>
      </c>
      <c r="V6" s="23">
        <v>1.1000000000000001</v>
      </c>
      <c r="AB6" s="1"/>
    </row>
    <row r="7" spans="1:30" x14ac:dyDescent="0.2">
      <c r="A7" s="2" t="s">
        <v>118</v>
      </c>
      <c r="B7" s="2"/>
      <c r="C7" s="2"/>
      <c r="D7" s="2"/>
      <c r="E7" s="2"/>
      <c r="F7" s="2"/>
      <c r="G7" s="2"/>
      <c r="H7" s="2"/>
      <c r="I7" s="2"/>
      <c r="J7" s="3">
        <f>J6*F5</f>
        <v>240681.59999999998</v>
      </c>
      <c r="K7" s="3">
        <f>K6*G5</f>
        <v>294860</v>
      </c>
      <c r="L7" s="3">
        <f>L6*H5</f>
        <v>353075</v>
      </c>
      <c r="M7" s="3">
        <f>M6*I5</f>
        <v>398486.39999999997</v>
      </c>
      <c r="N7" s="3">
        <f>N6*J5</f>
        <v>458616</v>
      </c>
      <c r="O7" s="24">
        <f t="shared" ref="O7:V7" si="1">K5*O6</f>
        <v>520785.6</v>
      </c>
      <c r="P7" s="24">
        <f t="shared" si="1"/>
        <v>569102.79999999993</v>
      </c>
      <c r="Q7" s="24">
        <f>M5*Q6</f>
        <v>629707.79999999993</v>
      </c>
      <c r="R7" s="24">
        <f t="shared" si="1"/>
        <v>689636.6</v>
      </c>
      <c r="S7" s="24">
        <f t="shared" si="1"/>
        <v>766937.82000000007</v>
      </c>
      <c r="T7" s="24">
        <f t="shared" si="1"/>
        <v>807743.19724999997</v>
      </c>
      <c r="U7" s="24">
        <f t="shared" si="1"/>
        <v>892215.08653749991</v>
      </c>
      <c r="V7" s="24">
        <f t="shared" si="1"/>
        <v>959686.73788556247</v>
      </c>
      <c r="AB7" s="3"/>
    </row>
    <row r="8" spans="1:30" x14ac:dyDescent="0.2">
      <c r="A8" s="2" t="s">
        <v>117</v>
      </c>
      <c r="B8" s="2"/>
      <c r="C8" s="2"/>
      <c r="D8" s="2"/>
      <c r="E8" s="2"/>
      <c r="F8" s="2"/>
      <c r="G8" s="2"/>
      <c r="H8" s="2"/>
      <c r="I8" s="2"/>
      <c r="J8" s="3">
        <f>J5-J7</f>
        <v>141498.40000000002</v>
      </c>
      <c r="K8" s="3">
        <f>K5-K7</f>
        <v>139128</v>
      </c>
      <c r="L8" s="3">
        <f>L5-L7</f>
        <v>141797</v>
      </c>
      <c r="M8" s="3">
        <f>M5-M7</f>
        <v>149085.60000000003</v>
      </c>
      <c r="N8" s="3">
        <f>N5-N7</f>
        <v>141068</v>
      </c>
      <c r="O8" s="24">
        <f t="shared" ref="O8:V8" si="2">N13*(O14+1)</f>
        <v>176430.59999999998</v>
      </c>
      <c r="P8" s="24">
        <f t="shared" si="2"/>
        <v>165209.19749999998</v>
      </c>
      <c r="Q8" s="24">
        <f t="shared" si="2"/>
        <v>181396.82412499998</v>
      </c>
      <c r="R8" s="24">
        <f t="shared" si="2"/>
        <v>182805.88898687498</v>
      </c>
      <c r="S8" s="24">
        <f t="shared" si="2"/>
        <v>204831.95130384591</v>
      </c>
      <c r="T8" s="24">
        <f t="shared" si="2"/>
        <v>207904.4305734036</v>
      </c>
      <c r="U8" s="24">
        <f t="shared" si="2"/>
        <v>211022.99703200464</v>
      </c>
      <c r="V8" s="24">
        <f t="shared" si="2"/>
        <v>214188.34198748469</v>
      </c>
      <c r="AB8" s="3"/>
    </row>
    <row r="9" spans="1:30" x14ac:dyDescent="0.2">
      <c r="A9" s="2" t="s">
        <v>140</v>
      </c>
      <c r="B9" s="2"/>
      <c r="C9" s="2"/>
      <c r="D9" s="2"/>
      <c r="E9" s="2"/>
      <c r="F9" s="2"/>
      <c r="G9" s="2">
        <f>G5-F5</f>
        <v>35320</v>
      </c>
      <c r="H9" s="2">
        <f>H5-G5</f>
        <v>46572</v>
      </c>
      <c r="I9" s="2">
        <f t="shared" ref="I9:O9" si="3">I5-H5</f>
        <v>49612</v>
      </c>
      <c r="J9" s="2">
        <f t="shared" si="3"/>
        <v>50108</v>
      </c>
      <c r="K9" s="2">
        <f t="shared" si="3"/>
        <v>51808</v>
      </c>
      <c r="L9" s="2">
        <f t="shared" si="3"/>
        <v>60884</v>
      </c>
      <c r="M9" s="2">
        <f t="shared" si="3"/>
        <v>52700</v>
      </c>
      <c r="N9" s="2">
        <f t="shared" si="3"/>
        <v>52112</v>
      </c>
      <c r="O9" s="25">
        <f t="shared" si="3"/>
        <v>97532.199999999953</v>
      </c>
      <c r="P9" s="25">
        <f t="shared" ref="P9:V9" si="4">P5-O5</f>
        <v>37095.797499999986</v>
      </c>
      <c r="Q9" s="25">
        <f t="shared" si="4"/>
        <v>76792.626624999917</v>
      </c>
      <c r="R9" s="25">
        <f>R5-Q5</f>
        <v>61337.864861875074</v>
      </c>
      <c r="S9" s="25">
        <f>S5-R5</f>
        <v>99327.282316971105</v>
      </c>
      <c r="T9" s="25">
        <f t="shared" si="4"/>
        <v>43877.856519557536</v>
      </c>
      <c r="U9" s="25">
        <f>U5-T5</f>
        <v>87590.455746100983</v>
      </c>
      <c r="V9" s="25">
        <f t="shared" si="4"/>
        <v>70636.996303542517</v>
      </c>
      <c r="AB9" s="3"/>
    </row>
    <row r="11" spans="1:30" x14ac:dyDescent="0.2">
      <c r="A11" s="2" t="s">
        <v>106</v>
      </c>
      <c r="B11" s="2"/>
      <c r="C11" s="2"/>
      <c r="D11" s="2"/>
      <c r="E11" s="2"/>
      <c r="F11" s="9">
        <f>F34</f>
        <v>56901</v>
      </c>
      <c r="G11" s="9">
        <f>G34</f>
        <v>63048</v>
      </c>
      <c r="H11" s="9">
        <f t="shared" ref="H11:N11" si="5">H34</f>
        <v>61057</v>
      </c>
      <c r="I11" s="9">
        <f t="shared" si="5"/>
        <v>67443</v>
      </c>
      <c r="J11" s="9">
        <f t="shared" si="5"/>
        <v>76535</v>
      </c>
      <c r="K11" s="9">
        <f t="shared" si="5"/>
        <v>115973</v>
      </c>
      <c r="L11" s="9">
        <f t="shared" si="5"/>
        <v>96740</v>
      </c>
      <c r="M11" s="9">
        <f t="shared" si="5"/>
        <v>90970</v>
      </c>
      <c r="N11" s="9">
        <f t="shared" si="5"/>
        <v>88385</v>
      </c>
      <c r="O11" s="26">
        <f t="shared" ref="O11:V11" si="6">O34</f>
        <v>91036.55</v>
      </c>
      <c r="P11" s="26">
        <f t="shared" si="6"/>
        <v>92402.098249999995</v>
      </c>
      <c r="Q11" s="26">
        <f t="shared" si="6"/>
        <v>93788.129723749982</v>
      </c>
      <c r="R11" s="26">
        <f t="shared" si="6"/>
        <v>95194.95166960622</v>
      </c>
      <c r="S11" s="26">
        <f t="shared" si="6"/>
        <v>96622.87594465031</v>
      </c>
      <c r="T11" s="26">
        <f t="shared" si="6"/>
        <v>98072.219083820062</v>
      </c>
      <c r="U11" s="26">
        <f t="shared" si="6"/>
        <v>99543.302370077348</v>
      </c>
      <c r="V11" s="26">
        <f t="shared" si="6"/>
        <v>101036.45190562849</v>
      </c>
      <c r="AB11" s="3"/>
    </row>
    <row r="12" spans="1:30" x14ac:dyDescent="0.2">
      <c r="A12" t="s">
        <v>113</v>
      </c>
      <c r="F12" s="7">
        <f>F11/F29</f>
        <v>1.134797176020103</v>
      </c>
      <c r="G12" s="7">
        <f>G11/G29</f>
        <v>1.0691175473105881</v>
      </c>
      <c r="H12" s="7">
        <f t="shared" ref="H12:V12" si="7">H11/H29</f>
        <v>0.86464632160305888</v>
      </c>
      <c r="I12" s="7">
        <f t="shared" si="7"/>
        <v>0.81239008407815172</v>
      </c>
      <c r="J12" s="7">
        <f t="shared" si="7"/>
        <v>0.80103616097127006</v>
      </c>
      <c r="K12" s="7">
        <f t="shared" si="7"/>
        <v>1.0689051310174476</v>
      </c>
      <c r="L12" s="7">
        <f t="shared" si="7"/>
        <v>0.78193957225302702</v>
      </c>
      <c r="M12" s="7">
        <f t="shared" si="7"/>
        <v>0.66453361384438936</v>
      </c>
      <c r="N12" s="7">
        <f t="shared" si="7"/>
        <v>0.58954382641524539</v>
      </c>
      <c r="O12" s="23">
        <f t="shared" si="7"/>
        <v>0.52228591360900689</v>
      </c>
      <c r="P12" s="23">
        <f t="shared" si="7"/>
        <v>0.50333971698453694</v>
      </c>
      <c r="Q12" s="23">
        <f t="shared" si="7"/>
        <v>0.46252050319612642</v>
      </c>
      <c r="R12" s="23">
        <f t="shared" si="7"/>
        <v>0.43645261605794322</v>
      </c>
      <c r="S12" s="23">
        <f t="shared" si="7"/>
        <v>0.39771920797663485</v>
      </c>
      <c r="T12" s="23">
        <f t="shared" si="7"/>
        <v>0.38624505742801751</v>
      </c>
      <c r="U12" s="23">
        <f t="shared" si="7"/>
        <v>0.36091322028335715</v>
      </c>
      <c r="V12" s="23">
        <f t="shared" si="7"/>
        <v>0.34428348855162832</v>
      </c>
    </row>
    <row r="13" spans="1:30" x14ac:dyDescent="0.2">
      <c r="A13" t="s">
        <v>115</v>
      </c>
      <c r="H13" s="7"/>
      <c r="I13" s="7"/>
      <c r="J13" s="10">
        <f>J11+I11+H11+G11</f>
        <v>268083</v>
      </c>
      <c r="K13" s="10">
        <f t="shared" ref="K13:V13" si="8">K11+J11+I11+H11</f>
        <v>321008</v>
      </c>
      <c r="L13" s="10">
        <f t="shared" si="8"/>
        <v>356691</v>
      </c>
      <c r="M13" s="10">
        <f t="shared" si="8"/>
        <v>380218</v>
      </c>
      <c r="N13" s="10">
        <f t="shared" si="8"/>
        <v>392068</v>
      </c>
      <c r="O13" s="27">
        <f t="shared" si="8"/>
        <v>367131.55</v>
      </c>
      <c r="P13" s="27">
        <f t="shared" si="8"/>
        <v>362793.64824999997</v>
      </c>
      <c r="Q13" s="27">
        <f t="shared" si="8"/>
        <v>365611.77797374997</v>
      </c>
      <c r="R13" s="27">
        <f t="shared" si="8"/>
        <v>372421.72964335617</v>
      </c>
      <c r="S13" s="27">
        <f t="shared" si="8"/>
        <v>378008.05558800651</v>
      </c>
      <c r="T13" s="27">
        <f t="shared" si="8"/>
        <v>383678.17642182659</v>
      </c>
      <c r="U13" s="27">
        <f t="shared" si="8"/>
        <v>389433.34906815394</v>
      </c>
      <c r="V13" s="27">
        <f t="shared" si="8"/>
        <v>395274.84930417623</v>
      </c>
    </row>
    <row r="14" spans="1:30" x14ac:dyDescent="0.2">
      <c r="A14" t="s">
        <v>116</v>
      </c>
      <c r="K14" s="7">
        <f>K8/J13-1</f>
        <v>-0.48102639854075047</v>
      </c>
      <c r="L14" s="7">
        <f>L8/K13-1</f>
        <v>-0.55827580621043715</v>
      </c>
      <c r="M14" s="7">
        <f>M8/L13-1</f>
        <v>-0.58203150626172229</v>
      </c>
      <c r="N14" s="7">
        <f>N8/M13-1</f>
        <v>-0.62898126864062198</v>
      </c>
      <c r="O14" s="28">
        <v>-0.55000000000000004</v>
      </c>
      <c r="P14" s="28">
        <v>-0.55000000000000004</v>
      </c>
      <c r="Q14" s="28">
        <v>-0.5</v>
      </c>
      <c r="R14" s="28">
        <v>-0.5</v>
      </c>
      <c r="S14" s="28">
        <v>-0.45</v>
      </c>
      <c r="T14" s="28">
        <v>-0.45</v>
      </c>
      <c r="U14" s="28">
        <v>-0.45</v>
      </c>
      <c r="V14" s="28">
        <v>-0.45</v>
      </c>
    </row>
    <row r="16" spans="1:30" x14ac:dyDescent="0.2">
      <c r="A16" t="s">
        <v>141</v>
      </c>
      <c r="J16">
        <v>152048</v>
      </c>
      <c r="N16" s="20">
        <v>186477</v>
      </c>
    </row>
    <row r="17" spans="1:30" x14ac:dyDescent="0.2">
      <c r="A17" t="s">
        <v>142</v>
      </c>
      <c r="N17" s="33">
        <f>N5/4/N16*1000</f>
        <v>803.96510025365058</v>
      </c>
    </row>
    <row r="18" spans="1:30" x14ac:dyDescent="0.2">
      <c r="I18" s="1"/>
      <c r="J18" s="1"/>
      <c r="K18" s="1"/>
      <c r="L18" s="1"/>
      <c r="M18" s="1"/>
      <c r="N18" s="28"/>
      <c r="O18" s="28"/>
      <c r="P18" s="28"/>
      <c r="Q18" s="28"/>
      <c r="R18" s="28"/>
      <c r="S18" s="28"/>
      <c r="T18" s="28"/>
      <c r="U18" s="28"/>
      <c r="V18" s="28"/>
      <c r="W18" s="1"/>
    </row>
    <row r="19" spans="1:30" s="17" customFormat="1" x14ac:dyDescent="0.2">
      <c r="A19" s="17" t="s">
        <v>120</v>
      </c>
      <c r="I19" s="19"/>
      <c r="J19" s="19"/>
      <c r="K19" s="19"/>
      <c r="L19" s="19"/>
      <c r="M19" s="19"/>
      <c r="N19" s="29"/>
      <c r="O19" s="29"/>
      <c r="P19" s="29"/>
      <c r="Q19" s="29"/>
      <c r="R19" s="29"/>
      <c r="S19" s="29"/>
      <c r="T19" s="29"/>
      <c r="U19" s="29"/>
      <c r="V19" s="29"/>
      <c r="W19" s="19"/>
    </row>
    <row r="20" spans="1:30" x14ac:dyDescent="0.2">
      <c r="I20" s="1"/>
      <c r="J20" s="1"/>
      <c r="K20" s="1"/>
      <c r="L20" s="1"/>
      <c r="M20" s="1"/>
      <c r="N20" s="28"/>
      <c r="O20" s="28"/>
      <c r="P20" s="28"/>
      <c r="Q20" s="28"/>
      <c r="R20" s="28"/>
      <c r="S20" s="28"/>
      <c r="T20" s="28"/>
      <c r="U20" s="28"/>
      <c r="V20" s="28"/>
      <c r="W20" s="1"/>
    </row>
    <row r="21" spans="1:30" x14ac:dyDescent="0.2">
      <c r="A21" t="s">
        <v>94</v>
      </c>
      <c r="F21">
        <f>F29*4</f>
        <v>200568</v>
      </c>
      <c r="G21">
        <f t="shared" ref="G21:O21" si="9">G29*4</f>
        <v>235888</v>
      </c>
      <c r="H21">
        <f t="shared" si="9"/>
        <v>282460</v>
      </c>
      <c r="I21">
        <f t="shared" si="9"/>
        <v>332072</v>
      </c>
      <c r="J21">
        <f t="shared" si="9"/>
        <v>382180</v>
      </c>
      <c r="K21">
        <f t="shared" si="9"/>
        <v>433988</v>
      </c>
      <c r="L21">
        <f t="shared" si="9"/>
        <v>494872</v>
      </c>
      <c r="M21">
        <f t="shared" si="9"/>
        <v>547572</v>
      </c>
      <c r="N21">
        <f t="shared" si="9"/>
        <v>599684</v>
      </c>
      <c r="O21" s="24">
        <f t="shared" si="9"/>
        <v>697216.2</v>
      </c>
      <c r="P21" s="24">
        <f t="shared" ref="P21:V21" si="10">P29*4</f>
        <v>734311.99749999994</v>
      </c>
      <c r="Q21" s="24">
        <f t="shared" si="10"/>
        <v>811104.62412499986</v>
      </c>
      <c r="R21" s="24">
        <f t="shared" si="10"/>
        <v>872442.48898687493</v>
      </c>
      <c r="S21" s="24">
        <f t="shared" si="10"/>
        <v>971769.77130384604</v>
      </c>
      <c r="T21" s="24">
        <f t="shared" si="10"/>
        <v>1015647.6278234036</v>
      </c>
      <c r="U21" s="24">
        <f t="shared" si="10"/>
        <v>1103238.0835695046</v>
      </c>
      <c r="V21" s="24">
        <f t="shared" si="10"/>
        <v>1173875.0798730471</v>
      </c>
      <c r="AB21" s="3">
        <f>N21</f>
        <v>599684</v>
      </c>
      <c r="AC21" s="3">
        <f>R21</f>
        <v>872442.48898687493</v>
      </c>
      <c r="AD21" s="3">
        <f>V21</f>
        <v>1173875.0798730471</v>
      </c>
    </row>
    <row r="22" spans="1:30" x14ac:dyDescent="0.2">
      <c r="A22" t="s">
        <v>96</v>
      </c>
      <c r="I22" s="3">
        <f>Drivers!I23/4</f>
        <v>14943.24</v>
      </c>
      <c r="J22" s="3">
        <f>Drivers!J23/4</f>
        <v>19109</v>
      </c>
      <c r="K22" s="3">
        <f>Drivers!K23/4</f>
        <v>23869.34</v>
      </c>
      <c r="L22" s="3">
        <f>Drivers!L23/4</f>
        <v>29692.32</v>
      </c>
      <c r="M22" s="3">
        <f>Drivers!M23/4</f>
        <v>35592.18</v>
      </c>
      <c r="N22" s="3">
        <f>Drivers!N23/4</f>
        <v>38979.46</v>
      </c>
      <c r="O22" s="24">
        <f>Drivers!R23/4</f>
        <v>45319.053</v>
      </c>
      <c r="P22" s="24">
        <f>Drivers!S23/4</f>
        <v>47730.279837499998</v>
      </c>
      <c r="Q22" s="24">
        <f>Drivers!T23/4</f>
        <v>52721.800568124992</v>
      </c>
      <c r="R22" s="24">
        <f>Drivers!U23/4</f>
        <v>56708.761784146875</v>
      </c>
      <c r="S22" s="24">
        <f>Drivers!V23/4</f>
        <v>63165.035134749996</v>
      </c>
      <c r="T22" s="24">
        <f>Drivers!W23/4</f>
        <v>66017.095808521233</v>
      </c>
      <c r="U22" s="24">
        <f>Drivers!X23/4</f>
        <v>71710.475432017804</v>
      </c>
      <c r="V22" s="24">
        <f>Drivers!Y23/4</f>
        <v>76301.88019174806</v>
      </c>
      <c r="W22" s="3"/>
    </row>
    <row r="23" spans="1:30" x14ac:dyDescent="0.2">
      <c r="A23" t="s">
        <v>95</v>
      </c>
      <c r="I23" s="3">
        <f>Drivers!I36/4</f>
        <v>68074.759999999995</v>
      </c>
      <c r="J23" s="3">
        <f>Drivers!J36/4</f>
        <v>76436</v>
      </c>
      <c r="K23" s="3">
        <f>Drivers!K36/4</f>
        <v>84627.66</v>
      </c>
      <c r="L23" s="3">
        <f>Drivers!L36/4</f>
        <v>94025.68</v>
      </c>
      <c r="M23" s="3">
        <f>Drivers!M36/4</f>
        <v>101300.82</v>
      </c>
      <c r="N23" s="3">
        <f>Drivers!N36/4</f>
        <v>110941.54000000001</v>
      </c>
      <c r="O23" s="24">
        <f>Drivers!R36/4</f>
        <v>128984.99699999999</v>
      </c>
      <c r="P23" s="24">
        <f>Drivers!S36/4</f>
        <v>135847.7195375</v>
      </c>
      <c r="Q23" s="24">
        <f>Drivers!T36/4</f>
        <v>150054.35546312499</v>
      </c>
      <c r="R23" s="24">
        <f>Drivers!U36/4</f>
        <v>161401.86046257184</v>
      </c>
      <c r="S23" s="24">
        <f>Drivers!V36/4</f>
        <v>179777.4076912115</v>
      </c>
      <c r="T23" s="24">
        <f>Drivers!W36/4</f>
        <v>187894.81114732966</v>
      </c>
      <c r="U23" s="24">
        <f>Drivers!X36/4</f>
        <v>204099.04546035832</v>
      </c>
      <c r="V23" s="24">
        <f>Drivers!Y36/4</f>
        <v>217166.88977651371</v>
      </c>
      <c r="W23" s="3"/>
    </row>
    <row r="24" spans="1:30" x14ac:dyDescent="0.2">
      <c r="I24" s="3"/>
      <c r="J24" s="3"/>
      <c r="K24" s="3"/>
      <c r="L24" s="3"/>
      <c r="M24" s="3"/>
      <c r="N24" s="24"/>
      <c r="O24" s="24"/>
      <c r="P24" s="24"/>
      <c r="Q24" s="24"/>
      <c r="R24" s="24"/>
      <c r="S24" s="24"/>
      <c r="T24" s="24"/>
      <c r="U24" s="24"/>
      <c r="V24" s="24"/>
      <c r="W24" s="3"/>
    </row>
    <row r="25" spans="1:30" s="12" customFormat="1" x14ac:dyDescent="0.2">
      <c r="A25" s="12" t="s">
        <v>109</v>
      </c>
      <c r="I25" s="13"/>
      <c r="J25" s="13"/>
      <c r="K25" s="14">
        <f>K21/G21-1</f>
        <v>0.83980533134368862</v>
      </c>
      <c r="L25" s="14">
        <f t="shared" ref="L25" si="11">L21/H21-1</f>
        <v>0.75200736387453082</v>
      </c>
      <c r="M25" s="14">
        <f t="shared" ref="M25:N25" si="12">M21/I21-1</f>
        <v>0.64895564817268547</v>
      </c>
      <c r="N25" s="14">
        <f t="shared" si="12"/>
        <v>0.56911403003820182</v>
      </c>
      <c r="O25" s="30">
        <f t="shared" ref="O25:V27" si="13">O21/K21-1</f>
        <v>0.60653336036941097</v>
      </c>
      <c r="P25" s="30">
        <f t="shared" si="13"/>
        <v>0.48384228143843244</v>
      </c>
      <c r="Q25" s="30">
        <f t="shared" si="13"/>
        <v>0.48127483531846016</v>
      </c>
      <c r="R25" s="30">
        <f t="shared" si="13"/>
        <v>0.4548370291468089</v>
      </c>
      <c r="S25" s="30">
        <f t="shared" si="13"/>
        <v>0.39378541592098126</v>
      </c>
      <c r="T25" s="30">
        <f t="shared" si="13"/>
        <v>0.38312819521024322</v>
      </c>
      <c r="U25" s="30">
        <f t="shared" si="13"/>
        <v>0.36016741953561326</v>
      </c>
      <c r="V25" s="30">
        <f t="shared" si="13"/>
        <v>0.34550425350811498</v>
      </c>
      <c r="W25" s="13"/>
    </row>
    <row r="26" spans="1:30" s="12" customFormat="1" x14ac:dyDescent="0.2">
      <c r="A26" s="12" t="s">
        <v>110</v>
      </c>
      <c r="I26" s="13"/>
      <c r="J26" s="13"/>
      <c r="K26" s="13"/>
      <c r="L26" s="13"/>
      <c r="M26" s="14">
        <f>M22/I22-1</f>
        <v>1.3818248251383234</v>
      </c>
      <c r="N26" s="14">
        <f>N22/J22-1</f>
        <v>1.0398482390496624</v>
      </c>
      <c r="O26" s="30">
        <f t="shared" si="13"/>
        <v>0.89863033498203126</v>
      </c>
      <c r="P26" s="30">
        <f t="shared" si="13"/>
        <v>0.60749580489163524</v>
      </c>
      <c r="Q26" s="30">
        <f>Q22/M22-1</f>
        <v>0.48127483531846016</v>
      </c>
      <c r="R26" s="30">
        <f t="shared" si="13"/>
        <v>0.4548370291468089</v>
      </c>
      <c r="S26" s="30">
        <f t="shared" si="13"/>
        <v>0.39378541592098126</v>
      </c>
      <c r="T26" s="30">
        <f t="shared" si="13"/>
        <v>0.38312819521024322</v>
      </c>
      <c r="U26" s="30">
        <f t="shared" si="13"/>
        <v>0.36016741953561326</v>
      </c>
      <c r="V26" s="30">
        <f t="shared" si="13"/>
        <v>0.34550425350811498</v>
      </c>
      <c r="W26" s="13"/>
    </row>
    <row r="27" spans="1:30" s="12" customFormat="1" x14ac:dyDescent="0.2">
      <c r="A27" s="12" t="s">
        <v>111</v>
      </c>
      <c r="I27" s="13"/>
      <c r="J27" s="13"/>
      <c r="K27" s="13"/>
      <c r="L27" s="13"/>
      <c r="M27" s="14">
        <f>M23/I23-1</f>
        <v>0.48808192639974068</v>
      </c>
      <c r="N27" s="14">
        <f>N23/J23-1</f>
        <v>0.45143047778533685</v>
      </c>
      <c r="O27" s="30">
        <f t="shared" si="13"/>
        <v>0.52414703419662056</v>
      </c>
      <c r="P27" s="30">
        <f t="shared" si="13"/>
        <v>0.44479380034794769</v>
      </c>
      <c r="Q27" s="30">
        <f t="shared" si="13"/>
        <v>0.48127483531846016</v>
      </c>
      <c r="R27" s="30">
        <f t="shared" si="13"/>
        <v>0.45483702914680868</v>
      </c>
      <c r="S27" s="30">
        <f t="shared" si="13"/>
        <v>0.39378541592098126</v>
      </c>
      <c r="T27" s="30">
        <f t="shared" si="13"/>
        <v>0.38312819521024322</v>
      </c>
      <c r="U27" s="30">
        <f t="shared" si="13"/>
        <v>0.36016741953561304</v>
      </c>
      <c r="V27" s="30">
        <f t="shared" si="13"/>
        <v>0.3455042535081152</v>
      </c>
      <c r="W27" s="13"/>
    </row>
    <row r="28" spans="1:30" x14ac:dyDescent="0.2">
      <c r="I28" s="3"/>
      <c r="J28" s="3"/>
      <c r="K28" s="3"/>
      <c r="L28" s="3"/>
      <c r="M28" s="3"/>
      <c r="N28" s="24"/>
      <c r="O28" s="24"/>
      <c r="P28" s="24"/>
      <c r="Q28" s="24"/>
      <c r="R28" s="24"/>
      <c r="S28" s="24"/>
      <c r="T28" s="24"/>
      <c r="U28" s="24"/>
      <c r="V28" s="24"/>
      <c r="W28" s="3"/>
    </row>
    <row r="29" spans="1:30" s="4" customFormat="1" x14ac:dyDescent="0.2">
      <c r="A29" s="4" t="s">
        <v>16</v>
      </c>
      <c r="F29" s="4">
        <v>50142</v>
      </c>
      <c r="G29" s="4">
        <v>58972</v>
      </c>
      <c r="H29" s="4">
        <v>70615</v>
      </c>
      <c r="I29" s="4">
        <v>83018</v>
      </c>
      <c r="J29" s="4">
        <f>AA29-I29-H29-G29</f>
        <v>95545</v>
      </c>
      <c r="K29" s="4">
        <v>108497</v>
      </c>
      <c r="L29" s="4">
        <v>123718</v>
      </c>
      <c r="M29" s="4">
        <v>136893</v>
      </c>
      <c r="N29" s="31">
        <v>149921</v>
      </c>
      <c r="O29" s="31">
        <f t="shared" ref="O29:V29" si="14">O5/4</f>
        <v>174304.05</v>
      </c>
      <c r="P29" s="31">
        <f t="shared" si="14"/>
        <v>183577.99937499998</v>
      </c>
      <c r="Q29" s="31">
        <f t="shared" si="14"/>
        <v>202776.15603124996</v>
      </c>
      <c r="R29" s="31">
        <f t="shared" si="14"/>
        <v>218110.62224671873</v>
      </c>
      <c r="S29" s="31">
        <f t="shared" si="14"/>
        <v>242942.44282596151</v>
      </c>
      <c r="T29" s="31">
        <f t="shared" si="14"/>
        <v>253911.90695585089</v>
      </c>
      <c r="U29" s="31">
        <f t="shared" si="14"/>
        <v>275809.52089237614</v>
      </c>
      <c r="V29" s="31">
        <f t="shared" si="14"/>
        <v>293468.76996826177</v>
      </c>
      <c r="Y29" s="4">
        <v>78089</v>
      </c>
      <c r="Z29" s="4">
        <v>161123</v>
      </c>
      <c r="AA29" s="4">
        <v>308150</v>
      </c>
      <c r="AB29" s="11">
        <f>SUM(K29:N29)</f>
        <v>519029</v>
      </c>
      <c r="AC29" s="11">
        <f>SUM(O29:R29)</f>
        <v>778768.8276529687</v>
      </c>
      <c r="AD29" s="11">
        <f>SUM(S29:V29)</f>
        <v>1066132.6406424502</v>
      </c>
    </row>
    <row r="30" spans="1:30" x14ac:dyDescent="0.2">
      <c r="A30" t="s">
        <v>17</v>
      </c>
      <c r="F30">
        <v>6681</v>
      </c>
      <c r="G30">
        <v>7924</v>
      </c>
      <c r="H30">
        <v>9108</v>
      </c>
      <c r="I30">
        <v>10213</v>
      </c>
      <c r="J30">
        <f>AA30-I30-H30-G30</f>
        <v>11768</v>
      </c>
      <c r="K30">
        <v>14609</v>
      </c>
      <c r="L30">
        <v>16730</v>
      </c>
      <c r="M30">
        <v>17830</v>
      </c>
      <c r="N30" s="24">
        <v>17359</v>
      </c>
      <c r="O30" s="24">
        <f t="shared" ref="O30:V30" si="15">O29*(1-O32)</f>
        <v>22659.5265</v>
      </c>
      <c r="P30" s="24">
        <f t="shared" si="15"/>
        <v>23865.139918749999</v>
      </c>
      <c r="Q30" s="24">
        <f t="shared" si="15"/>
        <v>26360.900284062496</v>
      </c>
      <c r="R30" s="24">
        <f t="shared" si="15"/>
        <v>28354.380892073437</v>
      </c>
      <c r="S30" s="24">
        <f t="shared" si="15"/>
        <v>31582.517567374998</v>
      </c>
      <c r="T30" s="24">
        <f t="shared" si="15"/>
        <v>33008.547904260617</v>
      </c>
      <c r="U30" s="24">
        <f t="shared" si="15"/>
        <v>35855.237716008902</v>
      </c>
      <c r="V30" s="24">
        <f t="shared" si="15"/>
        <v>38150.94009587403</v>
      </c>
      <c r="Y30">
        <v>11978</v>
      </c>
      <c r="Z30">
        <v>22488</v>
      </c>
      <c r="AA30">
        <v>39013</v>
      </c>
      <c r="AB30" s="11">
        <f>SUM(K30:N30)</f>
        <v>66528</v>
      </c>
      <c r="AC30" s="11">
        <f>SUM(O30:R30)</f>
        <v>101239.94759488595</v>
      </c>
      <c r="AD30" s="11">
        <f>SUM(S30:V30)</f>
        <v>138597.24328351853</v>
      </c>
    </row>
    <row r="31" spans="1:30" x14ac:dyDescent="0.2">
      <c r="A31" t="s">
        <v>85</v>
      </c>
      <c r="F31">
        <f t="shared" ref="F31" si="16">F29-F30</f>
        <v>43461</v>
      </c>
      <c r="G31">
        <f t="shared" ref="G31:N31" si="17">G29-G30</f>
        <v>51048</v>
      </c>
      <c r="H31">
        <f t="shared" si="17"/>
        <v>61507</v>
      </c>
      <c r="I31">
        <f t="shared" si="17"/>
        <v>72805</v>
      </c>
      <c r="J31">
        <f t="shared" si="17"/>
        <v>83777</v>
      </c>
      <c r="K31">
        <f t="shared" si="17"/>
        <v>93888</v>
      </c>
      <c r="L31">
        <f t="shared" si="17"/>
        <v>106988</v>
      </c>
      <c r="M31">
        <f t="shared" si="17"/>
        <v>119063</v>
      </c>
      <c r="N31" s="20">
        <f t="shared" si="17"/>
        <v>132562</v>
      </c>
      <c r="O31" s="24">
        <f t="shared" ref="O31:V31" si="18">O29-O30</f>
        <v>151644.52349999998</v>
      </c>
      <c r="P31" s="24">
        <f t="shared" si="18"/>
        <v>159712.85945624998</v>
      </c>
      <c r="Q31" s="24">
        <f t="shared" si="18"/>
        <v>176415.25574718748</v>
      </c>
      <c r="R31" s="24">
        <f t="shared" si="18"/>
        <v>189756.24135464529</v>
      </c>
      <c r="S31" s="24">
        <f t="shared" si="18"/>
        <v>211359.9252585865</v>
      </c>
      <c r="T31" s="24">
        <f t="shared" si="18"/>
        <v>220903.35905159026</v>
      </c>
      <c r="U31" s="24">
        <f t="shared" si="18"/>
        <v>239954.28317636723</v>
      </c>
      <c r="V31" s="24">
        <f t="shared" si="18"/>
        <v>255317.82987238775</v>
      </c>
      <c r="Y31">
        <f>Y29-Y30</f>
        <v>66111</v>
      </c>
      <c r="Z31">
        <f>Z29-Z30</f>
        <v>138635</v>
      </c>
      <c r="AA31">
        <f>AA29-AA30</f>
        <v>269137</v>
      </c>
    </row>
    <row r="32" spans="1:30" x14ac:dyDescent="0.2">
      <c r="A32" t="s">
        <v>84</v>
      </c>
      <c r="F32" s="7">
        <f t="shared" ref="F32" si="19">F31/F29</f>
        <v>0.86675840612660049</v>
      </c>
      <c r="G32" s="7">
        <f t="shared" ref="G32:N32" si="20">G31/G29</f>
        <v>0.86563114698500987</v>
      </c>
      <c r="H32" s="7">
        <f t="shared" si="20"/>
        <v>0.87101890533172843</v>
      </c>
      <c r="I32" s="7">
        <f t="shared" si="20"/>
        <v>0.87697848659326894</v>
      </c>
      <c r="J32" s="7">
        <f t="shared" si="20"/>
        <v>0.8768329059605422</v>
      </c>
      <c r="K32" s="7">
        <f t="shared" si="20"/>
        <v>0.86535111569905154</v>
      </c>
      <c r="L32" s="7">
        <f t="shared" si="20"/>
        <v>0.86477311304741433</v>
      </c>
      <c r="M32" s="7">
        <f t="shared" si="20"/>
        <v>0.86975228828354989</v>
      </c>
      <c r="N32" s="7">
        <f t="shared" si="20"/>
        <v>0.884212351838635</v>
      </c>
      <c r="O32" s="23">
        <v>0.87</v>
      </c>
      <c r="P32" s="23">
        <v>0.87</v>
      </c>
      <c r="Q32" s="23">
        <v>0.87</v>
      </c>
      <c r="R32" s="23">
        <v>0.87</v>
      </c>
      <c r="S32" s="23">
        <v>0.87</v>
      </c>
      <c r="T32" s="23">
        <v>0.87</v>
      </c>
      <c r="U32" s="23">
        <v>0.87</v>
      </c>
      <c r="V32" s="23">
        <v>0.87</v>
      </c>
      <c r="W32" s="7"/>
      <c r="Y32" s="7">
        <f>Y31/Y29</f>
        <v>0.84661091831115776</v>
      </c>
      <c r="Z32" s="7">
        <f>Z31/Z29</f>
        <v>0.86042960967707904</v>
      </c>
      <c r="AA32" s="7">
        <f>AA31/AA29</f>
        <v>0.87339607334090541</v>
      </c>
    </row>
    <row r="33" spans="1:29" x14ac:dyDescent="0.2">
      <c r="A33" t="s">
        <v>18</v>
      </c>
      <c r="F33">
        <v>11428</v>
      </c>
      <c r="G33">
        <v>15581</v>
      </c>
      <c r="H33">
        <v>16271</v>
      </c>
      <c r="I33">
        <v>19875</v>
      </c>
      <c r="J33">
        <f>AA33-I33-H33-G33</f>
        <v>21959</v>
      </c>
      <c r="K33">
        <v>26541</v>
      </c>
      <c r="L33">
        <v>33962</v>
      </c>
      <c r="M33">
        <v>33984</v>
      </c>
      <c r="N33" s="24">
        <v>32560</v>
      </c>
      <c r="O33" s="24">
        <f t="shared" ref="O33:V33" si="21">N33*1.015</f>
        <v>33048.399999999994</v>
      </c>
      <c r="P33" s="24">
        <f t="shared" si="21"/>
        <v>33544.125999999989</v>
      </c>
      <c r="Q33" s="24">
        <f t="shared" si="21"/>
        <v>34047.287889999985</v>
      </c>
      <c r="R33" s="24">
        <f t="shared" si="21"/>
        <v>34557.997208349982</v>
      </c>
      <c r="S33" s="24">
        <f t="shared" si="21"/>
        <v>35076.367166475226</v>
      </c>
      <c r="T33" s="24">
        <f t="shared" si="21"/>
        <v>35602.512673972349</v>
      </c>
      <c r="U33" s="24">
        <f t="shared" si="21"/>
        <v>36136.55036408193</v>
      </c>
      <c r="V33" s="24">
        <f t="shared" si="21"/>
        <v>36678.598619543154</v>
      </c>
      <c r="Y33">
        <v>24637</v>
      </c>
      <c r="Z33">
        <v>43480</v>
      </c>
      <c r="AA33">
        <v>73686</v>
      </c>
    </row>
    <row r="34" spans="1:29" x14ac:dyDescent="0.2">
      <c r="A34" t="s">
        <v>19</v>
      </c>
      <c r="F34">
        <v>56901</v>
      </c>
      <c r="G34">
        <v>63048</v>
      </c>
      <c r="H34">
        <v>61057</v>
      </c>
      <c r="I34">
        <v>67443</v>
      </c>
      <c r="J34">
        <f>AA34-I34-H34-G34</f>
        <v>76535</v>
      </c>
      <c r="K34">
        <v>115973</v>
      </c>
      <c r="L34">
        <v>96740</v>
      </c>
      <c r="M34">
        <v>90970</v>
      </c>
      <c r="N34" s="24">
        <v>88385</v>
      </c>
      <c r="O34" s="24">
        <f t="shared" ref="O34:V34" si="22">N34*(1+O48)</f>
        <v>91036.55</v>
      </c>
      <c r="P34" s="24">
        <f t="shared" si="22"/>
        <v>92402.098249999995</v>
      </c>
      <c r="Q34" s="24">
        <f t="shared" si="22"/>
        <v>93788.129723749982</v>
      </c>
      <c r="R34" s="24">
        <f t="shared" si="22"/>
        <v>95194.95166960622</v>
      </c>
      <c r="S34" s="24">
        <f t="shared" si="22"/>
        <v>96622.87594465031</v>
      </c>
      <c r="T34" s="24">
        <f t="shared" si="22"/>
        <v>98072.219083820062</v>
      </c>
      <c r="U34" s="24">
        <f t="shared" si="22"/>
        <v>99543.302370077348</v>
      </c>
      <c r="V34" s="24">
        <f t="shared" si="22"/>
        <v>101036.45190562849</v>
      </c>
      <c r="Y34">
        <v>118534</v>
      </c>
      <c r="Z34">
        <v>191353</v>
      </c>
      <c r="AA34">
        <v>268083</v>
      </c>
    </row>
    <row r="35" spans="1:29" x14ac:dyDescent="0.2">
      <c r="A35" t="s">
        <v>20</v>
      </c>
      <c r="F35">
        <v>36828</v>
      </c>
      <c r="G35">
        <v>10266</v>
      </c>
      <c r="H35">
        <v>11648</v>
      </c>
      <c r="I35">
        <v>14698</v>
      </c>
      <c r="J35">
        <v>16881</v>
      </c>
      <c r="K35">
        <v>18870</v>
      </c>
      <c r="L35">
        <v>22466</v>
      </c>
      <c r="M35">
        <v>22348</v>
      </c>
      <c r="N35" s="24">
        <v>21717</v>
      </c>
      <c r="O35" s="24">
        <f t="shared" ref="O35:V35" si="23">N35*1.04</f>
        <v>22585.68</v>
      </c>
      <c r="P35" s="24">
        <f t="shared" si="23"/>
        <v>23489.107200000002</v>
      </c>
      <c r="Q35" s="24">
        <f t="shared" si="23"/>
        <v>24428.671488000004</v>
      </c>
      <c r="R35" s="24">
        <f t="shared" si="23"/>
        <v>25405.818347520006</v>
      </c>
      <c r="S35" s="24">
        <f t="shared" si="23"/>
        <v>26422.051081420806</v>
      </c>
      <c r="T35" s="24">
        <f t="shared" si="23"/>
        <v>27478.933124677638</v>
      </c>
      <c r="U35" s="24">
        <f t="shared" si="23"/>
        <v>28578.090449664745</v>
      </c>
      <c r="V35" s="24">
        <f t="shared" si="23"/>
        <v>29721.214067651337</v>
      </c>
      <c r="Y35">
        <v>15458</v>
      </c>
      <c r="Z35">
        <v>54339</v>
      </c>
      <c r="AA35">
        <v>53493</v>
      </c>
    </row>
    <row r="36" spans="1:29" x14ac:dyDescent="0.2">
      <c r="A36" t="s">
        <v>86</v>
      </c>
      <c r="F36">
        <f t="shared" ref="F36" si="24">F33+F34+F35</f>
        <v>105157</v>
      </c>
      <c r="G36">
        <f t="shared" ref="G36:V36" si="25">G33+G34+G35</f>
        <v>88895</v>
      </c>
      <c r="H36">
        <f t="shared" si="25"/>
        <v>88976</v>
      </c>
      <c r="I36">
        <f t="shared" si="25"/>
        <v>102016</v>
      </c>
      <c r="J36">
        <f t="shared" si="25"/>
        <v>115375</v>
      </c>
      <c r="K36">
        <f t="shared" si="25"/>
        <v>161384</v>
      </c>
      <c r="L36">
        <f t="shared" si="25"/>
        <v>153168</v>
      </c>
      <c r="M36" s="3">
        <f t="shared" si="25"/>
        <v>147302</v>
      </c>
      <c r="N36" s="3">
        <f t="shared" si="25"/>
        <v>142662</v>
      </c>
      <c r="O36" s="24">
        <f t="shared" si="25"/>
        <v>146670.63</v>
      </c>
      <c r="P36" s="24">
        <f t="shared" si="25"/>
        <v>149435.33145</v>
      </c>
      <c r="Q36" s="24">
        <f t="shared" si="25"/>
        <v>152264.08910174997</v>
      </c>
      <c r="R36" s="24">
        <f t="shared" si="25"/>
        <v>155158.76722547621</v>
      </c>
      <c r="S36" s="24">
        <f t="shared" si="25"/>
        <v>158121.29419254634</v>
      </c>
      <c r="T36" s="24">
        <f t="shared" si="25"/>
        <v>161153.66488247004</v>
      </c>
      <c r="U36" s="24">
        <f t="shared" si="25"/>
        <v>164257.94318382401</v>
      </c>
      <c r="V36" s="24">
        <f t="shared" si="25"/>
        <v>167436.26459282299</v>
      </c>
      <c r="Y36">
        <f>Y33+Y34+Y35</f>
        <v>158629</v>
      </c>
      <c r="Z36">
        <f>Z33+Z34+Z35</f>
        <v>289172</v>
      </c>
      <c r="AA36">
        <f>AA33+AA34+AA35</f>
        <v>395262</v>
      </c>
    </row>
    <row r="37" spans="1:29" x14ac:dyDescent="0.2">
      <c r="A37" t="s">
        <v>87</v>
      </c>
      <c r="F37">
        <f t="shared" ref="F37" si="26">F31-F36</f>
        <v>-61696</v>
      </c>
      <c r="G37">
        <f t="shared" ref="G37:V37" si="27">G31-G36</f>
        <v>-37847</v>
      </c>
      <c r="H37">
        <f t="shared" si="27"/>
        <v>-27469</v>
      </c>
      <c r="I37">
        <f t="shared" si="27"/>
        <v>-29211</v>
      </c>
      <c r="J37">
        <f t="shared" si="27"/>
        <v>-31598</v>
      </c>
      <c r="K37">
        <f t="shared" si="27"/>
        <v>-67496</v>
      </c>
      <c r="L37">
        <f t="shared" si="27"/>
        <v>-46180</v>
      </c>
      <c r="M37" s="3">
        <f t="shared" si="27"/>
        <v>-28239</v>
      </c>
      <c r="N37" s="3">
        <f t="shared" si="27"/>
        <v>-10100</v>
      </c>
      <c r="O37" s="24">
        <f t="shared" si="27"/>
        <v>4973.8934999999765</v>
      </c>
      <c r="P37" s="24">
        <f t="shared" si="27"/>
        <v>10277.528006249981</v>
      </c>
      <c r="Q37" s="24">
        <f t="shared" si="27"/>
        <v>24151.166645437508</v>
      </c>
      <c r="R37" s="24">
        <f t="shared" si="27"/>
        <v>34597.474129169073</v>
      </c>
      <c r="S37" s="24">
        <f t="shared" si="27"/>
        <v>53238.631066040165</v>
      </c>
      <c r="T37" s="24">
        <f t="shared" si="27"/>
        <v>59749.694169120223</v>
      </c>
      <c r="U37" s="24">
        <f t="shared" si="27"/>
        <v>75696.339992543217</v>
      </c>
      <c r="V37" s="24">
        <f t="shared" si="27"/>
        <v>87881.565279564762</v>
      </c>
      <c r="Y37">
        <f>Y31-Y36</f>
        <v>-92518</v>
      </c>
      <c r="Z37">
        <f>Z31-Z36</f>
        <v>-150537</v>
      </c>
      <c r="AA37">
        <f>AA31-AA36</f>
        <v>-126125</v>
      </c>
    </row>
    <row r="38" spans="1:29" x14ac:dyDescent="0.2">
      <c r="A38" t="s">
        <v>70</v>
      </c>
      <c r="F38">
        <v>-203</v>
      </c>
      <c r="G38">
        <v>-406</v>
      </c>
      <c r="H38">
        <v>-359</v>
      </c>
      <c r="I38">
        <v>-220</v>
      </c>
      <c r="J38">
        <v>147</v>
      </c>
      <c r="K38">
        <v>1993</v>
      </c>
      <c r="L38">
        <v>2452</v>
      </c>
      <c r="M38">
        <v>6972</v>
      </c>
      <c r="N38" s="24">
        <v>11137</v>
      </c>
      <c r="Y38">
        <f>2359+769</f>
        <v>3128</v>
      </c>
      <c r="Z38">
        <f>1537-1011</f>
        <v>526</v>
      </c>
      <c r="AA38">
        <f>875-1713</f>
        <v>-838</v>
      </c>
    </row>
    <row r="39" spans="1:29" x14ac:dyDescent="0.2">
      <c r="A39" t="s">
        <v>88</v>
      </c>
      <c r="F39">
        <f>F37+F38</f>
        <v>-61899</v>
      </c>
      <c r="G39">
        <f>G37+G38</f>
        <v>-38253</v>
      </c>
      <c r="H39">
        <f t="shared" ref="H39:Y39" si="28">H37+H38</f>
        <v>-27828</v>
      </c>
      <c r="I39">
        <f t="shared" si="28"/>
        <v>-29431</v>
      </c>
      <c r="J39">
        <f t="shared" si="28"/>
        <v>-31451</v>
      </c>
      <c r="K39">
        <f t="shared" si="28"/>
        <v>-65503</v>
      </c>
      <c r="L39">
        <f t="shared" si="28"/>
        <v>-43728</v>
      </c>
      <c r="M39">
        <f t="shared" si="28"/>
        <v>-21267</v>
      </c>
      <c r="N39">
        <f t="shared" si="28"/>
        <v>1037</v>
      </c>
      <c r="O39" s="24">
        <f t="shared" ref="O39" si="29">O37+O38</f>
        <v>4973.8934999999765</v>
      </c>
      <c r="P39" s="24">
        <f t="shared" ref="P39" si="30">P37+P38</f>
        <v>10277.528006249981</v>
      </c>
      <c r="Q39" s="24">
        <f t="shared" ref="Q39" si="31">Q37+Q38</f>
        <v>24151.166645437508</v>
      </c>
      <c r="R39" s="24">
        <f t="shared" ref="R39" si="32">R37+R38</f>
        <v>34597.474129169073</v>
      </c>
      <c r="S39" s="24">
        <f t="shared" ref="S39" si="33">S37+S38</f>
        <v>53238.631066040165</v>
      </c>
      <c r="T39" s="24">
        <f t="shared" ref="T39" si="34">T37+T38</f>
        <v>59749.694169120223</v>
      </c>
      <c r="U39" s="24">
        <f t="shared" ref="U39" si="35">U37+U38</f>
        <v>75696.339992543217</v>
      </c>
      <c r="V39" s="24">
        <f t="shared" ref="V39" si="36">V37+V38</f>
        <v>87881.565279564762</v>
      </c>
      <c r="Y39">
        <f t="shared" si="28"/>
        <v>-89390</v>
      </c>
      <c r="Z39">
        <f t="shared" ref="Z39" si="37">Z37+Z38</f>
        <v>-150011</v>
      </c>
      <c r="AA39">
        <f t="shared" ref="AA39" si="38">AA37+AA38</f>
        <v>-126963</v>
      </c>
    </row>
    <row r="40" spans="1:29" x14ac:dyDescent="0.2">
      <c r="A40" t="s">
        <v>21</v>
      </c>
      <c r="F40">
        <v>-962</v>
      </c>
      <c r="G40">
        <v>-699</v>
      </c>
      <c r="H40">
        <v>-1063</v>
      </c>
      <c r="I40">
        <v>585</v>
      </c>
      <c r="J40">
        <f>AA40-I40-H40-G40</f>
        <v>-1154</v>
      </c>
      <c r="K40">
        <v>-1175</v>
      </c>
      <c r="L40">
        <v>-1943</v>
      </c>
      <c r="M40">
        <v>-1763</v>
      </c>
      <c r="N40" s="20">
        <v>-2525</v>
      </c>
      <c r="Y40">
        <v>-683</v>
      </c>
      <c r="Z40">
        <v>-2192</v>
      </c>
      <c r="AA40">
        <v>-2331</v>
      </c>
    </row>
    <row r="41" spans="1:29" x14ac:dyDescent="0.2">
      <c r="A41" t="s">
        <v>139</v>
      </c>
      <c r="F41">
        <v>-4717</v>
      </c>
    </row>
    <row r="42" spans="1:29" x14ac:dyDescent="0.2">
      <c r="A42" t="s">
        <v>36</v>
      </c>
      <c r="F42">
        <f>F39+F40+F41</f>
        <v>-67578</v>
      </c>
      <c r="G42">
        <f>G39+G40</f>
        <v>-38952</v>
      </c>
      <c r="H42">
        <f t="shared" ref="H42:N42" si="39">H39+H40</f>
        <v>-28891</v>
      </c>
      <c r="I42">
        <f t="shared" si="39"/>
        <v>-28846</v>
      </c>
      <c r="J42">
        <f t="shared" si="39"/>
        <v>-32605</v>
      </c>
      <c r="K42">
        <f t="shared" si="39"/>
        <v>-66678</v>
      </c>
      <c r="L42">
        <f t="shared" si="39"/>
        <v>-45671</v>
      </c>
      <c r="M42" s="3">
        <f t="shared" si="39"/>
        <v>-23030</v>
      </c>
      <c r="N42" s="3">
        <f t="shared" si="39"/>
        <v>-1488</v>
      </c>
      <c r="O42" s="24">
        <f t="shared" ref="O42" si="40">O39+O40</f>
        <v>4973.8934999999765</v>
      </c>
      <c r="P42" s="24">
        <f t="shared" ref="P42" si="41">P39+P40</f>
        <v>10277.528006249981</v>
      </c>
      <c r="Q42" s="24">
        <f t="shared" ref="Q42" si="42">Q39+Q40</f>
        <v>24151.166645437508</v>
      </c>
      <c r="R42" s="24">
        <f t="shared" ref="R42" si="43">R39+R40</f>
        <v>34597.474129169073</v>
      </c>
      <c r="S42" s="24">
        <f t="shared" ref="S42" si="44">S39+S40</f>
        <v>53238.631066040165</v>
      </c>
      <c r="T42" s="24">
        <f t="shared" ref="T42" si="45">T39+T40</f>
        <v>59749.694169120223</v>
      </c>
      <c r="U42" s="24">
        <f t="shared" ref="U42" si="46">U39+U40</f>
        <v>75696.339992543217</v>
      </c>
      <c r="V42" s="24">
        <f t="shared" ref="V42" si="47">V39+V40</f>
        <v>87881.565279564762</v>
      </c>
      <c r="Y42">
        <f>Y39+Y40</f>
        <v>-90073</v>
      </c>
      <c r="Z42">
        <f t="shared" ref="Z42" si="48">Z39+Z40</f>
        <v>-152203</v>
      </c>
      <c r="AA42">
        <f t="shared" ref="AA42" si="49">AA39+AA40</f>
        <v>-129294</v>
      </c>
    </row>
    <row r="43" spans="1:29" x14ac:dyDescent="0.2">
      <c r="A43" t="s">
        <v>22</v>
      </c>
      <c r="G43">
        <v>-38952</v>
      </c>
      <c r="H43">
        <v>-28891</v>
      </c>
      <c r="I43">
        <v>-28846</v>
      </c>
      <c r="J43">
        <f>AA43-I43-H43-G43</f>
        <v>-32605</v>
      </c>
      <c r="K43">
        <v>-66678</v>
      </c>
      <c r="L43">
        <v>-45671</v>
      </c>
      <c r="M43">
        <v>-23030</v>
      </c>
      <c r="N43" s="20">
        <v>-1488</v>
      </c>
      <c r="Y43">
        <v>-91611</v>
      </c>
      <c r="Z43">
        <v>-152203</v>
      </c>
      <c r="AA43">
        <v>-129294</v>
      </c>
    </row>
    <row r="44" spans="1:29" x14ac:dyDescent="0.2">
      <c r="A44" t="s">
        <v>124</v>
      </c>
      <c r="F44">
        <v>12.33489</v>
      </c>
      <c r="G44" s="15">
        <v>12.392298</v>
      </c>
      <c r="H44" s="15">
        <f>AA44*4-G44-I44-J44</f>
        <v>19.926300000000005</v>
      </c>
      <c r="I44" s="15">
        <v>44.267434000000002</v>
      </c>
      <c r="J44" s="15">
        <v>44.741992000000003</v>
      </c>
      <c r="K44" s="15">
        <v>44.978893999999997</v>
      </c>
      <c r="L44" s="15">
        <v>45.074911999999998</v>
      </c>
      <c r="M44" s="15">
        <v>45.477803999999999</v>
      </c>
      <c r="N44" s="32">
        <v>47.658999999999999</v>
      </c>
      <c r="P44" s="32"/>
      <c r="Q44" s="32"/>
      <c r="R44" s="32"/>
      <c r="S44" s="32"/>
      <c r="T44" s="32"/>
      <c r="U44" s="32"/>
      <c r="V44" s="32"/>
      <c r="W44" s="15"/>
      <c r="X44" s="15"/>
      <c r="Y44" s="15">
        <v>11.348428</v>
      </c>
      <c r="Z44" s="15">
        <v>12.048909</v>
      </c>
      <c r="AA44" s="15">
        <v>30.332006</v>
      </c>
      <c r="AB44" s="15"/>
      <c r="AC44" s="15"/>
    </row>
    <row r="45" spans="1:29" x14ac:dyDescent="0.2">
      <c r="N45" s="32"/>
    </row>
    <row r="47" spans="1:29" x14ac:dyDescent="0.2">
      <c r="A47" s="4" t="s">
        <v>119</v>
      </c>
      <c r="B47" s="4"/>
      <c r="C47" s="4"/>
      <c r="D47" s="4"/>
      <c r="E47" s="4"/>
      <c r="F47" s="4"/>
    </row>
    <row r="48" spans="1:29" x14ac:dyDescent="0.2">
      <c r="A48" t="s">
        <v>108</v>
      </c>
      <c r="G48" s="16"/>
      <c r="H48" s="7">
        <f>H34/G34-1</f>
        <v>-3.1579114325593238E-2</v>
      </c>
      <c r="I48" s="7">
        <f t="shared" ref="I48:M48" si="50">I34/H34-1</f>
        <v>0.10459079221055734</v>
      </c>
      <c r="J48" s="7">
        <f t="shared" si="50"/>
        <v>0.13481013596666824</v>
      </c>
      <c r="K48" s="7">
        <f t="shared" si="50"/>
        <v>0.51529365649702741</v>
      </c>
      <c r="L48" s="7">
        <f t="shared" si="50"/>
        <v>-0.16584032490321021</v>
      </c>
      <c r="M48" s="7">
        <f t="shared" si="50"/>
        <v>-5.9644407690717438E-2</v>
      </c>
      <c r="N48" s="28"/>
      <c r="O48" s="28">
        <v>0.03</v>
      </c>
      <c r="P48" s="28">
        <v>1.4999999999999999E-2</v>
      </c>
      <c r="Q48" s="28">
        <v>1.4999999999999999E-2</v>
      </c>
      <c r="R48" s="28">
        <v>1.4999999999999999E-2</v>
      </c>
      <c r="S48" s="28">
        <v>1.4999999999999999E-2</v>
      </c>
      <c r="T48" s="28">
        <v>1.4999999999999999E-2</v>
      </c>
      <c r="U48" s="28">
        <v>1.4999999999999999E-2</v>
      </c>
      <c r="V48" s="28">
        <v>1.4999999999999999E-2</v>
      </c>
    </row>
    <row r="49" spans="1:22" x14ac:dyDescent="0.2">
      <c r="A49" t="s">
        <v>107</v>
      </c>
      <c r="G49" s="7">
        <f t="shared" ref="G49:V49" si="51">G34/G29</f>
        <v>1.0691175473105881</v>
      </c>
      <c r="H49" s="7">
        <f t="shared" si="51"/>
        <v>0.86464632160305888</v>
      </c>
      <c r="I49" s="7">
        <f t="shared" si="51"/>
        <v>0.81239008407815172</v>
      </c>
      <c r="J49" s="7">
        <f t="shared" si="51"/>
        <v>0.80103616097127006</v>
      </c>
      <c r="K49" s="7">
        <f t="shared" si="51"/>
        <v>1.0689051310174476</v>
      </c>
      <c r="L49" s="7">
        <f t="shared" si="51"/>
        <v>0.78193957225302702</v>
      </c>
      <c r="M49" s="7">
        <f t="shared" si="51"/>
        <v>0.66453361384438936</v>
      </c>
      <c r="N49" s="23"/>
      <c r="O49" s="23">
        <f t="shared" si="51"/>
        <v>0.52228591360900689</v>
      </c>
      <c r="P49" s="23">
        <f t="shared" si="51"/>
        <v>0.50333971698453694</v>
      </c>
      <c r="Q49" s="23">
        <f t="shared" si="51"/>
        <v>0.46252050319612642</v>
      </c>
      <c r="R49" s="23">
        <f t="shared" si="51"/>
        <v>0.43645261605794322</v>
      </c>
      <c r="S49" s="23">
        <f t="shared" si="51"/>
        <v>0.39771920797663485</v>
      </c>
      <c r="T49" s="23">
        <f t="shared" si="51"/>
        <v>0.38624505742801751</v>
      </c>
      <c r="U49" s="23">
        <f t="shared" si="51"/>
        <v>0.36091322028335715</v>
      </c>
      <c r="V49" s="23">
        <f t="shared" si="51"/>
        <v>0.34428348855162832</v>
      </c>
    </row>
    <row r="52" spans="1:22" x14ac:dyDescent="0.2">
      <c r="K52" s="7">
        <f>K29/G29-1</f>
        <v>0.83980533134368862</v>
      </c>
      <c r="L52" s="7">
        <f>L29/H29-1</f>
        <v>0.75200736387453082</v>
      </c>
      <c r="M52" s="7">
        <f>M29/I29-1</f>
        <v>0.64895564817268547</v>
      </c>
      <c r="N52" s="23"/>
      <c r="O52" s="23">
        <f t="shared" ref="O52:V52" si="52">O29/K29-1</f>
        <v>0.60653336036941097</v>
      </c>
      <c r="P52" s="23">
        <f t="shared" si="52"/>
        <v>0.48384228143843244</v>
      </c>
      <c r="Q52" s="23">
        <f t="shared" si="52"/>
        <v>0.48127483531846016</v>
      </c>
      <c r="R52" s="23">
        <f t="shared" si="52"/>
        <v>0.4548370291468089</v>
      </c>
      <c r="S52" s="23">
        <f t="shared" si="52"/>
        <v>0.39378541592098126</v>
      </c>
      <c r="T52" s="23">
        <f t="shared" si="52"/>
        <v>0.38312819521024322</v>
      </c>
      <c r="U52" s="23">
        <f t="shared" si="52"/>
        <v>0.36016741953561326</v>
      </c>
      <c r="V52" s="23">
        <f t="shared" si="52"/>
        <v>0.34550425350811498</v>
      </c>
    </row>
    <row r="63" spans="1:22" s="18" customFormat="1" x14ac:dyDescent="0.2">
      <c r="A63" s="17" t="s">
        <v>41</v>
      </c>
      <c r="B63" s="17"/>
      <c r="C63" s="17"/>
      <c r="D63" s="17"/>
      <c r="E63" s="17"/>
      <c r="F63" s="17"/>
      <c r="N63" s="20"/>
      <c r="O63" s="20"/>
      <c r="P63" s="20"/>
      <c r="Q63" s="20"/>
      <c r="R63" s="20"/>
      <c r="S63" s="20"/>
      <c r="T63" s="20"/>
      <c r="U63" s="20"/>
      <c r="V63" s="20"/>
    </row>
    <row r="64" spans="1:22" x14ac:dyDescent="0.2">
      <c r="A64" t="s">
        <v>42</v>
      </c>
      <c r="G64">
        <v>124281</v>
      </c>
      <c r="H64">
        <v>865328</v>
      </c>
      <c r="I64">
        <v>876220</v>
      </c>
      <c r="J64">
        <v>886812</v>
      </c>
      <c r="K64">
        <v>849576</v>
      </c>
      <c r="L64">
        <v>834620</v>
      </c>
      <c r="M64">
        <v>852568</v>
      </c>
    </row>
    <row r="65" spans="1:13" x14ac:dyDescent="0.2">
      <c r="A65" t="s">
        <v>138</v>
      </c>
      <c r="G65">
        <v>10000</v>
      </c>
      <c r="H65">
        <v>10051</v>
      </c>
    </row>
    <row r="66" spans="1:13" x14ac:dyDescent="0.2">
      <c r="A66" t="s">
        <v>43</v>
      </c>
      <c r="G66">
        <v>4897</v>
      </c>
      <c r="H66">
        <v>4364</v>
      </c>
      <c r="I66">
        <v>6958</v>
      </c>
      <c r="J66">
        <v>8509</v>
      </c>
      <c r="K66">
        <v>9894</v>
      </c>
      <c r="L66">
        <v>9510</v>
      </c>
      <c r="M66">
        <v>14466</v>
      </c>
    </row>
    <row r="67" spans="1:13" x14ac:dyDescent="0.2">
      <c r="A67" t="s">
        <v>44</v>
      </c>
      <c r="G67">
        <v>6572</v>
      </c>
      <c r="H67">
        <v>6901</v>
      </c>
      <c r="I67">
        <v>15402</v>
      </c>
      <c r="J67">
        <v>18172</v>
      </c>
      <c r="K67">
        <v>15676</v>
      </c>
      <c r="L67">
        <v>24314</v>
      </c>
      <c r="M67">
        <v>22510</v>
      </c>
    </row>
    <row r="68" spans="1:13" x14ac:dyDescent="0.2">
      <c r="A68" t="s">
        <v>45</v>
      </c>
      <c r="G68">
        <f>G64+G65+G66+G67</f>
        <v>145750</v>
      </c>
      <c r="H68">
        <f>H64+H65+H66+H67</f>
        <v>886644</v>
      </c>
      <c r="I68">
        <f t="shared" ref="I68:M68" si="53">I64+I65+I66+I67</f>
        <v>898580</v>
      </c>
      <c r="J68">
        <f t="shared" si="53"/>
        <v>913493</v>
      </c>
      <c r="K68">
        <f t="shared" si="53"/>
        <v>875146</v>
      </c>
      <c r="L68">
        <f t="shared" si="53"/>
        <v>868444</v>
      </c>
      <c r="M68">
        <f t="shared" si="53"/>
        <v>889544</v>
      </c>
    </row>
    <row r="70" spans="1:13" x14ac:dyDescent="0.2">
      <c r="A70" t="s">
        <v>46</v>
      </c>
      <c r="G70">
        <v>11486</v>
      </c>
      <c r="H70">
        <v>13905</v>
      </c>
      <c r="I70">
        <v>18490</v>
      </c>
      <c r="J70">
        <v>19599</v>
      </c>
      <c r="K70">
        <v>22583</v>
      </c>
      <c r="L70">
        <v>26694</v>
      </c>
      <c r="M70">
        <v>31645</v>
      </c>
    </row>
    <row r="71" spans="1:13" x14ac:dyDescent="0.2">
      <c r="A71" t="s">
        <v>50</v>
      </c>
      <c r="K71">
        <v>62144</v>
      </c>
      <c r="L71">
        <v>64456</v>
      </c>
      <c r="M71">
        <v>88710</v>
      </c>
    </row>
    <row r="72" spans="1:13" x14ac:dyDescent="0.2">
      <c r="A72" t="s">
        <v>47</v>
      </c>
      <c r="G72">
        <v>3243</v>
      </c>
      <c r="H72">
        <v>2100</v>
      </c>
      <c r="I72">
        <v>132</v>
      </c>
      <c r="J72">
        <v>100</v>
      </c>
      <c r="K72">
        <v>100</v>
      </c>
      <c r="L72">
        <v>100</v>
      </c>
      <c r="M72">
        <v>176</v>
      </c>
    </row>
    <row r="73" spans="1:13" x14ac:dyDescent="0.2">
      <c r="A73" t="s">
        <v>48</v>
      </c>
      <c r="G73">
        <f t="shared" ref="G73:M73" si="54">G68+G70+G71+G72</f>
        <v>160479</v>
      </c>
      <c r="H73">
        <f t="shared" si="54"/>
        <v>902649</v>
      </c>
      <c r="I73">
        <f t="shared" si="54"/>
        <v>917202</v>
      </c>
      <c r="J73">
        <f t="shared" si="54"/>
        <v>933192</v>
      </c>
      <c r="K73">
        <f t="shared" si="54"/>
        <v>959973</v>
      </c>
      <c r="L73">
        <f t="shared" si="54"/>
        <v>959694</v>
      </c>
      <c r="M73">
        <f t="shared" si="54"/>
        <v>1010075</v>
      </c>
    </row>
    <row r="75" spans="1:13" x14ac:dyDescent="0.2">
      <c r="A75" t="s">
        <v>31</v>
      </c>
      <c r="G75">
        <v>29677</v>
      </c>
      <c r="H75">
        <v>25325</v>
      </c>
      <c r="I75">
        <v>22371</v>
      </c>
      <c r="J75">
        <v>23612</v>
      </c>
      <c r="K75">
        <v>17632</v>
      </c>
      <c r="L75">
        <v>10917</v>
      </c>
      <c r="M75">
        <v>6827</v>
      </c>
    </row>
    <row r="76" spans="1:13" x14ac:dyDescent="0.2">
      <c r="A76" t="s">
        <v>49</v>
      </c>
      <c r="G76">
        <v>28526</v>
      </c>
      <c r="H76">
        <v>34529</v>
      </c>
      <c r="I76">
        <v>64456</v>
      </c>
      <c r="J76">
        <v>70135</v>
      </c>
      <c r="K76">
        <v>55238</v>
      </c>
      <c r="L76">
        <v>68238</v>
      </c>
      <c r="M76">
        <v>75957</v>
      </c>
    </row>
    <row r="77" spans="1:13" x14ac:dyDescent="0.2">
      <c r="A77" t="s">
        <v>32</v>
      </c>
      <c r="G77">
        <v>87703</v>
      </c>
      <c r="H77">
        <v>101923</v>
      </c>
      <c r="I77">
        <v>117174</v>
      </c>
      <c r="J77">
        <v>134438</v>
      </c>
      <c r="K77">
        <v>160930</v>
      </c>
      <c r="L77">
        <v>177882</v>
      </c>
      <c r="M77">
        <v>189385</v>
      </c>
    </row>
    <row r="78" spans="1:13" x14ac:dyDescent="0.2">
      <c r="A78" t="s">
        <v>51</v>
      </c>
      <c r="G78">
        <v>21037</v>
      </c>
      <c r="H78">
        <v>21035</v>
      </c>
      <c r="K78">
        <v>10731</v>
      </c>
      <c r="L78">
        <v>10885</v>
      </c>
      <c r="M78">
        <v>16874</v>
      </c>
    </row>
    <row r="79" spans="1:13" x14ac:dyDescent="0.2">
      <c r="A79" t="s">
        <v>52</v>
      </c>
      <c r="G79">
        <f t="shared" ref="G79:M79" si="55">G75+G76+G77+G78</f>
        <v>166943</v>
      </c>
      <c r="H79">
        <f t="shared" si="55"/>
        <v>182812</v>
      </c>
      <c r="I79">
        <f t="shared" si="55"/>
        <v>204001</v>
      </c>
      <c r="J79">
        <f t="shared" si="55"/>
        <v>228185</v>
      </c>
      <c r="K79">
        <f t="shared" si="55"/>
        <v>244531</v>
      </c>
      <c r="L79">
        <f t="shared" si="55"/>
        <v>267922</v>
      </c>
      <c r="M79">
        <f t="shared" si="55"/>
        <v>289043</v>
      </c>
    </row>
    <row r="80" spans="1:13" x14ac:dyDescent="0.2">
      <c r="A80" t="s">
        <v>134</v>
      </c>
      <c r="K80">
        <v>51103</v>
      </c>
      <c r="L80">
        <v>47703</v>
      </c>
      <c r="M80">
        <v>67148</v>
      </c>
    </row>
    <row r="81" spans="1:27" x14ac:dyDescent="0.2">
      <c r="A81" t="s">
        <v>53</v>
      </c>
      <c r="G81">
        <v>1182</v>
      </c>
      <c r="H81">
        <v>1244</v>
      </c>
      <c r="I81">
        <v>1385</v>
      </c>
      <c r="J81">
        <v>1612</v>
      </c>
      <c r="K81">
        <v>1757</v>
      </c>
      <c r="L81">
        <v>2039</v>
      </c>
      <c r="M81">
        <v>2383</v>
      </c>
    </row>
    <row r="82" spans="1:27" x14ac:dyDescent="0.2">
      <c r="A82" t="s">
        <v>54</v>
      </c>
      <c r="G82">
        <f t="shared" ref="G82:M82" si="56">G79+G80+G81</f>
        <v>168125</v>
      </c>
      <c r="H82">
        <f t="shared" si="56"/>
        <v>184056</v>
      </c>
      <c r="I82">
        <f t="shared" si="56"/>
        <v>205386</v>
      </c>
      <c r="J82">
        <f t="shared" si="56"/>
        <v>229797</v>
      </c>
      <c r="K82">
        <f t="shared" si="56"/>
        <v>297391</v>
      </c>
      <c r="L82">
        <f t="shared" si="56"/>
        <v>317664</v>
      </c>
      <c r="M82">
        <f t="shared" si="56"/>
        <v>358574</v>
      </c>
    </row>
    <row r="84" spans="1:27" x14ac:dyDescent="0.2">
      <c r="A84" t="s">
        <v>139</v>
      </c>
      <c r="G84">
        <v>233496</v>
      </c>
    </row>
    <row r="85" spans="1:27" x14ac:dyDescent="0.2">
      <c r="A85" t="s">
        <v>55</v>
      </c>
      <c r="I85">
        <v>45</v>
      </c>
      <c r="J85">
        <v>594</v>
      </c>
      <c r="K85">
        <v>807</v>
      </c>
      <c r="L85">
        <v>-6749</v>
      </c>
      <c r="M85">
        <v>-6338</v>
      </c>
    </row>
    <row r="86" spans="1:27" x14ac:dyDescent="0.2">
      <c r="A86" t="s">
        <v>56</v>
      </c>
      <c r="G86">
        <v>114176</v>
      </c>
      <c r="H86">
        <v>1102802</v>
      </c>
      <c r="I86">
        <v>1124826</v>
      </c>
      <c r="J86">
        <v>1148461</v>
      </c>
      <c r="K86">
        <v>1174113</v>
      </c>
      <c r="L86">
        <v>1206788</v>
      </c>
      <c r="M86">
        <v>1238878</v>
      </c>
    </row>
    <row r="87" spans="1:27" x14ac:dyDescent="0.2">
      <c r="A87" t="s">
        <v>57</v>
      </c>
      <c r="G87">
        <v>-355318</v>
      </c>
      <c r="H87">
        <v>-384209</v>
      </c>
      <c r="I87">
        <v>-413055</v>
      </c>
      <c r="J87">
        <v>-445660</v>
      </c>
      <c r="K87">
        <v>-512338</v>
      </c>
      <c r="L87">
        <v>-558009</v>
      </c>
      <c r="M87">
        <v>-581039</v>
      </c>
    </row>
    <row r="88" spans="1:27" x14ac:dyDescent="0.2">
      <c r="A88" t="s">
        <v>58</v>
      </c>
      <c r="G88">
        <f>G85+G86+G87+G84</f>
        <v>-7646</v>
      </c>
      <c r="H88">
        <f t="shared" ref="H88:M88" si="57">H85+H86+H87</f>
        <v>718593</v>
      </c>
      <c r="I88">
        <f t="shared" si="57"/>
        <v>711816</v>
      </c>
      <c r="J88">
        <f t="shared" si="57"/>
        <v>703395</v>
      </c>
      <c r="K88">
        <f t="shared" si="57"/>
        <v>662582</v>
      </c>
      <c r="L88">
        <f t="shared" si="57"/>
        <v>642030</v>
      </c>
      <c r="M88">
        <f t="shared" si="57"/>
        <v>651501</v>
      </c>
    </row>
    <row r="90" spans="1:27" x14ac:dyDescent="0.2">
      <c r="A90" t="s">
        <v>59</v>
      </c>
      <c r="G90">
        <f t="shared" ref="G90:M90" si="58">G82+G88</f>
        <v>160479</v>
      </c>
      <c r="H90">
        <f t="shared" si="58"/>
        <v>902649</v>
      </c>
      <c r="I90">
        <f t="shared" si="58"/>
        <v>917202</v>
      </c>
      <c r="J90">
        <f t="shared" si="58"/>
        <v>933192</v>
      </c>
      <c r="K90">
        <f t="shared" si="58"/>
        <v>959973</v>
      </c>
      <c r="L90">
        <f t="shared" si="58"/>
        <v>959694</v>
      </c>
      <c r="M90">
        <f t="shared" si="58"/>
        <v>1010075</v>
      </c>
    </row>
    <row r="91" spans="1:27" x14ac:dyDescent="0.2">
      <c r="A91" t="s">
        <v>60</v>
      </c>
      <c r="G91">
        <f t="shared" ref="G91:M91" si="59">G73-G90</f>
        <v>0</v>
      </c>
      <c r="H91">
        <f t="shared" si="59"/>
        <v>0</v>
      </c>
      <c r="I91">
        <f t="shared" si="59"/>
        <v>0</v>
      </c>
      <c r="J91">
        <f t="shared" si="59"/>
        <v>0</v>
      </c>
      <c r="K91">
        <f t="shared" si="59"/>
        <v>0</v>
      </c>
      <c r="L91">
        <f t="shared" si="59"/>
        <v>0</v>
      </c>
      <c r="M91">
        <f t="shared" si="59"/>
        <v>0</v>
      </c>
    </row>
    <row r="93" spans="1:27" s="18" customFormat="1" x14ac:dyDescent="0.2">
      <c r="A93" s="18" t="s">
        <v>125</v>
      </c>
      <c r="N93" s="20"/>
      <c r="O93" s="20"/>
      <c r="P93" s="20"/>
      <c r="Q93" s="20"/>
      <c r="R93" s="20"/>
      <c r="S93" s="20"/>
      <c r="T93" s="20"/>
      <c r="U93" s="20"/>
      <c r="V93" s="20"/>
    </row>
    <row r="95" spans="1:27" x14ac:dyDescent="0.2">
      <c r="A95" t="s">
        <v>36</v>
      </c>
      <c r="G95">
        <f>G42</f>
        <v>-38952</v>
      </c>
      <c r="H95">
        <f t="shared" ref="H95:M95" si="60">H42</f>
        <v>-28891</v>
      </c>
      <c r="I95">
        <f t="shared" si="60"/>
        <v>-28846</v>
      </c>
      <c r="J95">
        <f t="shared" si="60"/>
        <v>-32605</v>
      </c>
      <c r="K95">
        <f t="shared" si="60"/>
        <v>-66678</v>
      </c>
      <c r="L95">
        <f t="shared" si="60"/>
        <v>-45671</v>
      </c>
      <c r="M95">
        <f t="shared" si="60"/>
        <v>-23030</v>
      </c>
    </row>
    <row r="96" spans="1:27" x14ac:dyDescent="0.2">
      <c r="A96" t="s">
        <v>23</v>
      </c>
      <c r="G96">
        <v>547</v>
      </c>
      <c r="H96">
        <v>527</v>
      </c>
      <c r="I96">
        <v>709</v>
      </c>
      <c r="J96">
        <v>963</v>
      </c>
      <c r="K96">
        <v>1127</v>
      </c>
      <c r="L96">
        <v>1397</v>
      </c>
      <c r="M96">
        <v>2860</v>
      </c>
      <c r="Y96">
        <v>579</v>
      </c>
      <c r="Z96">
        <v>1888</v>
      </c>
      <c r="AA96">
        <v>2746</v>
      </c>
    </row>
    <row r="97" spans="1:27" x14ac:dyDescent="0.2">
      <c r="A97" t="s">
        <v>30</v>
      </c>
      <c r="G97">
        <v>45</v>
      </c>
      <c r="H97">
        <v>2</v>
      </c>
      <c r="I97">
        <v>19</v>
      </c>
      <c r="J97">
        <v>10</v>
      </c>
    </row>
    <row r="98" spans="1:27" x14ac:dyDescent="0.2">
      <c r="A98" t="s">
        <v>24</v>
      </c>
      <c r="G98">
        <v>14540</v>
      </c>
      <c r="H98">
        <v>17558</v>
      </c>
      <c r="I98">
        <v>19762</v>
      </c>
      <c r="J98">
        <v>21669</v>
      </c>
      <c r="K98">
        <v>23666</v>
      </c>
      <c r="L98">
        <v>30822</v>
      </c>
      <c r="M98">
        <v>26054</v>
      </c>
      <c r="Y98">
        <v>21839</v>
      </c>
      <c r="Z98">
        <v>64345</v>
      </c>
      <c r="AA98">
        <v>73529</v>
      </c>
    </row>
    <row r="99" spans="1:27" x14ac:dyDescent="0.2">
      <c r="A99" t="s">
        <v>61</v>
      </c>
      <c r="H99">
        <v>-2</v>
      </c>
      <c r="I99">
        <v>-35</v>
      </c>
    </row>
    <row r="101" spans="1:27" x14ac:dyDescent="0.2">
      <c r="A101" s="4" t="s">
        <v>67</v>
      </c>
      <c r="B101" s="4"/>
      <c r="C101" s="4"/>
      <c r="D101" s="4"/>
      <c r="E101" s="4"/>
      <c r="F101" s="4"/>
    </row>
    <row r="102" spans="1:27" x14ac:dyDescent="0.2">
      <c r="A102" t="s">
        <v>62</v>
      </c>
      <c r="G102">
        <v>-986</v>
      </c>
      <c r="H102">
        <v>533</v>
      </c>
      <c r="I102">
        <v>-2594</v>
      </c>
      <c r="J102">
        <v>-1551</v>
      </c>
      <c r="K102">
        <v>-1385</v>
      </c>
      <c r="L102">
        <v>384</v>
      </c>
      <c r="M102">
        <v>-4956</v>
      </c>
    </row>
    <row r="103" spans="1:27" x14ac:dyDescent="0.2">
      <c r="A103" t="s">
        <v>63</v>
      </c>
      <c r="G103">
        <v>-1629</v>
      </c>
      <c r="H103">
        <v>-429</v>
      </c>
      <c r="I103">
        <v>-8974</v>
      </c>
      <c r="J103">
        <v>-2303</v>
      </c>
      <c r="K103">
        <v>4700</v>
      </c>
      <c r="L103">
        <v>-7995</v>
      </c>
      <c r="M103">
        <v>5638</v>
      </c>
    </row>
    <row r="104" spans="1:27" x14ac:dyDescent="0.2">
      <c r="A104" t="s">
        <v>64</v>
      </c>
      <c r="G104">
        <v>3969</v>
      </c>
      <c r="H104">
        <v>-4972</v>
      </c>
      <c r="I104">
        <v>-4090</v>
      </c>
      <c r="J104">
        <v>3053</v>
      </c>
      <c r="K104">
        <v>-6175</v>
      </c>
      <c r="L104">
        <v>-6448</v>
      </c>
      <c r="M104">
        <v>-4126</v>
      </c>
    </row>
    <row r="105" spans="1:27" x14ac:dyDescent="0.2">
      <c r="A105" t="s">
        <v>65</v>
      </c>
      <c r="G105">
        <v>4862</v>
      </c>
      <c r="H105">
        <v>1099</v>
      </c>
      <c r="I105">
        <v>12591</v>
      </c>
      <c r="J105">
        <v>7016</v>
      </c>
      <c r="K105">
        <v>5342</v>
      </c>
      <c r="L105">
        <v>-3502</v>
      </c>
      <c r="M105">
        <v>6087</v>
      </c>
    </row>
    <row r="106" spans="1:27" x14ac:dyDescent="0.2">
      <c r="A106" t="s">
        <v>66</v>
      </c>
      <c r="G106">
        <v>16984</v>
      </c>
      <c r="H106">
        <v>14220</v>
      </c>
      <c r="I106">
        <v>15251</v>
      </c>
      <c r="J106">
        <v>17264</v>
      </c>
      <c r="K106">
        <v>26492</v>
      </c>
      <c r="L106">
        <v>16952</v>
      </c>
      <c r="M106">
        <v>11503</v>
      </c>
    </row>
    <row r="107" spans="1:27" x14ac:dyDescent="0.2">
      <c r="A107" t="s">
        <v>121</v>
      </c>
      <c r="G107">
        <f t="shared" ref="G107:M107" si="61">G104+G105+G106+G96+G97+G98+G99+G102+G103+G95</f>
        <v>-620</v>
      </c>
      <c r="H107">
        <f t="shared" si="61"/>
        <v>-355</v>
      </c>
      <c r="I107">
        <f t="shared" si="61"/>
        <v>3793</v>
      </c>
      <c r="J107">
        <f t="shared" si="61"/>
        <v>13516</v>
      </c>
      <c r="K107">
        <f t="shared" si="61"/>
        <v>-12911</v>
      </c>
      <c r="L107">
        <f t="shared" si="61"/>
        <v>-14061</v>
      </c>
      <c r="M107">
        <f t="shared" si="61"/>
        <v>20030</v>
      </c>
    </row>
    <row r="109" spans="1:27" x14ac:dyDescent="0.2">
      <c r="A109" t="s">
        <v>25</v>
      </c>
      <c r="G109">
        <v>-4223</v>
      </c>
      <c r="H109">
        <v>-1358</v>
      </c>
      <c r="I109">
        <v>-3023</v>
      </c>
      <c r="J109">
        <v>-2974</v>
      </c>
      <c r="K109">
        <v>-2354</v>
      </c>
      <c r="L109">
        <v>-4550</v>
      </c>
      <c r="M109">
        <v>-5339</v>
      </c>
      <c r="Y109">
        <v>-1402</v>
      </c>
      <c r="Z109">
        <v>-4362</v>
      </c>
      <c r="AA109">
        <v>-11578</v>
      </c>
    </row>
    <row r="110" spans="1:27" x14ac:dyDescent="0.2">
      <c r="A110" t="s">
        <v>136</v>
      </c>
      <c r="G110">
        <v>-440</v>
      </c>
      <c r="H110">
        <v>-718</v>
      </c>
      <c r="I110">
        <v>-590</v>
      </c>
      <c r="J110">
        <v>-432</v>
      </c>
      <c r="K110">
        <v>-926</v>
      </c>
      <c r="L110">
        <v>-684</v>
      </c>
      <c r="M110">
        <v>-732</v>
      </c>
    </row>
    <row r="111" spans="1:27" x14ac:dyDescent="0.2">
      <c r="A111" t="s">
        <v>135</v>
      </c>
      <c r="G111">
        <v>21</v>
      </c>
      <c r="I111">
        <v>3</v>
      </c>
      <c r="J111">
        <v>105</v>
      </c>
    </row>
    <row r="112" spans="1:27" x14ac:dyDescent="0.2">
      <c r="A112" t="s">
        <v>69</v>
      </c>
      <c r="H112">
        <v>-51</v>
      </c>
      <c r="I112">
        <v>10051</v>
      </c>
    </row>
    <row r="113" spans="1:27" x14ac:dyDescent="0.2">
      <c r="A113" t="s">
        <v>122</v>
      </c>
      <c r="G113">
        <f>G109+G110+G111+G112</f>
        <v>-4642</v>
      </c>
      <c r="H113">
        <f>H109+H110+H111+H112</f>
        <v>-2127</v>
      </c>
      <c r="I113">
        <f>I109+I110+I111+I112</f>
        <v>6441</v>
      </c>
      <c r="J113">
        <f t="shared" ref="J113:M113" si="62">J109+J110+J111+J112</f>
        <v>-3301</v>
      </c>
      <c r="K113">
        <f t="shared" si="62"/>
        <v>-3280</v>
      </c>
      <c r="L113">
        <f t="shared" si="62"/>
        <v>-5234</v>
      </c>
      <c r="M113">
        <f t="shared" si="62"/>
        <v>-6071</v>
      </c>
    </row>
    <row r="115" spans="1:27" x14ac:dyDescent="0.2">
      <c r="A115" t="s">
        <v>33</v>
      </c>
      <c r="G115">
        <v>-207</v>
      </c>
      <c r="H115">
        <v>736227</v>
      </c>
      <c r="I115">
        <v>-164</v>
      </c>
    </row>
    <row r="116" spans="1:27" x14ac:dyDescent="0.2">
      <c r="A116" t="s">
        <v>137</v>
      </c>
      <c r="G116">
        <v>543</v>
      </c>
      <c r="H116">
        <v>1300</v>
      </c>
      <c r="I116">
        <v>1745</v>
      </c>
      <c r="J116">
        <v>1661</v>
      </c>
      <c r="K116">
        <v>1351</v>
      </c>
      <c r="L116">
        <v>3354</v>
      </c>
      <c r="M116">
        <v>3572</v>
      </c>
    </row>
    <row r="117" spans="1:27" x14ac:dyDescent="0.2">
      <c r="A117" t="s">
        <v>34</v>
      </c>
      <c r="H117">
        <v>6023</v>
      </c>
      <c r="I117">
        <v>17500</v>
      </c>
      <c r="K117">
        <v>-22384</v>
      </c>
      <c r="L117">
        <v>1017</v>
      </c>
      <c r="M117">
        <v>435</v>
      </c>
    </row>
    <row r="118" spans="1:27" x14ac:dyDescent="0.2">
      <c r="A118" t="s">
        <v>68</v>
      </c>
      <c r="I118">
        <v>-21000</v>
      </c>
      <c r="J118">
        <v>-1265</v>
      </c>
    </row>
    <row r="119" spans="1:27" x14ac:dyDescent="0.2">
      <c r="A119" t="s">
        <v>35</v>
      </c>
      <c r="G119">
        <v>-28</v>
      </c>
      <c r="H119">
        <v>-21</v>
      </c>
      <c r="I119">
        <v>-23</v>
      </c>
      <c r="K119">
        <v>-11</v>
      </c>
      <c r="L119">
        <v>-32</v>
      </c>
      <c r="M119">
        <v>-18</v>
      </c>
    </row>
    <row r="120" spans="1:27" x14ac:dyDescent="0.2">
      <c r="A120" t="s">
        <v>69</v>
      </c>
    </row>
    <row r="121" spans="1:27" x14ac:dyDescent="0.2">
      <c r="A121" t="s">
        <v>123</v>
      </c>
      <c r="G121">
        <f>G115+G116+G117+G119+G118+G120</f>
        <v>308</v>
      </c>
      <c r="H121">
        <f>H115+H116+H117+H119+H118+H120</f>
        <v>743529</v>
      </c>
      <c r="I121">
        <f>I115+I116+I117+I119+I118+I120</f>
        <v>-1942</v>
      </c>
      <c r="J121">
        <f t="shared" ref="J121:M121" si="63">J115+J116+J117+J119+J118+J120</f>
        <v>396</v>
      </c>
      <c r="K121">
        <f t="shared" si="63"/>
        <v>-21044</v>
      </c>
      <c r="L121">
        <f t="shared" si="63"/>
        <v>4339</v>
      </c>
      <c r="M121">
        <f t="shared" si="63"/>
        <v>3989</v>
      </c>
    </row>
    <row r="123" spans="1:27" x14ac:dyDescent="0.2">
      <c r="A123" t="s">
        <v>27</v>
      </c>
      <c r="G123">
        <f>G107+G113+G121</f>
        <v>-4954</v>
      </c>
      <c r="H123">
        <f t="shared" ref="H123:M123" si="64">H107+H113+H121</f>
        <v>741047</v>
      </c>
      <c r="I123">
        <f>I107+I113+I121</f>
        <v>8292</v>
      </c>
      <c r="J123">
        <f t="shared" si="64"/>
        <v>10611</v>
      </c>
      <c r="K123">
        <f>K107+K113+K121</f>
        <v>-37235</v>
      </c>
      <c r="L123">
        <f t="shared" si="64"/>
        <v>-14956</v>
      </c>
      <c r="M123">
        <f t="shared" si="64"/>
        <v>17948</v>
      </c>
    </row>
    <row r="124" spans="1:27" x14ac:dyDescent="0.2">
      <c r="A124" t="s">
        <v>28</v>
      </c>
    </row>
    <row r="125" spans="1:27" x14ac:dyDescent="0.2">
      <c r="A125" t="s">
        <v>29</v>
      </c>
    </row>
    <row r="127" spans="1:27" x14ac:dyDescent="0.2">
      <c r="A127" t="s">
        <v>26</v>
      </c>
      <c r="Y127">
        <v>-365</v>
      </c>
      <c r="Z127">
        <v>-1119</v>
      </c>
      <c r="AA127">
        <v>-2180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7A33A-3438-6043-AA7B-8DEF72606488}">
  <dimension ref="A1:Z40"/>
  <sheetViews>
    <sheetView workbookViewId="0">
      <pane xSplit="1" ySplit="2" topLeftCell="G12" activePane="bottomRight" state="frozen"/>
      <selection pane="topRight" activeCell="B1" sqref="B1"/>
      <selection pane="bottomLeft" activeCell="A3" sqref="A3"/>
      <selection pane="bottomRight" activeCell="M16" sqref="M16"/>
    </sheetView>
  </sheetViews>
  <sheetFormatPr baseColWidth="10" defaultRowHeight="16" outlineLevelCol="1" x14ac:dyDescent="0.2"/>
  <cols>
    <col min="1" max="1" width="30.83203125" customWidth="1"/>
    <col min="2" max="6" width="14.1640625" hidden="1" customWidth="1" outlineLevel="1"/>
    <col min="7" max="7" width="14.1640625" customWidth="1" collapsed="1"/>
    <col min="8" max="8" width="14.1640625" customWidth="1"/>
    <col min="9" max="11" width="13.33203125" customWidth="1"/>
  </cols>
  <sheetData>
    <row r="1" spans="1:26" x14ac:dyDescent="0.2">
      <c r="B1" t="s">
        <v>15</v>
      </c>
      <c r="C1" t="s">
        <v>14</v>
      </c>
      <c r="D1" t="s">
        <v>13</v>
      </c>
      <c r="E1" t="s">
        <v>12</v>
      </c>
      <c r="F1" t="s">
        <v>11</v>
      </c>
      <c r="G1" t="s">
        <v>10</v>
      </c>
      <c r="H1" t="s">
        <v>9</v>
      </c>
      <c r="I1" t="s">
        <v>5</v>
      </c>
      <c r="J1" t="s">
        <v>4</v>
      </c>
      <c r="K1" t="s">
        <v>3</v>
      </c>
      <c r="L1" t="s">
        <v>1</v>
      </c>
      <c r="M1" t="s">
        <v>37</v>
      </c>
      <c r="N1" t="s">
        <v>97</v>
      </c>
      <c r="R1" t="s">
        <v>8</v>
      </c>
      <c r="S1" t="s">
        <v>7</v>
      </c>
      <c r="T1" t="s">
        <v>6</v>
      </c>
      <c r="U1" t="s">
        <v>2</v>
      </c>
    </row>
    <row r="10" spans="1:26" x14ac:dyDescent="0.2">
      <c r="A10" s="2"/>
      <c r="G10" s="2"/>
      <c r="H10" s="2"/>
      <c r="I10" s="2"/>
      <c r="J10" s="2"/>
      <c r="K10" s="2"/>
      <c r="L10" s="2"/>
      <c r="M10" s="2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">
      <c r="A11" s="2"/>
      <c r="G11" s="2"/>
      <c r="H11" s="2"/>
      <c r="I11" s="2"/>
      <c r="J11" s="2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3" spans="1:26" x14ac:dyDescent="0.2"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4" t="s">
        <v>79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t="s">
        <v>73</v>
      </c>
      <c r="G15" s="3">
        <f>G16*Model!G5</f>
        <v>155686.08000000002</v>
      </c>
      <c r="I15" s="3">
        <f>I16*Model!I5</f>
        <v>232450.4</v>
      </c>
      <c r="J15" s="3">
        <f>J16*Model!J5</f>
        <v>275169.59999999998</v>
      </c>
      <c r="K15" s="3">
        <f>K16*Model!K5</f>
        <v>316811.24</v>
      </c>
      <c r="L15" s="3">
        <f>L16*Model!L5</f>
        <v>371154</v>
      </c>
      <c r="M15" s="3" t="e">
        <f>M16*Model!M5</f>
        <v>#VALUE!</v>
      </c>
      <c r="N15" s="3">
        <f>N16*Model!N5</f>
        <v>455759.84</v>
      </c>
      <c r="O15" s="3"/>
      <c r="P15" s="3"/>
      <c r="Q15" s="3"/>
      <c r="R15" s="3">
        <f>R16*Model!O5</f>
        <v>529884.31199999992</v>
      </c>
      <c r="S15" s="3">
        <f>S16*Model!P5</f>
        <v>558077.11809999996</v>
      </c>
      <c r="T15" s="3">
        <f>T16*Model!Q5</f>
        <v>616439.51433499996</v>
      </c>
      <c r="U15" s="3">
        <f>U16*Model!R5</f>
        <v>663056.29163002491</v>
      </c>
      <c r="V15" s="3">
        <f>V16*Model!S5</f>
        <v>738545.02619092294</v>
      </c>
      <c r="W15" s="3">
        <f>W16*Model!T5</f>
        <v>771892.19714578672</v>
      </c>
      <c r="X15" s="3">
        <f>X16*Model!U5</f>
        <v>838460.94351282343</v>
      </c>
      <c r="Y15" s="3">
        <f>Y16*Model!V5</f>
        <v>892145.06070351577</v>
      </c>
      <c r="Z15" s="3"/>
    </row>
    <row r="16" spans="1:26" x14ac:dyDescent="0.2">
      <c r="A16" t="s">
        <v>39</v>
      </c>
      <c r="B16" s="1">
        <v>0.53</v>
      </c>
      <c r="C16" s="1"/>
      <c r="F16" s="1">
        <v>0.63</v>
      </c>
      <c r="G16" s="1">
        <v>0.66</v>
      </c>
      <c r="I16" s="1">
        <v>0.7</v>
      </c>
      <c r="J16" s="1">
        <v>0.72</v>
      </c>
      <c r="K16" s="1">
        <v>0.73</v>
      </c>
      <c r="L16" s="1">
        <v>0.75</v>
      </c>
      <c r="M16" s="1" t="s">
        <v>143</v>
      </c>
      <c r="N16" s="1">
        <v>0.76</v>
      </c>
      <c r="O16" s="1"/>
      <c r="P16" s="1"/>
      <c r="Q16" s="1"/>
      <c r="R16" s="1">
        <v>0.76</v>
      </c>
      <c r="S16" s="1">
        <v>0.76</v>
      </c>
      <c r="T16" s="1">
        <v>0.76</v>
      </c>
      <c r="U16" s="1">
        <v>0.76</v>
      </c>
      <c r="V16" s="1">
        <v>0.76</v>
      </c>
      <c r="W16" s="1">
        <v>0.76</v>
      </c>
      <c r="X16" s="1">
        <v>0.76</v>
      </c>
      <c r="Y16" s="1">
        <v>0.76</v>
      </c>
      <c r="Z16" s="1"/>
    </row>
    <row r="17" spans="1:26" x14ac:dyDescent="0.2">
      <c r="A17" s="2" t="s">
        <v>75</v>
      </c>
      <c r="B17" s="1">
        <v>1.1599999999999999</v>
      </c>
      <c r="C17" s="1">
        <v>1.19</v>
      </c>
      <c r="F17" s="1">
        <v>1.19</v>
      </c>
      <c r="G17" s="1">
        <v>1.21</v>
      </c>
      <c r="H17" s="1">
        <v>1.25</v>
      </c>
      <c r="I17" s="1">
        <v>1.3</v>
      </c>
      <c r="J17" s="1">
        <v>1.35</v>
      </c>
      <c r="K17" s="1">
        <v>1.35</v>
      </c>
      <c r="L17" s="1">
        <v>1.35</v>
      </c>
      <c r="M17" s="1">
        <v>1.35</v>
      </c>
      <c r="N17" s="1">
        <v>1.3</v>
      </c>
      <c r="O17" s="1"/>
      <c r="P17" s="1"/>
      <c r="Q17" s="1"/>
      <c r="R17" s="1">
        <v>1.3</v>
      </c>
      <c r="S17" s="1">
        <v>1.3</v>
      </c>
      <c r="T17" s="1">
        <v>1.3</v>
      </c>
      <c r="U17" s="1">
        <v>1.3</v>
      </c>
      <c r="V17" s="1">
        <v>1.2</v>
      </c>
      <c r="W17" s="1">
        <v>1.2</v>
      </c>
      <c r="X17" s="1">
        <v>1.2</v>
      </c>
      <c r="Y17" s="1">
        <v>1.2</v>
      </c>
      <c r="Z17" s="1"/>
    </row>
    <row r="18" spans="1:26" x14ac:dyDescent="0.2">
      <c r="A18" s="2" t="s">
        <v>80</v>
      </c>
      <c r="G18" s="1"/>
      <c r="H18" s="1"/>
      <c r="I18" s="1"/>
      <c r="J18" s="1"/>
      <c r="K18" s="3">
        <f>K17*G15</f>
        <v>210176.20800000004</v>
      </c>
      <c r="L18" s="3">
        <f>L17*H15</f>
        <v>0</v>
      </c>
      <c r="M18" s="3">
        <f>M17*I15</f>
        <v>313808.04000000004</v>
      </c>
      <c r="N18" s="3">
        <f t="shared" ref="N18:Y18" si="0">N17*J15</f>
        <v>357720.48</v>
      </c>
      <c r="O18" s="3"/>
      <c r="P18" s="3"/>
      <c r="Q18" s="3"/>
      <c r="R18" s="3">
        <f>R17*K15</f>
        <v>411854.61200000002</v>
      </c>
      <c r="S18" s="3">
        <f>S17*L15</f>
        <v>482500.2</v>
      </c>
      <c r="T18" s="3" t="e">
        <f>T17*M15</f>
        <v>#VALUE!</v>
      </c>
      <c r="U18" s="3">
        <f>U17*N15</f>
        <v>592487.79200000002</v>
      </c>
      <c r="V18" s="3">
        <f t="shared" si="0"/>
        <v>635861.1743999999</v>
      </c>
      <c r="W18" s="3">
        <f t="shared" si="0"/>
        <v>669692.54171999998</v>
      </c>
      <c r="X18" s="3">
        <f t="shared" si="0"/>
        <v>739727.41720199992</v>
      </c>
      <c r="Y18" s="3">
        <f t="shared" si="0"/>
        <v>795667.54995602986</v>
      </c>
      <c r="Z18" s="3"/>
    </row>
    <row r="19" spans="1:26" x14ac:dyDescent="0.2">
      <c r="A19" s="2" t="s">
        <v>81</v>
      </c>
      <c r="G19" s="1"/>
      <c r="H19" s="1"/>
      <c r="I19" s="1"/>
      <c r="J19" s="1"/>
      <c r="K19" s="3">
        <f>K15-K18</f>
        <v>106635.03199999995</v>
      </c>
      <c r="L19" s="3">
        <f t="shared" ref="L19:Y19" si="1">L15-L18</f>
        <v>371154</v>
      </c>
      <c r="M19" s="3" t="e">
        <f t="shared" si="1"/>
        <v>#VALUE!</v>
      </c>
      <c r="N19" s="3">
        <f t="shared" si="1"/>
        <v>98039.360000000044</v>
      </c>
      <c r="O19" s="3"/>
      <c r="P19" s="3"/>
      <c r="Q19" s="3"/>
      <c r="R19" s="3">
        <f t="shared" si="1"/>
        <v>118029.6999999999</v>
      </c>
      <c r="S19" s="3">
        <f t="shared" si="1"/>
        <v>75576.918099999952</v>
      </c>
      <c r="T19" s="3" t="e">
        <f t="shared" si="1"/>
        <v>#VALUE!</v>
      </c>
      <c r="U19" s="3">
        <f t="shared" si="1"/>
        <v>70568.499630024889</v>
      </c>
      <c r="V19" s="3">
        <f t="shared" si="1"/>
        <v>102683.85179092304</v>
      </c>
      <c r="W19" s="3">
        <f t="shared" si="1"/>
        <v>102199.65542578674</v>
      </c>
      <c r="X19" s="3">
        <f t="shared" si="1"/>
        <v>98733.526310823509</v>
      </c>
      <c r="Y19" s="3">
        <f t="shared" si="1"/>
        <v>96477.510747485911</v>
      </c>
      <c r="Z19" s="3"/>
    </row>
    <row r="22" spans="1:26" x14ac:dyDescent="0.2">
      <c r="A22" s="5" t="s">
        <v>72</v>
      </c>
      <c r="G22" s="2"/>
      <c r="H22" s="2"/>
      <c r="I22" s="2"/>
      <c r="J22" s="2"/>
      <c r="K22" s="2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">
      <c r="A23" s="2" t="s">
        <v>74</v>
      </c>
      <c r="G23" s="2"/>
      <c r="H23" s="2"/>
      <c r="I23" s="6">
        <f>I24*Model!I5</f>
        <v>59772.959999999999</v>
      </c>
      <c r="J23" s="6">
        <f>J24*Model!J5</f>
        <v>76436</v>
      </c>
      <c r="K23" s="6">
        <f>K24*Model!K5</f>
        <v>95477.36</v>
      </c>
      <c r="L23" s="6">
        <f>L24*Model!L5</f>
        <v>118769.28</v>
      </c>
      <c r="M23" s="6">
        <f>M24*Model!M5</f>
        <v>142368.72</v>
      </c>
      <c r="N23" s="6">
        <f>N24*Model!N5</f>
        <v>155917.84</v>
      </c>
      <c r="O23" s="6"/>
      <c r="P23" s="6"/>
      <c r="Q23" s="6"/>
      <c r="R23" s="6">
        <f>R24*Model!O5</f>
        <v>181276.212</v>
      </c>
      <c r="S23" s="6">
        <f>S24*Model!P5</f>
        <v>190921.11934999999</v>
      </c>
      <c r="T23" s="6">
        <f>T24*Model!Q5</f>
        <v>210887.20227249997</v>
      </c>
      <c r="U23" s="6">
        <f>U24*Model!R5</f>
        <v>226835.0471365875</v>
      </c>
      <c r="V23" s="6">
        <f>V24*Model!S5</f>
        <v>252660.14053899999</v>
      </c>
      <c r="W23" s="6">
        <f>W24*Model!T5</f>
        <v>264068.38323408493</v>
      </c>
      <c r="X23" s="6">
        <f>X24*Model!U5</f>
        <v>286841.90172807121</v>
      </c>
      <c r="Y23" s="6">
        <f>Y24*Model!V5</f>
        <v>305207.52076699224</v>
      </c>
      <c r="Z23" s="6"/>
    </row>
    <row r="24" spans="1:26" x14ac:dyDescent="0.2">
      <c r="A24" t="s">
        <v>40</v>
      </c>
      <c r="I24" s="1">
        <v>0.18</v>
      </c>
      <c r="J24" s="1">
        <v>0.2</v>
      </c>
      <c r="K24" s="1">
        <v>0.22</v>
      </c>
      <c r="L24" s="1">
        <v>0.24</v>
      </c>
      <c r="M24" s="1">
        <v>0.26</v>
      </c>
      <c r="N24" s="1">
        <v>0.26</v>
      </c>
      <c r="O24" s="1"/>
      <c r="P24" s="1"/>
      <c r="Q24" s="1"/>
      <c r="R24" s="1">
        <v>0.26</v>
      </c>
      <c r="S24" s="1">
        <v>0.26</v>
      </c>
      <c r="T24" s="1">
        <v>0.26</v>
      </c>
      <c r="U24" s="1">
        <v>0.26</v>
      </c>
      <c r="V24" s="1">
        <v>0.26</v>
      </c>
      <c r="W24" s="1">
        <v>0.26</v>
      </c>
      <c r="X24" s="1">
        <v>0.26</v>
      </c>
      <c r="Y24" s="1">
        <v>0.26</v>
      </c>
      <c r="Z24" s="1"/>
    </row>
    <row r="25" spans="1:26" x14ac:dyDescent="0.2">
      <c r="A25" t="s">
        <v>82</v>
      </c>
      <c r="I25" s="1">
        <v>1.45</v>
      </c>
      <c r="J25" s="1">
        <v>1.5</v>
      </c>
      <c r="K25" s="1">
        <v>1.5</v>
      </c>
      <c r="L25" s="1">
        <v>1.5</v>
      </c>
      <c r="M25" s="1">
        <v>1.45</v>
      </c>
      <c r="N25" s="1">
        <v>1.35</v>
      </c>
      <c r="O25" s="1"/>
      <c r="P25" s="1"/>
      <c r="Q25" s="1"/>
      <c r="R25" s="1">
        <v>1.2</v>
      </c>
      <c r="S25" s="1">
        <v>1.1000000000000001</v>
      </c>
      <c r="T25" s="1">
        <v>1.1000000000000001</v>
      </c>
      <c r="U25" s="1">
        <v>1.1000000000000001</v>
      </c>
      <c r="V25" s="1">
        <v>1.05</v>
      </c>
      <c r="W25" s="1">
        <v>1.05</v>
      </c>
      <c r="X25" s="1">
        <v>1.05</v>
      </c>
      <c r="Y25" s="1">
        <v>1.05</v>
      </c>
      <c r="Z25" s="1"/>
    </row>
    <row r="26" spans="1:26" x14ac:dyDescent="0.2">
      <c r="A26" t="s">
        <v>76</v>
      </c>
      <c r="I26" s="1"/>
      <c r="J26" s="1"/>
      <c r="K26" s="1"/>
      <c r="L26" s="1"/>
      <c r="M26" s="3">
        <f t="shared" ref="M26:Y26" si="2">I23*M25</f>
        <v>86670.792000000001</v>
      </c>
      <c r="N26" s="3">
        <f t="shared" si="2"/>
        <v>103188.6</v>
      </c>
      <c r="O26" s="3"/>
      <c r="P26" s="3"/>
      <c r="Q26" s="3"/>
      <c r="R26" s="3">
        <f>K23*R25</f>
        <v>114572.83199999999</v>
      </c>
      <c r="S26" s="3">
        <f>L23*S25</f>
        <v>130646.20800000001</v>
      </c>
      <c r="T26" s="3">
        <f>M23*T25</f>
        <v>156605.592</v>
      </c>
      <c r="U26" s="3">
        <f>N23*U25</f>
        <v>171509.62400000001</v>
      </c>
      <c r="V26" s="3">
        <f t="shared" si="2"/>
        <v>190340.0226</v>
      </c>
      <c r="W26" s="3">
        <f t="shared" si="2"/>
        <v>200467.17531749999</v>
      </c>
      <c r="X26" s="3">
        <f t="shared" si="2"/>
        <v>221431.56238612498</v>
      </c>
      <c r="Y26" s="3">
        <f t="shared" si="2"/>
        <v>238176.79949341688</v>
      </c>
      <c r="Z26" s="3"/>
    </row>
    <row r="27" spans="1:26" x14ac:dyDescent="0.2">
      <c r="A27" t="s">
        <v>77</v>
      </c>
      <c r="I27" s="1"/>
      <c r="J27" s="1"/>
      <c r="K27" s="1"/>
      <c r="L27" s="1"/>
      <c r="M27" s="3">
        <f t="shared" ref="M27:Y27" si="3">M23-M26</f>
        <v>55697.928</v>
      </c>
      <c r="N27" s="3">
        <f t="shared" si="3"/>
        <v>52729.239999999991</v>
      </c>
      <c r="O27" s="3"/>
      <c r="P27" s="3"/>
      <c r="Q27" s="3"/>
      <c r="R27" s="3">
        <f t="shared" si="3"/>
        <v>66703.38</v>
      </c>
      <c r="S27" s="3">
        <f t="shared" si="3"/>
        <v>60274.91134999998</v>
      </c>
      <c r="T27" s="3">
        <f t="shared" si="3"/>
        <v>54281.610272499966</v>
      </c>
      <c r="U27" s="3">
        <f t="shared" si="3"/>
        <v>55325.423136587488</v>
      </c>
      <c r="V27" s="3">
        <f t="shared" si="3"/>
        <v>62320.117938999989</v>
      </c>
      <c r="W27" s="3">
        <f t="shared" si="3"/>
        <v>63601.207916584943</v>
      </c>
      <c r="X27" s="3">
        <f t="shared" si="3"/>
        <v>65410.339341946237</v>
      </c>
      <c r="Y27" s="3">
        <f t="shared" si="3"/>
        <v>67030.721273575356</v>
      </c>
      <c r="Z27" s="3"/>
    </row>
    <row r="28" spans="1:26" x14ac:dyDescent="0.2">
      <c r="A28" s="2"/>
      <c r="G28" s="2"/>
      <c r="H28" s="2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x14ac:dyDescent="0.2">
      <c r="A29" s="2" t="s">
        <v>38</v>
      </c>
      <c r="B29">
        <v>76</v>
      </c>
      <c r="C29">
        <v>105</v>
      </c>
      <c r="F29">
        <v>264</v>
      </c>
      <c r="G29" s="2">
        <v>335</v>
      </c>
      <c r="H29" s="2">
        <v>470</v>
      </c>
      <c r="I29" s="2">
        <v>613</v>
      </c>
      <c r="J29" s="2">
        <v>793</v>
      </c>
      <c r="K29" s="2">
        <v>960</v>
      </c>
      <c r="L29" s="3">
        <v>1160</v>
      </c>
      <c r="M29" s="3">
        <v>1323</v>
      </c>
      <c r="N29" s="3">
        <v>1474</v>
      </c>
      <c r="O29" s="3"/>
      <c r="P29" s="3"/>
      <c r="Q29" s="3"/>
      <c r="R29" s="3">
        <f>N29+250</f>
        <v>1724</v>
      </c>
      <c r="S29" s="3">
        <f t="shared" ref="N29:Y29" si="4">R29+250</f>
        <v>1974</v>
      </c>
      <c r="T29" s="3">
        <f t="shared" si="4"/>
        <v>2224</v>
      </c>
      <c r="U29" s="3">
        <f t="shared" si="4"/>
        <v>2474</v>
      </c>
      <c r="V29" s="3">
        <f t="shared" si="4"/>
        <v>2724</v>
      </c>
      <c r="W29" s="3">
        <f t="shared" si="4"/>
        <v>2974</v>
      </c>
      <c r="X29" s="3">
        <f t="shared" si="4"/>
        <v>3224</v>
      </c>
      <c r="Y29" s="3">
        <f t="shared" si="4"/>
        <v>3474</v>
      </c>
      <c r="Z29" s="3"/>
    </row>
    <row r="30" spans="1:26" x14ac:dyDescent="0.2">
      <c r="A30" s="2" t="s">
        <v>78</v>
      </c>
      <c r="G30" s="2"/>
      <c r="H30" s="2"/>
      <c r="I30" s="6">
        <f t="shared" ref="I30:Y30" si="5">I23/I29</f>
        <v>97.508907014681895</v>
      </c>
      <c r="J30" s="6">
        <f t="shared" si="5"/>
        <v>96.388398486759144</v>
      </c>
      <c r="K30" s="6">
        <f t="shared" si="5"/>
        <v>99.455583333333337</v>
      </c>
      <c r="L30" s="6">
        <f t="shared" si="5"/>
        <v>102.38731034482758</v>
      </c>
      <c r="M30" s="6">
        <f t="shared" si="5"/>
        <v>107.61052154195012</v>
      </c>
      <c r="N30" s="6">
        <f t="shared" si="5"/>
        <v>105.77872455902306</v>
      </c>
      <c r="O30" s="6"/>
      <c r="P30" s="6"/>
      <c r="Q30" s="6"/>
      <c r="R30" s="6">
        <f t="shared" si="5"/>
        <v>105.14861484918794</v>
      </c>
      <c r="S30" s="6">
        <f t="shared" si="5"/>
        <v>96.717892274569394</v>
      </c>
      <c r="T30" s="6">
        <f t="shared" si="5"/>
        <v>94.823382316771571</v>
      </c>
      <c r="U30" s="6">
        <f t="shared" si="5"/>
        <v>91.687569578248784</v>
      </c>
      <c r="V30" s="6">
        <f t="shared" si="5"/>
        <v>92.753355557635828</v>
      </c>
      <c r="W30" s="6">
        <f t="shared" si="5"/>
        <v>88.792327920001654</v>
      </c>
      <c r="X30" s="6">
        <f t="shared" si="5"/>
        <v>88.970813191089093</v>
      </c>
      <c r="Y30" s="6">
        <f t="shared" si="5"/>
        <v>87.854784331316125</v>
      </c>
      <c r="Z30" s="6"/>
    </row>
    <row r="31" spans="1:26" x14ac:dyDescent="0.2">
      <c r="A31" s="2" t="s">
        <v>112</v>
      </c>
      <c r="G31" s="2"/>
      <c r="H31" s="2"/>
      <c r="I31" s="6"/>
      <c r="J31" s="6"/>
      <c r="K31" s="6"/>
      <c r="L31" s="6"/>
      <c r="M31" s="6">
        <f t="shared" ref="M31:Y31" si="6">M27/(M29-I29)</f>
        <v>78.447785915492958</v>
      </c>
      <c r="N31" s="6">
        <f t="shared" si="6"/>
        <v>77.42913362701907</v>
      </c>
      <c r="O31" s="6"/>
      <c r="P31" s="6"/>
      <c r="Q31" s="6"/>
      <c r="R31" s="6">
        <f>R27/(R29-K29)</f>
        <v>87.308089005235601</v>
      </c>
      <c r="S31" s="6">
        <f>S27/(S29-L29)</f>
        <v>74.047802641277613</v>
      </c>
      <c r="T31" s="6">
        <f>T27/(T29-M29)</f>
        <v>60.24596034683681</v>
      </c>
      <c r="U31" s="6">
        <f>U27/(U29-N29)</f>
        <v>55.325423136587489</v>
      </c>
      <c r="V31" s="6">
        <f t="shared" si="6"/>
        <v>62.320117938999992</v>
      </c>
      <c r="W31" s="6">
        <f t="shared" si="6"/>
        <v>63.60120791658494</v>
      </c>
      <c r="X31" s="6">
        <f t="shared" si="6"/>
        <v>65.410339341946241</v>
      </c>
      <c r="Y31" s="6">
        <f t="shared" si="6"/>
        <v>67.030721273575352</v>
      </c>
      <c r="Z31" s="6"/>
    </row>
    <row r="32" spans="1:26" x14ac:dyDescent="0.2">
      <c r="A32" s="2"/>
      <c r="G32" s="2"/>
      <c r="H32" s="2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x14ac:dyDescent="0.2">
      <c r="A33" s="2"/>
      <c r="G33" s="2"/>
      <c r="H33" s="2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x14ac:dyDescent="0.2">
      <c r="A34" s="2"/>
      <c r="G34" s="2"/>
      <c r="H34" s="2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x14ac:dyDescent="0.2">
      <c r="A35" s="5" t="s">
        <v>83</v>
      </c>
      <c r="G35" s="2"/>
      <c r="H35" s="2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x14ac:dyDescent="0.2">
      <c r="A36" s="2" t="s">
        <v>89</v>
      </c>
      <c r="G36" s="2"/>
      <c r="H36" s="2"/>
      <c r="I36" s="6">
        <f>Model!I5-I23</f>
        <v>272299.03999999998</v>
      </c>
      <c r="J36" s="6">
        <f>Model!J5-J23</f>
        <v>305744</v>
      </c>
      <c r="K36" s="6">
        <f>Model!K5-K23</f>
        <v>338510.64</v>
      </c>
      <c r="L36" s="6">
        <f>Model!L5-L23</f>
        <v>376102.72</v>
      </c>
      <c r="M36" s="6">
        <f>Model!M5-M23</f>
        <v>405203.28</v>
      </c>
      <c r="N36" s="6">
        <f>Model!N5-N23</f>
        <v>443766.16000000003</v>
      </c>
      <c r="O36" s="6"/>
      <c r="P36" s="6"/>
      <c r="Q36" s="6"/>
      <c r="R36" s="6">
        <f>Model!O5-R23</f>
        <v>515939.98799999995</v>
      </c>
      <c r="S36" s="6">
        <f>Model!P5-S23</f>
        <v>543390.87815</v>
      </c>
      <c r="T36" s="6">
        <f>Model!Q5-T23</f>
        <v>600217.42185249995</v>
      </c>
      <c r="U36" s="6">
        <f>Model!R5-U23</f>
        <v>645607.44185028737</v>
      </c>
      <c r="V36" s="6">
        <f>Model!S5-V23</f>
        <v>719109.63076484599</v>
      </c>
      <c r="W36" s="6">
        <f>Model!T5-W23</f>
        <v>751579.24458931864</v>
      </c>
      <c r="X36" s="6">
        <f>Model!U5-X23</f>
        <v>816396.18184143328</v>
      </c>
      <c r="Y36" s="6">
        <f>Model!V5-Y23</f>
        <v>868667.55910605483</v>
      </c>
      <c r="Z36" s="6"/>
    </row>
    <row r="37" spans="1:26" x14ac:dyDescent="0.2">
      <c r="A37" s="2" t="s">
        <v>90</v>
      </c>
      <c r="G37" s="2"/>
      <c r="H37" s="2"/>
      <c r="I37" s="8">
        <f>I36/Model!I5</f>
        <v>0.82</v>
      </c>
      <c r="J37" s="8">
        <f>J36/Model!J5</f>
        <v>0.8</v>
      </c>
      <c r="K37" s="8">
        <f>K36/Model!K5</f>
        <v>0.78</v>
      </c>
      <c r="L37" s="8">
        <f>L36/Model!L5</f>
        <v>0.7599999999999999</v>
      </c>
      <c r="M37" s="8">
        <f>M36/Model!M5</f>
        <v>0.7400000000000001</v>
      </c>
      <c r="N37" s="8">
        <f>N36/Model!N5</f>
        <v>0.7400000000000001</v>
      </c>
      <c r="O37" s="8"/>
      <c r="P37" s="8"/>
      <c r="Q37" s="8"/>
      <c r="R37" s="8">
        <f>R36/Model!O5</f>
        <v>0.74</v>
      </c>
      <c r="S37" s="8">
        <f>S36/Model!P5</f>
        <v>0.7400000000000001</v>
      </c>
      <c r="T37" s="8">
        <f>T36/Model!Q5</f>
        <v>0.7400000000000001</v>
      </c>
      <c r="U37" s="8">
        <f>U36/Model!R5</f>
        <v>0.73999999999999988</v>
      </c>
      <c r="V37" s="8">
        <f>V36/Model!S5</f>
        <v>0.73999999999999988</v>
      </c>
      <c r="W37" s="8">
        <f>W36/Model!T5</f>
        <v>0.74</v>
      </c>
      <c r="X37" s="8">
        <f>X36/Model!U5</f>
        <v>0.73999999999999988</v>
      </c>
      <c r="Y37" s="8">
        <f>Y36/Model!V5</f>
        <v>0.74</v>
      </c>
      <c r="Z37" s="8"/>
    </row>
    <row r="38" spans="1:26" x14ac:dyDescent="0.2">
      <c r="A38" t="s">
        <v>91</v>
      </c>
    </row>
    <row r="39" spans="1:26" x14ac:dyDescent="0.2">
      <c r="A39" t="s">
        <v>92</v>
      </c>
    </row>
    <row r="40" spans="1:26" x14ac:dyDescent="0.2">
      <c r="A40" t="s">
        <v>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CCDFC-16BA-CA4A-B07E-A29333F08B7B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Drivers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</dc:creator>
  <cp:lastModifiedBy>evan domingos - 2023</cp:lastModifiedBy>
  <dcterms:created xsi:type="dcterms:W3CDTF">2022-09-08T12:18:41Z</dcterms:created>
  <dcterms:modified xsi:type="dcterms:W3CDTF">2023-03-15T01:43:28Z</dcterms:modified>
</cp:coreProperties>
</file>