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WhiteSky/Models/"/>
    </mc:Choice>
  </mc:AlternateContent>
  <xr:revisionPtr revIDLastSave="0" documentId="13_ncr:1_{B673101F-D31F-904E-BC4D-36AA85D5127B}" xr6:coauthVersionLast="47" xr6:coauthVersionMax="47" xr10:uidLastSave="{00000000-0000-0000-0000-000000000000}"/>
  <bookViews>
    <workbookView xWindow="0" yWindow="760" windowWidth="30240" windowHeight="18880" activeTab="1" xr2:uid="{AF5D6250-CC2E-478D-A72E-6EAEA79B8F65}"/>
  </bookViews>
  <sheets>
    <sheet name="Main" sheetId="1" r:id="rId1"/>
    <sheet name="Model" sheetId="2" r:id="rId2"/>
    <sheet name="Elements" sheetId="4" r:id="rId3"/>
    <sheet name="Valuation" sheetId="3" r:id="rId4"/>
  </sheets>
  <definedNames>
    <definedName name="_xlchart.v1.0" hidden="1">Model!$A$10</definedName>
    <definedName name="_xlchart.v1.1" hidden="1">Model!$A$11</definedName>
    <definedName name="_xlchart.v1.10" hidden="1">Model!$F$20:$P$20</definedName>
    <definedName name="_xlchart.v1.11" hidden="1">Model!$F$21:$P$21</definedName>
    <definedName name="_xlchart.v1.12" hidden="1">Model!$F$22:$P$22</definedName>
    <definedName name="_xlchart.v1.13" hidden="1">Model!$F$23:$P$23</definedName>
    <definedName name="_xlchart.v1.14" hidden="1">Model!$F$24:$P$24</definedName>
    <definedName name="_xlchart.v1.15" hidden="1">Model!$F$25:$P$25</definedName>
    <definedName name="_xlchart.v1.16" hidden="1">Model!$F$26:$P$26</definedName>
    <definedName name="_xlchart.v1.17" hidden="1">Model!$F$27:$P$27</definedName>
    <definedName name="_xlchart.v1.18" hidden="1">Model!$F$28:$P$28</definedName>
    <definedName name="_xlchart.v1.19" hidden="1">Model!$F$29:$P$29</definedName>
    <definedName name="_xlchart.v1.2" hidden="1">Model!$A$12</definedName>
    <definedName name="_xlchart.v1.20" hidden="1">Model!$F$5:$P$5</definedName>
    <definedName name="_xlchart.v1.21" hidden="1">Model!$A$10</definedName>
    <definedName name="_xlchart.v1.22" hidden="1">Model!$A$11</definedName>
    <definedName name="_xlchart.v1.23" hidden="1">Model!$A$12</definedName>
    <definedName name="_xlchart.v1.24" hidden="1">Model!$A$13</definedName>
    <definedName name="_xlchart.v1.25" hidden="1">Model!$A$14</definedName>
    <definedName name="_xlchart.v1.26" hidden="1">Model!$A$15</definedName>
    <definedName name="_xlchart.v1.27" hidden="1">Model!$A$16</definedName>
    <definedName name="_xlchart.v1.28" hidden="1">Model!$A$17</definedName>
    <definedName name="_xlchart.v1.29" hidden="1">Model!$A$8</definedName>
    <definedName name="_xlchart.v1.3" hidden="1">Model!$A$13</definedName>
    <definedName name="_xlchart.v1.30" hidden="1">Model!$A$9</definedName>
    <definedName name="_xlchart.v1.31" hidden="1">Model!$F$20:$P$20</definedName>
    <definedName name="_xlchart.v1.32" hidden="1">Model!$F$21:$P$21</definedName>
    <definedName name="_xlchart.v1.33" hidden="1">Model!$F$22:$P$22</definedName>
    <definedName name="_xlchart.v1.34" hidden="1">Model!$F$23:$P$23</definedName>
    <definedName name="_xlchart.v1.35" hidden="1">Model!$F$24:$P$24</definedName>
    <definedName name="_xlchart.v1.36" hidden="1">Model!$F$25:$P$25</definedName>
    <definedName name="_xlchart.v1.37" hidden="1">Model!$F$26:$P$26</definedName>
    <definedName name="_xlchart.v1.38" hidden="1">Model!$F$27:$P$27</definedName>
    <definedName name="_xlchart.v1.39" hidden="1">Model!$F$28:$P$28</definedName>
    <definedName name="_xlchart.v1.4" hidden="1">Model!$A$14</definedName>
    <definedName name="_xlchart.v1.40" hidden="1">Model!$F$29:$P$29</definedName>
    <definedName name="_xlchart.v1.41" hidden="1">Model!$F$5:$P$5</definedName>
    <definedName name="_xlchart.v1.5" hidden="1">Model!$A$15</definedName>
    <definedName name="_xlchart.v1.6" hidden="1">Model!$A$16</definedName>
    <definedName name="_xlchart.v1.7" hidden="1">Model!$A$17</definedName>
    <definedName name="_xlchart.v1.8" hidden="1">Model!$A$8</definedName>
    <definedName name="_xlchart.v1.9" hidden="1">Model!$A$9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3" i="2" l="1"/>
  <c r="P111" i="2"/>
  <c r="P108" i="2"/>
  <c r="P106" i="2"/>
  <c r="P100" i="2"/>
  <c r="P99" i="2"/>
  <c r="O99" i="2"/>
  <c r="P66" i="2"/>
  <c r="P67" i="2"/>
  <c r="P70" i="2"/>
  <c r="P71" i="2"/>
  <c r="P94" i="2"/>
  <c r="P96" i="2"/>
  <c r="P97" i="2"/>
  <c r="P84" i="2"/>
  <c r="P79" i="2"/>
  <c r="P76" i="2"/>
  <c r="P80" i="2" s="1"/>
  <c r="P85" i="2" s="1"/>
  <c r="P87" i="2" s="1"/>
  <c r="P89" i="2" s="1"/>
  <c r="P90" i="2" s="1"/>
  <c r="P53" i="2"/>
  <c r="P54" i="2"/>
  <c r="P55" i="2"/>
  <c r="P58" i="2"/>
  <c r="P59" i="2"/>
  <c r="P60" i="2"/>
  <c r="P62" i="2"/>
  <c r="P63" i="2"/>
  <c r="O62" i="2"/>
  <c r="P17" i="2"/>
  <c r="P32" i="2"/>
  <c r="P33" i="2"/>
  <c r="P34" i="2"/>
  <c r="P35" i="2"/>
  <c r="P36" i="2"/>
  <c r="P37" i="2"/>
  <c r="P38" i="2"/>
  <c r="P39" i="2"/>
  <c r="P40" i="2"/>
  <c r="P20" i="2"/>
  <c r="P21" i="2"/>
  <c r="P22" i="2"/>
  <c r="P23" i="2"/>
  <c r="P24" i="2"/>
  <c r="P25" i="2"/>
  <c r="P26" i="2"/>
  <c r="P27" i="2"/>
  <c r="P28" i="2"/>
  <c r="AI49" i="2"/>
  <c r="AI48" i="2"/>
  <c r="AK157" i="2"/>
  <c r="AI161" i="2"/>
  <c r="AF158" i="2" s="1"/>
  <c r="AG158" i="2" s="1"/>
  <c r="AH158" i="2" s="1"/>
  <c r="AI158" i="2" s="1"/>
  <c r="AJ158" i="2" s="1"/>
  <c r="AK158" i="2" s="1"/>
  <c r="AG160" i="2"/>
  <c r="AH160" i="2"/>
  <c r="AI160" i="2"/>
  <c r="AF160" i="2"/>
  <c r="AJ160" i="2"/>
  <c r="O27" i="2"/>
  <c r="C33" i="2"/>
  <c r="D33" i="2"/>
  <c r="G33" i="2"/>
  <c r="H33" i="2"/>
  <c r="L33" i="2"/>
  <c r="C34" i="2"/>
  <c r="D34" i="2"/>
  <c r="G34" i="2"/>
  <c r="H34" i="2"/>
  <c r="L34" i="2"/>
  <c r="C35" i="2"/>
  <c r="D35" i="2"/>
  <c r="G35" i="2"/>
  <c r="H35" i="2"/>
  <c r="L35" i="2"/>
  <c r="C36" i="2"/>
  <c r="D36" i="2"/>
  <c r="G36" i="2"/>
  <c r="H36" i="2"/>
  <c r="L36" i="2"/>
  <c r="C37" i="2"/>
  <c r="D37" i="2"/>
  <c r="G37" i="2"/>
  <c r="H37" i="2"/>
  <c r="L37" i="2"/>
  <c r="C38" i="2"/>
  <c r="D38" i="2"/>
  <c r="G38" i="2"/>
  <c r="H38" i="2"/>
  <c r="L38" i="2"/>
  <c r="C39" i="2"/>
  <c r="D39" i="2"/>
  <c r="G39" i="2"/>
  <c r="H39" i="2"/>
  <c r="L39" i="2"/>
  <c r="C40" i="2"/>
  <c r="D40" i="2"/>
  <c r="G40" i="2"/>
  <c r="H40" i="2"/>
  <c r="L40" i="2"/>
  <c r="D32" i="2"/>
  <c r="G32" i="2"/>
  <c r="H32" i="2"/>
  <c r="L32" i="2"/>
  <c r="C32" i="2"/>
  <c r="G20" i="2"/>
  <c r="H20" i="2"/>
  <c r="K20" i="2"/>
  <c r="L20" i="2"/>
  <c r="O20" i="2"/>
  <c r="G21" i="2"/>
  <c r="H21" i="2"/>
  <c r="K21" i="2"/>
  <c r="L21" i="2"/>
  <c r="O21" i="2"/>
  <c r="G22" i="2"/>
  <c r="H22" i="2"/>
  <c r="K22" i="2"/>
  <c r="L22" i="2"/>
  <c r="O22" i="2"/>
  <c r="G23" i="2"/>
  <c r="H23" i="2"/>
  <c r="K23" i="2"/>
  <c r="L23" i="2"/>
  <c r="O23" i="2"/>
  <c r="G24" i="2"/>
  <c r="H24" i="2"/>
  <c r="K24" i="2"/>
  <c r="L24" i="2"/>
  <c r="O24" i="2"/>
  <c r="G25" i="2"/>
  <c r="H25" i="2"/>
  <c r="K25" i="2"/>
  <c r="L25" i="2"/>
  <c r="O25" i="2"/>
  <c r="G26" i="2"/>
  <c r="H26" i="2"/>
  <c r="K26" i="2"/>
  <c r="L26" i="2"/>
  <c r="O26" i="2"/>
  <c r="G27" i="2"/>
  <c r="H27" i="2"/>
  <c r="K27" i="2"/>
  <c r="L27" i="2"/>
  <c r="G28" i="2"/>
  <c r="H28" i="2"/>
  <c r="K28" i="2"/>
  <c r="L28" i="2"/>
  <c r="O28" i="2"/>
  <c r="F21" i="2"/>
  <c r="F22" i="2"/>
  <c r="F23" i="2"/>
  <c r="F24" i="2"/>
  <c r="F25" i="2"/>
  <c r="F26" i="2"/>
  <c r="F27" i="2"/>
  <c r="F28" i="2"/>
  <c r="F20" i="2"/>
  <c r="F17" i="2"/>
  <c r="C17" i="2"/>
  <c r="D17" i="2"/>
  <c r="G17" i="2"/>
  <c r="B17" i="2"/>
  <c r="E16" i="2"/>
  <c r="E40" i="2" s="1"/>
  <c r="E15" i="2"/>
  <c r="F39" i="2" s="1"/>
  <c r="E14" i="2"/>
  <c r="F38" i="2" s="1"/>
  <c r="E13" i="2"/>
  <c r="F37" i="2" s="1"/>
  <c r="E12" i="2"/>
  <c r="E36" i="2" s="1"/>
  <c r="E11" i="2"/>
  <c r="E35" i="2" s="1"/>
  <c r="E10" i="2"/>
  <c r="E34" i="2" s="1"/>
  <c r="E9" i="2"/>
  <c r="E33" i="2" s="1"/>
  <c r="E8" i="2"/>
  <c r="F32" i="2" s="1"/>
  <c r="I16" i="2"/>
  <c r="I40" i="2" s="1"/>
  <c r="I15" i="2"/>
  <c r="I39" i="2" s="1"/>
  <c r="I14" i="2"/>
  <c r="I38" i="2" s="1"/>
  <c r="I13" i="2"/>
  <c r="I12" i="2"/>
  <c r="I36" i="2" s="1"/>
  <c r="I11" i="2"/>
  <c r="I10" i="2"/>
  <c r="I34" i="2" s="1"/>
  <c r="I9" i="2"/>
  <c r="I33" i="2" s="1"/>
  <c r="I8" i="2"/>
  <c r="I32" i="2" s="1"/>
  <c r="H17" i="2"/>
  <c r="L17" i="2"/>
  <c r="J16" i="2"/>
  <c r="J15" i="2"/>
  <c r="M15" i="2" s="1"/>
  <c r="J14" i="2"/>
  <c r="M14" i="2" s="1"/>
  <c r="J13" i="2"/>
  <c r="M13" i="2" s="1"/>
  <c r="M37" i="2" s="1"/>
  <c r="J12" i="2"/>
  <c r="M12" i="2" s="1"/>
  <c r="M36" i="2" s="1"/>
  <c r="J11" i="2"/>
  <c r="M11" i="2" s="1"/>
  <c r="J10" i="2"/>
  <c r="M10" i="2" s="1"/>
  <c r="M34" i="2" s="1"/>
  <c r="J9" i="2"/>
  <c r="M9" i="2" s="1"/>
  <c r="J8" i="2"/>
  <c r="M8" i="2" s="1"/>
  <c r="K17" i="2"/>
  <c r="N15" i="2"/>
  <c r="N8" i="2"/>
  <c r="N9" i="2"/>
  <c r="N16" i="2"/>
  <c r="O40" i="2" s="1"/>
  <c r="N14" i="2"/>
  <c r="N13" i="2"/>
  <c r="N12" i="2"/>
  <c r="N11" i="2"/>
  <c r="O35" i="2" s="1"/>
  <c r="N10" i="2"/>
  <c r="O34" i="2" s="1"/>
  <c r="O17" i="2"/>
  <c r="F62" i="2"/>
  <c r="G62" i="2"/>
  <c r="H62" i="2"/>
  <c r="I62" i="2"/>
  <c r="J62" i="2"/>
  <c r="K62" i="2"/>
  <c r="L62" i="2"/>
  <c r="M62" i="2"/>
  <c r="N62" i="2"/>
  <c r="F63" i="2"/>
  <c r="G63" i="2"/>
  <c r="H63" i="2"/>
  <c r="I63" i="2"/>
  <c r="J63" i="2"/>
  <c r="K63" i="2"/>
  <c r="L63" i="2"/>
  <c r="M63" i="2"/>
  <c r="N63" i="2"/>
  <c r="O63" i="2"/>
  <c r="E62" i="2"/>
  <c r="E63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I54" i="2"/>
  <c r="I55" i="2"/>
  <c r="I53" i="2"/>
  <c r="G58" i="2"/>
  <c r="H58" i="2"/>
  <c r="I58" i="2"/>
  <c r="J58" i="2"/>
  <c r="K58" i="2"/>
  <c r="L58" i="2"/>
  <c r="M58" i="2"/>
  <c r="N58" i="2"/>
  <c r="O58" i="2"/>
  <c r="G59" i="2"/>
  <c r="H59" i="2"/>
  <c r="I59" i="2"/>
  <c r="J59" i="2"/>
  <c r="K59" i="2"/>
  <c r="L59" i="2"/>
  <c r="M59" i="2"/>
  <c r="N59" i="2"/>
  <c r="O59" i="2"/>
  <c r="G60" i="2"/>
  <c r="H60" i="2"/>
  <c r="I60" i="2"/>
  <c r="J60" i="2"/>
  <c r="K60" i="2"/>
  <c r="L60" i="2"/>
  <c r="M60" i="2"/>
  <c r="N60" i="2"/>
  <c r="O60" i="2"/>
  <c r="F59" i="2"/>
  <c r="F60" i="2"/>
  <c r="F58" i="2"/>
  <c r="O138" i="2"/>
  <c r="O141" i="2" s="1"/>
  <c r="O132" i="2"/>
  <c r="O134" i="2" s="1"/>
  <c r="O127" i="2"/>
  <c r="O128" i="2" s="1"/>
  <c r="O145" i="2" s="1"/>
  <c r="O150" i="2" s="1"/>
  <c r="O114" i="2"/>
  <c r="O113" i="2"/>
  <c r="O111" i="2"/>
  <c r="O100" i="2"/>
  <c r="O106" i="2"/>
  <c r="O84" i="2"/>
  <c r="O76" i="2"/>
  <c r="O79" i="2"/>
  <c r="N138" i="2"/>
  <c r="N141" i="2" s="1"/>
  <c r="N132" i="2"/>
  <c r="N134" i="2" s="1"/>
  <c r="N127" i="2"/>
  <c r="N128" i="2" s="1"/>
  <c r="N145" i="2" s="1"/>
  <c r="N150" i="2" s="1"/>
  <c r="AK82" i="2" l="1"/>
  <c r="AL82" i="2" s="1"/>
  <c r="AM82" i="2" s="1"/>
  <c r="AN82" i="2" s="1"/>
  <c r="AO82" i="2" s="1"/>
  <c r="AP82" i="2" s="1"/>
  <c r="N27" i="2"/>
  <c r="I23" i="2"/>
  <c r="F40" i="2"/>
  <c r="K29" i="2"/>
  <c r="N37" i="2"/>
  <c r="P41" i="2"/>
  <c r="N26" i="2"/>
  <c r="H29" i="2"/>
  <c r="AK81" i="2"/>
  <c r="AL81" i="2" s="1"/>
  <c r="AM81" i="2" s="1"/>
  <c r="AN81" i="2" s="1"/>
  <c r="AO81" i="2" s="1"/>
  <c r="AP81" i="2" s="1"/>
  <c r="AK83" i="2"/>
  <c r="AL83" i="2" s="1"/>
  <c r="AM83" i="2" s="1"/>
  <c r="AN83" i="2" s="1"/>
  <c r="AO83" i="2" s="1"/>
  <c r="AP83" i="2" s="1"/>
  <c r="O29" i="2"/>
  <c r="N32" i="2"/>
  <c r="K39" i="2"/>
  <c r="M21" i="2"/>
  <c r="L29" i="2"/>
  <c r="G41" i="2"/>
  <c r="P29" i="2"/>
  <c r="I28" i="2"/>
  <c r="F35" i="2"/>
  <c r="M26" i="2"/>
  <c r="N36" i="2"/>
  <c r="M20" i="2"/>
  <c r="J40" i="2"/>
  <c r="D41" i="2"/>
  <c r="M22" i="2"/>
  <c r="H41" i="2"/>
  <c r="O39" i="2"/>
  <c r="E38" i="2"/>
  <c r="J25" i="2"/>
  <c r="J21" i="2"/>
  <c r="N39" i="2"/>
  <c r="M27" i="2"/>
  <c r="J27" i="2"/>
  <c r="J26" i="2"/>
  <c r="I21" i="2"/>
  <c r="M39" i="2"/>
  <c r="O38" i="2"/>
  <c r="N34" i="2"/>
  <c r="I25" i="2"/>
  <c r="I27" i="2"/>
  <c r="I22" i="2"/>
  <c r="M38" i="2"/>
  <c r="J36" i="2"/>
  <c r="K34" i="2"/>
  <c r="J39" i="2"/>
  <c r="K38" i="2"/>
  <c r="F33" i="2"/>
  <c r="M23" i="2"/>
  <c r="F29" i="2"/>
  <c r="N25" i="2"/>
  <c r="E32" i="2"/>
  <c r="N21" i="2"/>
  <c r="N22" i="2"/>
  <c r="E37" i="2"/>
  <c r="M25" i="2"/>
  <c r="N24" i="2"/>
  <c r="J20" i="2"/>
  <c r="N35" i="2"/>
  <c r="J28" i="2"/>
  <c r="M24" i="2"/>
  <c r="N23" i="2"/>
  <c r="I20" i="2"/>
  <c r="K32" i="2"/>
  <c r="N38" i="2"/>
  <c r="K37" i="2"/>
  <c r="M35" i="2"/>
  <c r="J34" i="2"/>
  <c r="O33" i="2"/>
  <c r="M32" i="2"/>
  <c r="N33" i="2"/>
  <c r="O36" i="2"/>
  <c r="K40" i="2"/>
  <c r="G29" i="2"/>
  <c r="I26" i="2"/>
  <c r="I37" i="2"/>
  <c r="F36" i="2"/>
  <c r="M33" i="2"/>
  <c r="N28" i="2"/>
  <c r="I24" i="2"/>
  <c r="J23" i="2"/>
  <c r="O32" i="2"/>
  <c r="C41" i="2"/>
  <c r="E39" i="2"/>
  <c r="J38" i="2"/>
  <c r="O37" i="2"/>
  <c r="I35" i="2"/>
  <c r="F34" i="2"/>
  <c r="K33" i="2"/>
  <c r="J32" i="2"/>
  <c r="J37" i="2"/>
  <c r="K35" i="2"/>
  <c r="J24" i="2"/>
  <c r="N20" i="2"/>
  <c r="L41" i="2"/>
  <c r="J35" i="2"/>
  <c r="J22" i="2"/>
  <c r="K36" i="2"/>
  <c r="J33" i="2"/>
  <c r="G71" i="2"/>
  <c r="N71" i="2"/>
  <c r="H70" i="2"/>
  <c r="J17" i="2"/>
  <c r="G70" i="2"/>
  <c r="M16" i="2"/>
  <c r="E17" i="2"/>
  <c r="I17" i="2"/>
  <c r="N17" i="2"/>
  <c r="O67" i="2"/>
  <c r="L67" i="2"/>
  <c r="J66" i="2"/>
  <c r="N70" i="2"/>
  <c r="I66" i="2"/>
  <c r="N66" i="2"/>
  <c r="F70" i="2"/>
  <c r="J67" i="2"/>
  <c r="M70" i="2"/>
  <c r="K70" i="2"/>
  <c r="H71" i="2"/>
  <c r="I67" i="2"/>
  <c r="L66" i="2"/>
  <c r="L71" i="2"/>
  <c r="F71" i="2"/>
  <c r="M67" i="2"/>
  <c r="O66" i="2"/>
  <c r="K71" i="2"/>
  <c r="M66" i="2"/>
  <c r="O70" i="2"/>
  <c r="J71" i="2"/>
  <c r="J70" i="2"/>
  <c r="O71" i="2"/>
  <c r="I71" i="2"/>
  <c r="I70" i="2"/>
  <c r="K67" i="2"/>
  <c r="M71" i="2"/>
  <c r="L70" i="2"/>
  <c r="N67" i="2"/>
  <c r="K66" i="2"/>
  <c r="O108" i="2"/>
  <c r="O147" i="2"/>
  <c r="O151" i="2" s="1"/>
  <c r="N147" i="2"/>
  <c r="N151" i="2" s="1"/>
  <c r="O143" i="2"/>
  <c r="O119" i="2"/>
  <c r="O80" i="2"/>
  <c r="O85" i="2" s="1"/>
  <c r="O87" i="2" s="1"/>
  <c r="N143" i="2"/>
  <c r="N114" i="2"/>
  <c r="N113" i="2"/>
  <c r="N111" i="2"/>
  <c r="N106" i="2"/>
  <c r="N100" i="2"/>
  <c r="N84" i="2"/>
  <c r="N79" i="2"/>
  <c r="N76" i="2"/>
  <c r="E84" i="2"/>
  <c r="E79" i="2"/>
  <c r="E76" i="2"/>
  <c r="AE84" i="2"/>
  <c r="AE159" i="2" s="1"/>
  <c r="AE79" i="2"/>
  <c r="AE76" i="2"/>
  <c r="AF84" i="2"/>
  <c r="AF159" i="2" s="1"/>
  <c r="AF79" i="2"/>
  <c r="AF76" i="2"/>
  <c r="AL4" i="2"/>
  <c r="AM4" i="2" s="1"/>
  <c r="AN4" i="2" s="1"/>
  <c r="AO4" i="2" s="1"/>
  <c r="AP4" i="2" s="1"/>
  <c r="AQ4" i="2" s="1"/>
  <c r="AR4" i="2" s="1"/>
  <c r="AK92" i="2"/>
  <c r="AL92" i="2" s="1"/>
  <c r="AM92" i="2" s="1"/>
  <c r="AN92" i="2" s="1"/>
  <c r="AO92" i="2" s="1"/>
  <c r="AP92" i="2" s="1"/>
  <c r="AQ92" i="2" s="1"/>
  <c r="AR92" i="2" s="1"/>
  <c r="AJ88" i="2"/>
  <c r="AJ86" i="2"/>
  <c r="AJ92" i="2"/>
  <c r="AI92" i="2"/>
  <c r="AI88" i="2"/>
  <c r="AI86" i="2"/>
  <c r="AH84" i="2"/>
  <c r="AH159" i="2" s="1"/>
  <c r="AG84" i="2"/>
  <c r="AG159" i="2" s="1"/>
  <c r="AH79" i="2"/>
  <c r="AG79" i="2"/>
  <c r="AG76" i="2"/>
  <c r="AH76" i="2"/>
  <c r="AI4" i="2"/>
  <c r="AJ4" i="2"/>
  <c r="Q4" i="2"/>
  <c r="U4" i="2" s="1"/>
  <c r="Y4" i="2" s="1"/>
  <c r="AC4" i="2" s="1"/>
  <c r="P4" i="2"/>
  <c r="T4" i="2" s="1"/>
  <c r="X4" i="2" s="1"/>
  <c r="AB4" i="2" s="1"/>
  <c r="O4" i="2"/>
  <c r="S4" i="2" s="1"/>
  <c r="W4" i="2" s="1"/>
  <c r="AA4" i="2" s="1"/>
  <c r="N4" i="2"/>
  <c r="R4" i="2" s="1"/>
  <c r="V4" i="2" s="1"/>
  <c r="Z4" i="2" s="1"/>
  <c r="AI83" i="2"/>
  <c r="AI82" i="2"/>
  <c r="AI81" i="2"/>
  <c r="AJ83" i="2"/>
  <c r="AJ82" i="2"/>
  <c r="AJ81" i="2"/>
  <c r="AJ78" i="2"/>
  <c r="AJ77" i="2"/>
  <c r="AI78" i="2"/>
  <c r="AI77" i="2"/>
  <c r="AI50" i="2"/>
  <c r="AI75" i="2"/>
  <c r="AI74" i="2"/>
  <c r="AJ75" i="2"/>
  <c r="AJ74" i="2"/>
  <c r="AK74" i="2" s="1"/>
  <c r="AL74" i="2" s="1"/>
  <c r="AM74" i="2" s="1"/>
  <c r="AN74" i="2" s="1"/>
  <c r="AO74" i="2" s="1"/>
  <c r="AP74" i="2" s="1"/>
  <c r="AQ74" i="2" s="1"/>
  <c r="AR74" i="2" s="1"/>
  <c r="AJ50" i="2"/>
  <c r="AJ49" i="2"/>
  <c r="AJ48" i="2"/>
  <c r="M46" i="2"/>
  <c r="M138" i="2"/>
  <c r="M141" i="2" s="1"/>
  <c r="M132" i="2"/>
  <c r="M134" i="2" s="1"/>
  <c r="M127" i="2"/>
  <c r="M128" i="2" s="1"/>
  <c r="M113" i="2"/>
  <c r="M114" i="2"/>
  <c r="M111" i="2"/>
  <c r="M100" i="2"/>
  <c r="M106" i="2"/>
  <c r="M84" i="2"/>
  <c r="J138" i="2"/>
  <c r="J141" i="2" s="1"/>
  <c r="J132" i="2"/>
  <c r="J134" i="2" s="1"/>
  <c r="J127" i="2"/>
  <c r="J128" i="2" s="1"/>
  <c r="J114" i="2"/>
  <c r="J113" i="2"/>
  <c r="J111" i="2"/>
  <c r="J106" i="2"/>
  <c r="J100" i="2"/>
  <c r="K138" i="2"/>
  <c r="K141" i="2" s="1"/>
  <c r="K132" i="2"/>
  <c r="K134" i="2" s="1"/>
  <c r="K127" i="2"/>
  <c r="K128" i="2" s="1"/>
  <c r="K114" i="2"/>
  <c r="K113" i="2"/>
  <c r="K111" i="2"/>
  <c r="K106" i="2"/>
  <c r="K100" i="2"/>
  <c r="L138" i="2"/>
  <c r="L141" i="2" s="1"/>
  <c r="L132" i="2"/>
  <c r="L134" i="2" s="1"/>
  <c r="L127" i="2"/>
  <c r="L128" i="2" s="1"/>
  <c r="L113" i="2"/>
  <c r="L114" i="2"/>
  <c r="L111" i="2"/>
  <c r="L106" i="2"/>
  <c r="L100" i="2"/>
  <c r="L4" i="1"/>
  <c r="L7" i="1" s="1"/>
  <c r="K84" i="2"/>
  <c r="J84" i="2"/>
  <c r="I84" i="2"/>
  <c r="H84" i="2"/>
  <c r="G84" i="2"/>
  <c r="F84" i="2"/>
  <c r="L84" i="2"/>
  <c r="M79" i="2"/>
  <c r="M76" i="2"/>
  <c r="F76" i="2"/>
  <c r="G79" i="2"/>
  <c r="F79" i="2"/>
  <c r="L79" i="2"/>
  <c r="K79" i="2"/>
  <c r="J79" i="2"/>
  <c r="I79" i="2"/>
  <c r="H79" i="2"/>
  <c r="K76" i="2"/>
  <c r="O94" i="2" s="1"/>
  <c r="J76" i="2"/>
  <c r="I76" i="2"/>
  <c r="H76" i="2"/>
  <c r="G76" i="2"/>
  <c r="L76" i="2"/>
  <c r="AQ82" i="2" l="1"/>
  <c r="AR82" i="2" s="1"/>
  <c r="AK84" i="2"/>
  <c r="AK159" i="2" s="1"/>
  <c r="AQ83" i="2"/>
  <c r="AR83" i="2" s="1"/>
  <c r="I41" i="2"/>
  <c r="I29" i="2"/>
  <c r="M17" i="2"/>
  <c r="N41" i="2" s="1"/>
  <c r="M28" i="2"/>
  <c r="N40" i="2"/>
  <c r="M40" i="2"/>
  <c r="J41" i="2"/>
  <c r="K41" i="2"/>
  <c r="J29" i="2"/>
  <c r="F41" i="2"/>
  <c r="E41" i="2"/>
  <c r="N29" i="2"/>
  <c r="O41" i="2"/>
  <c r="AI79" i="2"/>
  <c r="O96" i="2"/>
  <c r="L99" i="2"/>
  <c r="K145" i="2"/>
  <c r="K150" i="2" s="1"/>
  <c r="K147" i="2"/>
  <c r="L145" i="2"/>
  <c r="L147" i="2"/>
  <c r="J145" i="2"/>
  <c r="J150" i="2" s="1"/>
  <c r="J147" i="2"/>
  <c r="M145" i="2"/>
  <c r="M150" i="2" s="1"/>
  <c r="M147" i="2"/>
  <c r="M151" i="2" s="1"/>
  <c r="K99" i="2"/>
  <c r="J99" i="2"/>
  <c r="AG94" i="2"/>
  <c r="I94" i="2"/>
  <c r="N94" i="2"/>
  <c r="N108" i="2"/>
  <c r="N99" i="2"/>
  <c r="M99" i="2"/>
  <c r="AJ99" i="2" s="1"/>
  <c r="AK86" i="2" s="1"/>
  <c r="M108" i="2"/>
  <c r="N80" i="2"/>
  <c r="N96" i="2" s="1"/>
  <c r="N119" i="2"/>
  <c r="AF80" i="2"/>
  <c r="AF96" i="2" s="1"/>
  <c r="E80" i="2"/>
  <c r="E85" i="2" s="1"/>
  <c r="E87" i="2" s="1"/>
  <c r="AE80" i="2"/>
  <c r="AE85" i="2" s="1"/>
  <c r="AE87" i="2" s="1"/>
  <c r="AE89" i="2" s="1"/>
  <c r="AE90" i="2" s="1"/>
  <c r="AF94" i="2"/>
  <c r="AJ84" i="2"/>
  <c r="AJ159" i="2" s="1"/>
  <c r="AL84" i="2"/>
  <c r="AH94" i="2"/>
  <c r="AJ76" i="2"/>
  <c r="AI84" i="2"/>
  <c r="AI159" i="2" s="1"/>
  <c r="AH80" i="2"/>
  <c r="AH96" i="2" s="1"/>
  <c r="AK75" i="2"/>
  <c r="AG80" i="2"/>
  <c r="AG96" i="2" s="1"/>
  <c r="AJ79" i="2"/>
  <c r="AI76" i="2"/>
  <c r="M119" i="2"/>
  <c r="J119" i="2"/>
  <c r="M143" i="2"/>
  <c r="J108" i="2"/>
  <c r="K94" i="2"/>
  <c r="J94" i="2"/>
  <c r="L119" i="2"/>
  <c r="J143" i="2"/>
  <c r="M94" i="2"/>
  <c r="K108" i="2"/>
  <c r="K143" i="2"/>
  <c r="F80" i="2"/>
  <c r="F96" i="2" s="1"/>
  <c r="K119" i="2"/>
  <c r="L80" i="2"/>
  <c r="L85" i="2" s="1"/>
  <c r="L87" i="2" s="1"/>
  <c r="H80" i="2"/>
  <c r="H96" i="2" s="1"/>
  <c r="L108" i="2"/>
  <c r="L143" i="2"/>
  <c r="L94" i="2"/>
  <c r="I80" i="2"/>
  <c r="I96" i="2" s="1"/>
  <c r="J80" i="2"/>
  <c r="J96" i="2" s="1"/>
  <c r="K80" i="2"/>
  <c r="K96" i="2" s="1"/>
  <c r="G80" i="2"/>
  <c r="M80" i="2"/>
  <c r="M96" i="2" s="1"/>
  <c r="M41" i="2" l="1"/>
  <c r="M29" i="2"/>
  <c r="AI80" i="2"/>
  <c r="AI85" i="2" s="1"/>
  <c r="AI87" i="2" s="1"/>
  <c r="N148" i="2"/>
  <c r="K151" i="2"/>
  <c r="O148" i="2"/>
  <c r="L151" i="2"/>
  <c r="O146" i="2"/>
  <c r="L150" i="2"/>
  <c r="J151" i="2"/>
  <c r="M148" i="2"/>
  <c r="AJ80" i="2"/>
  <c r="AJ96" i="2" s="1"/>
  <c r="M146" i="2"/>
  <c r="AF85" i="2"/>
  <c r="AF87" i="2" s="1"/>
  <c r="AF89" i="2" s="1"/>
  <c r="AF90" i="2" s="1"/>
  <c r="N146" i="2"/>
  <c r="AN84" i="2"/>
  <c r="N85" i="2"/>
  <c r="N87" i="2" s="1"/>
  <c r="N89" i="2" s="1"/>
  <c r="AG85" i="2"/>
  <c r="AG87" i="2" s="1"/>
  <c r="AG97" i="2" s="1"/>
  <c r="AE96" i="2"/>
  <c r="O97" i="2"/>
  <c r="AH85" i="2"/>
  <c r="AH87" i="2" s="1"/>
  <c r="AH97" i="2" s="1"/>
  <c r="L96" i="2"/>
  <c r="E96" i="2"/>
  <c r="E97" i="2"/>
  <c r="E89" i="2"/>
  <c r="E90" i="2" s="1"/>
  <c r="AE97" i="2"/>
  <c r="AK76" i="2"/>
  <c r="AL75" i="2"/>
  <c r="L89" i="2"/>
  <c r="L90" i="2" s="1"/>
  <c r="L97" i="2"/>
  <c r="AI94" i="2"/>
  <c r="AJ94" i="2"/>
  <c r="M85" i="2"/>
  <c r="M87" i="2" s="1"/>
  <c r="H85" i="2"/>
  <c r="H87" i="2" s="1"/>
  <c r="F85" i="2"/>
  <c r="F87" i="2" s="1"/>
  <c r="G85" i="2"/>
  <c r="G87" i="2" s="1"/>
  <c r="G96" i="2"/>
  <c r="K85" i="2"/>
  <c r="K87" i="2" s="1"/>
  <c r="J85" i="2"/>
  <c r="J87" i="2" s="1"/>
  <c r="I85" i="2"/>
  <c r="I87" i="2" s="1"/>
  <c r="AF97" i="2" l="1"/>
  <c r="AI96" i="2"/>
  <c r="AJ85" i="2"/>
  <c r="AJ87" i="2" s="1"/>
  <c r="AJ97" i="2" s="1"/>
  <c r="N97" i="2"/>
  <c r="AM84" i="2"/>
  <c r="AG89" i="2"/>
  <c r="AG90" i="2" s="1"/>
  <c r="AH89" i="2"/>
  <c r="AH90" i="2" s="1"/>
  <c r="O89" i="2"/>
  <c r="N121" i="2"/>
  <c r="N90" i="2"/>
  <c r="M89" i="2"/>
  <c r="M121" i="2" s="1"/>
  <c r="M97" i="2"/>
  <c r="L121" i="2"/>
  <c r="F89" i="2"/>
  <c r="F90" i="2" s="1"/>
  <c r="F97" i="2"/>
  <c r="J89" i="2"/>
  <c r="J90" i="2" s="1"/>
  <c r="J97" i="2"/>
  <c r="G89" i="2"/>
  <c r="G90" i="2" s="1"/>
  <c r="G97" i="2"/>
  <c r="AL76" i="2"/>
  <c r="AM75" i="2"/>
  <c r="AI89" i="2"/>
  <c r="AI90" i="2" s="1"/>
  <c r="AI97" i="2"/>
  <c r="H89" i="2"/>
  <c r="H90" i="2" s="1"/>
  <c r="H97" i="2"/>
  <c r="AK94" i="2"/>
  <c r="AK80" i="2"/>
  <c r="I89" i="2"/>
  <c r="I90" i="2" s="1"/>
  <c r="I97" i="2"/>
  <c r="K89" i="2"/>
  <c r="K90" i="2" s="1"/>
  <c r="K97" i="2"/>
  <c r="AJ89" i="2" l="1"/>
  <c r="AJ90" i="2" s="1"/>
  <c r="AO84" i="2"/>
  <c r="O90" i="2"/>
  <c r="O121" i="2"/>
  <c r="J121" i="2"/>
  <c r="AL94" i="2"/>
  <c r="AL80" i="2"/>
  <c r="AK79" i="2"/>
  <c r="AK96" i="2"/>
  <c r="AK85" i="2"/>
  <c r="AK87" i="2" s="1"/>
  <c r="AN75" i="2"/>
  <c r="AM76" i="2"/>
  <c r="K121" i="2"/>
  <c r="M90" i="2"/>
  <c r="AP84" i="2"/>
  <c r="AQ81" i="2"/>
  <c r="AK88" i="2" l="1"/>
  <c r="AK97" i="2" s="1"/>
  <c r="AM94" i="2"/>
  <c r="AM80" i="2"/>
  <c r="AL85" i="2"/>
  <c r="AL96" i="2"/>
  <c r="AO75" i="2"/>
  <c r="AN76" i="2"/>
  <c r="AL79" i="2"/>
  <c r="AR81" i="2"/>
  <c r="AR84" i="2" s="1"/>
  <c r="AQ84" i="2"/>
  <c r="AK89" i="2" l="1"/>
  <c r="AK90" i="2" s="1"/>
  <c r="AN80" i="2"/>
  <c r="AN94" i="2"/>
  <c r="AP75" i="2"/>
  <c r="AO76" i="2"/>
  <c r="AM79" i="2"/>
  <c r="AM96" i="2"/>
  <c r="AM85" i="2"/>
  <c r="AK99" i="2" l="1"/>
  <c r="AL86" i="2" s="1"/>
  <c r="AL87" i="2" s="1"/>
  <c r="AL88" i="2" s="1"/>
  <c r="AL97" i="2" s="1"/>
  <c r="AO80" i="2"/>
  <c r="AO94" i="2"/>
  <c r="AQ75" i="2"/>
  <c r="AP76" i="2"/>
  <c r="AN79" i="2"/>
  <c r="AN96" i="2"/>
  <c r="AN85" i="2"/>
  <c r="AL89" i="2" l="1"/>
  <c r="AL99" i="2" s="1"/>
  <c r="AM86" i="2" s="1"/>
  <c r="AM87" i="2" s="1"/>
  <c r="AP80" i="2"/>
  <c r="AP94" i="2"/>
  <c r="AO96" i="2"/>
  <c r="AO85" i="2"/>
  <c r="AO79" i="2"/>
  <c r="AR75" i="2"/>
  <c r="AR76" i="2" s="1"/>
  <c r="AQ76" i="2"/>
  <c r="AL90" i="2" l="1"/>
  <c r="AQ80" i="2"/>
  <c r="AQ94" i="2"/>
  <c r="AR80" i="2"/>
  <c r="AR94" i="2"/>
  <c r="AP85" i="2"/>
  <c r="AP79" i="2"/>
  <c r="AP96" i="2"/>
  <c r="AM88" i="2"/>
  <c r="AM97" i="2" s="1"/>
  <c r="AM89" i="2" l="1"/>
  <c r="AM90" i="2" s="1"/>
  <c r="AR96" i="2"/>
  <c r="AR79" i="2"/>
  <c r="AR85" i="2"/>
  <c r="AQ79" i="2"/>
  <c r="AQ96" i="2"/>
  <c r="AQ85" i="2"/>
  <c r="AM99" i="2" l="1"/>
  <c r="AN86" i="2" s="1"/>
  <c r="AN87" i="2" s="1"/>
  <c r="AN88" i="2" l="1"/>
  <c r="AN97" i="2" s="1"/>
  <c r="AN89" i="2" l="1"/>
  <c r="AN99" i="2" s="1"/>
  <c r="AN90" i="2" l="1"/>
  <c r="AO86" i="2"/>
  <c r="AO87" i="2" s="1"/>
  <c r="AO88" i="2" l="1"/>
  <c r="AO97" i="2" s="1"/>
  <c r="AO89" i="2" l="1"/>
  <c r="AO99" i="2" s="1"/>
  <c r="AO90" i="2" l="1"/>
  <c r="AP86" i="2"/>
  <c r="AP87" i="2" s="1"/>
  <c r="AP88" i="2" l="1"/>
  <c r="AP97" i="2" s="1"/>
  <c r="AP89" i="2" l="1"/>
  <c r="AP90" i="2" s="1"/>
  <c r="AP99" i="2" l="1"/>
  <c r="AQ86" i="2" s="1"/>
  <c r="AQ87" i="2" s="1"/>
  <c r="AQ88" i="2" l="1"/>
  <c r="AQ97" i="2" s="1"/>
  <c r="AQ89" i="2" l="1"/>
  <c r="AQ99" i="2" s="1"/>
  <c r="AQ90" i="2" l="1"/>
  <c r="AR86" i="2"/>
  <c r="AR87" i="2" s="1"/>
  <c r="AR88" i="2" l="1"/>
  <c r="AR97" i="2" s="1"/>
  <c r="AR89" i="2" l="1"/>
  <c r="AS89" i="2" s="1"/>
  <c r="AT89" i="2" s="1"/>
  <c r="AU89" i="2" s="1"/>
  <c r="AV89" i="2" s="1"/>
  <c r="AW89" i="2" s="1"/>
  <c r="AX89" i="2" s="1"/>
  <c r="AY89" i="2" s="1"/>
  <c r="AZ89" i="2" s="1"/>
  <c r="BA89" i="2" s="1"/>
  <c r="BB89" i="2" s="1"/>
  <c r="BC89" i="2" s="1"/>
  <c r="BD89" i="2" s="1"/>
  <c r="BE89" i="2" s="1"/>
  <c r="BF89" i="2" s="1"/>
  <c r="BG89" i="2" s="1"/>
  <c r="BH89" i="2" s="1"/>
  <c r="BI89" i="2" s="1"/>
  <c r="BJ89" i="2" s="1"/>
  <c r="BK89" i="2" s="1"/>
  <c r="BL89" i="2" s="1"/>
  <c r="BM89" i="2" s="1"/>
  <c r="BN89" i="2" s="1"/>
  <c r="BO89" i="2" s="1"/>
  <c r="BP89" i="2" s="1"/>
  <c r="BQ89" i="2" s="1"/>
  <c r="BR89" i="2" s="1"/>
  <c r="BS89" i="2" s="1"/>
  <c r="BT89" i="2" s="1"/>
  <c r="BU89" i="2" s="1"/>
  <c r="BV89" i="2" s="1"/>
  <c r="BW89" i="2" s="1"/>
  <c r="BX89" i="2" s="1"/>
  <c r="BY89" i="2" s="1"/>
  <c r="BZ89" i="2" s="1"/>
  <c r="CA89" i="2" s="1"/>
  <c r="CB89" i="2" s="1"/>
  <c r="CC89" i="2" s="1"/>
  <c r="CD89" i="2" s="1"/>
  <c r="CE89" i="2" s="1"/>
  <c r="CF89" i="2" s="1"/>
  <c r="CG89" i="2" s="1"/>
  <c r="CH89" i="2" s="1"/>
  <c r="CI89" i="2" s="1"/>
  <c r="CJ89" i="2" s="1"/>
  <c r="CK89" i="2" s="1"/>
  <c r="CL89" i="2" s="1"/>
  <c r="CM89" i="2" s="1"/>
  <c r="CN89" i="2" s="1"/>
  <c r="CO89" i="2" s="1"/>
  <c r="CP89" i="2" s="1"/>
  <c r="CQ89" i="2" s="1"/>
  <c r="CR89" i="2" s="1"/>
  <c r="CS89" i="2" s="1"/>
  <c r="CT89" i="2" s="1"/>
  <c r="CU89" i="2" s="1"/>
  <c r="CV89" i="2" s="1"/>
  <c r="CW89" i="2" s="1"/>
  <c r="CX89" i="2" s="1"/>
  <c r="C6" i="3" s="1"/>
  <c r="C7" i="3" s="1"/>
  <c r="AR99" i="2" l="1"/>
  <c r="AR9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tc={1194B53B-11DF-4936-8FD7-77F49319A1C9}</author>
    <author>tc={F728FAC2-51F0-4023-AB40-41F83CEF5C89}</author>
  </authors>
  <commentList>
    <comment ref="J49" authorId="0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J50" authorId="1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</commentList>
</comments>
</file>

<file path=xl/sharedStrings.xml><?xml version="1.0" encoding="utf-8"?>
<sst xmlns="http://schemas.openxmlformats.org/spreadsheetml/2006/main" count="205" uniqueCount="160">
  <si>
    <t>Price</t>
  </si>
  <si>
    <t>Shares</t>
  </si>
  <si>
    <t>MC</t>
  </si>
  <si>
    <t>Cash</t>
  </si>
  <si>
    <t>Debt</t>
  </si>
  <si>
    <t>EV</t>
  </si>
  <si>
    <t>4/26/22: FQ322 results</t>
  </si>
  <si>
    <t>Revenue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</si>
  <si>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</si>
  <si>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</si>
  <si>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</si>
  <si>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</si>
  <si>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</si>
  <si>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</si>
  <si>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</si>
  <si>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</si>
  <si>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</si>
  <si>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</si>
  <si>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</si>
  <si>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</si>
  <si>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</si>
  <si>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</si>
  <si>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</si>
  <si>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</si>
  <si>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</si>
  <si>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</si>
  <si>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</si>
  <si>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</si>
  <si>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</si>
  <si>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</si>
  <si>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</si>
  <si>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</si>
  <si>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</si>
  <si>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</si>
  <si>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</si>
  <si>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</si>
  <si>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</si>
  <si>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</si>
  <si>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</si>
  <si>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</si>
  <si>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</si>
  <si>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</si>
  <si>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</si>
  <si>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</si>
  <si>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</si>
  <si>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</si>
  <si>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</si>
  <si>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</si>
  <si>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</si>
  <si>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</si>
  <si>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</si>
  <si>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</si>
  <si>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</si>
  <si>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</si>
  <si>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</si>
  <si>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</si>
  <si>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</si>
  <si>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</si>
  <si>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</si>
  <si>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</si>
  <si>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</si>
  <si>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</si>
  <si>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</si>
  <si>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</si>
  <si>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FQ320</t>
  </si>
  <si>
    <t>FQ220</t>
  </si>
  <si>
    <t>FQ120</t>
  </si>
  <si>
    <t>Net Cash</t>
  </si>
  <si>
    <t>LinkedIn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</si>
  <si>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</si>
  <si>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</si>
  <si>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</si>
  <si>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</si>
  <si>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</si>
  <si>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</si>
  <si>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</si>
  <si>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</si>
  <si>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</si>
  <si>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</si>
  <si>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</si>
  <si>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</si>
  <si>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 xml:space="preserve">  TTM 12mo</t>
  </si>
  <si>
    <t>Revenue c/c</t>
  </si>
  <si>
    <t>Q322</t>
  </si>
  <si>
    <t>Share</t>
  </si>
  <si>
    <t>Office</t>
  </si>
  <si>
    <t>Outlook, Excel, Powerpoint</t>
  </si>
  <si>
    <t>Viva</t>
  </si>
  <si>
    <t>Teams</t>
  </si>
  <si>
    <t>Xbox</t>
  </si>
  <si>
    <t>Windows</t>
  </si>
  <si>
    <t>Dynamics</t>
  </si>
  <si>
    <t>CRM</t>
  </si>
  <si>
    <t>OS</t>
  </si>
  <si>
    <t>Games</t>
  </si>
  <si>
    <t>Social Network</t>
  </si>
  <si>
    <t>Azure</t>
  </si>
  <si>
    <t>Visual Studio</t>
  </si>
  <si>
    <t>GitHub</t>
  </si>
  <si>
    <t>Bing</t>
  </si>
  <si>
    <t>Edge</t>
  </si>
  <si>
    <t>Net PP&amp;E</t>
  </si>
  <si>
    <t>FCF Less SBC</t>
  </si>
  <si>
    <t>Adjusted FCF per Share</t>
  </si>
  <si>
    <t>FCF Yield per Share</t>
  </si>
  <si>
    <t>Microsoft Corporation</t>
  </si>
  <si>
    <t>NASDAQ: (MSFT)</t>
  </si>
  <si>
    <t>FQ420A</t>
  </si>
  <si>
    <t>FQ121A</t>
  </si>
  <si>
    <t>FQ221A</t>
  </si>
  <si>
    <t>FQ321A</t>
  </si>
  <si>
    <t>FQ421A</t>
  </si>
  <si>
    <t>FQ122A</t>
  </si>
  <si>
    <t>FQ222A</t>
  </si>
  <si>
    <t>FQ322A</t>
  </si>
  <si>
    <t>FQ422A</t>
  </si>
  <si>
    <t>FQ123A</t>
  </si>
  <si>
    <t>FQ223A</t>
  </si>
  <si>
    <t>FQ423E</t>
  </si>
  <si>
    <t>Y/Y</t>
  </si>
  <si>
    <t>Q/Q</t>
  </si>
  <si>
    <t xml:space="preserve">Product </t>
  </si>
  <si>
    <t>P&amp;L GAAP</t>
  </si>
  <si>
    <t>Revenue Build</t>
  </si>
  <si>
    <t>Office Products &amp; Cloud Servcies</t>
  </si>
  <si>
    <t>Server Products &amp; Cloud Services</t>
  </si>
  <si>
    <t>Gaming</t>
  </si>
  <si>
    <t>Linkedin</t>
  </si>
  <si>
    <t>Search &amp; News Advertising</t>
  </si>
  <si>
    <t>Enterprise Services</t>
  </si>
  <si>
    <t>Devices</t>
  </si>
  <si>
    <t>Total</t>
  </si>
  <si>
    <t>Segments</t>
  </si>
  <si>
    <t>Segments Y/Y</t>
  </si>
  <si>
    <t>Segments Q/Q</t>
  </si>
  <si>
    <t>Headcount</t>
  </si>
  <si>
    <t>Regressed Headcount</t>
  </si>
  <si>
    <t>FY2017A</t>
  </si>
  <si>
    <t>FY2018A</t>
  </si>
  <si>
    <t>FY2019A</t>
  </si>
  <si>
    <t>FY2020A</t>
  </si>
  <si>
    <t>FY2021A</t>
  </si>
  <si>
    <t>FY2022A</t>
  </si>
  <si>
    <t>FY2023E</t>
  </si>
  <si>
    <t>Operating Expense / Employee ($K)</t>
  </si>
  <si>
    <t>Office Products &amp; Cloud Services</t>
  </si>
  <si>
    <t>FQ323A</t>
  </si>
  <si>
    <t>FQ124E</t>
  </si>
  <si>
    <t>FQ224E</t>
  </si>
  <si>
    <t>FQ324E</t>
  </si>
  <si>
    <t>FQ424E</t>
  </si>
  <si>
    <t>FQ225E</t>
  </si>
  <si>
    <t>FQ125E</t>
  </si>
  <si>
    <t>FQ325E</t>
  </si>
  <si>
    <t>FQ425E</t>
  </si>
  <si>
    <t>FQ126E</t>
  </si>
  <si>
    <t>FQ226E</t>
  </si>
  <si>
    <t>FQ326E</t>
  </si>
  <si>
    <t>FQ426E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</si>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</sst>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3" fontId="1" fillId="2" borderId="0" xfId="0" applyNumberFormat="1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0" fillId="2" borderId="0" xfId="0" applyFill="1" applyAlignment="1">
      <alignment horizontal="right"/>
    </xf>
    <xf numFmtId="0" fontId="0" fillId="2" borderId="0" xfId="0" applyFill="1"/>
    <xf numFmtId="9" fontId="0" fillId="0" borderId="0" xfId="1" applyFont="1" applyFill="1" applyAlignment="1">
      <alignment horizontal="right"/>
    </xf>
    <xf numFmtId="1" fontId="0" fillId="0" borderId="0" xfId="0" applyNumberFormat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Model!$A$8</c:f>
              <c:strCache>
                <c:ptCount val="1"/>
                <c:pt idx="0">
                  <c:v>Server Products &amp; Cloud Services</c:v>
                </c:pt>
              </c:strCache>
            </c:strRef>
          </c:tx>
          <c:spPr>
            <a:ln w="22225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shade val="42000"/>
                </a:schemeClr>
              </a:solidFill>
              <a:ln w="9525">
                <a:solidFill>
                  <a:schemeClr val="accent5">
                    <a:shade val="42000"/>
                  </a:schemeClr>
                </a:solidFill>
                <a:round/>
              </a:ln>
              <a:effectLst/>
            </c:spPr>
          </c:marker>
          <c:cat>
            <c:strRef>
              <c:f>Model!$F$5:$P$5</c:f>
              <c:strCache>
                <c:ptCount val="11"/>
                <c:pt idx="0">
                  <c:v>FQ121A</c:v>
                </c:pt>
                <c:pt idx="1">
                  <c:v>FQ221A</c:v>
                </c:pt>
                <c:pt idx="2">
                  <c:v>FQ321A</c:v>
                </c:pt>
                <c:pt idx="3">
                  <c:v>FQ421A</c:v>
                </c:pt>
                <c:pt idx="4">
                  <c:v>FQ122A</c:v>
                </c:pt>
                <c:pt idx="5">
                  <c:v>FQ222A</c:v>
                </c:pt>
                <c:pt idx="6">
                  <c:v>FQ322A</c:v>
                </c:pt>
                <c:pt idx="7">
                  <c:v>FQ422A</c:v>
                </c:pt>
                <c:pt idx="8">
                  <c:v>FQ123A</c:v>
                </c:pt>
                <c:pt idx="9">
                  <c:v>FQ223A</c:v>
                </c:pt>
                <c:pt idx="10">
                  <c:v>FQ323A</c:v>
                </c:pt>
              </c:strCache>
            </c:strRef>
          </c:cat>
          <c:val>
            <c:numRef>
              <c:f>Model!$F$20:$P$20</c:f>
              <c:numCache>
                <c:formatCode>0%</c:formatCode>
                <c:ptCount val="11"/>
                <c:pt idx="0">
                  <c:v>0.21790687554395127</c:v>
                </c:pt>
                <c:pt idx="1">
                  <c:v>0.25793062555588486</c:v>
                </c:pt>
                <c:pt idx="2">
                  <c:v>0.25872259294566247</c:v>
                </c:pt>
                <c:pt idx="3">
                  <c:v>0.33537743997236147</c:v>
                </c:pt>
                <c:pt idx="4">
                  <c:v>0.34613666815542654</c:v>
                </c:pt>
                <c:pt idx="5">
                  <c:v>0.28698248094901402</c:v>
                </c:pt>
                <c:pt idx="6">
                  <c:v>0.29036655558921542</c:v>
                </c:pt>
                <c:pt idx="7">
                  <c:v>0.21796778992303212</c:v>
                </c:pt>
                <c:pt idx="8">
                  <c:v>0.22017252820172528</c:v>
                </c:pt>
                <c:pt idx="9">
                  <c:v>0.19606885606153091</c:v>
                </c:pt>
                <c:pt idx="10">
                  <c:v>0.18705247094729427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3-1346-BB96-A2AAB44A1C55}"/>
            </c:ext>
          </c:extLst>
        </c:ser>
        <c:ser>
          <c:idx val="1"/>
          <c:order val="1"/>
          <c:tx>
            <c:strRef>
              <c:f>Model!$A$9</c:f>
              <c:strCache>
                <c:ptCount val="1"/>
                <c:pt idx="0">
                  <c:v>Office Products &amp; Cloud Services</c:v>
                </c:pt>
              </c:strCache>
            </c:strRef>
          </c:tx>
          <c:spPr>
            <a:ln w="22225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shade val="55000"/>
                </a:schemeClr>
              </a:solidFill>
              <a:ln w="9525">
                <a:solidFill>
                  <a:schemeClr val="accent5">
                    <a:shade val="55000"/>
                  </a:schemeClr>
                </a:solidFill>
                <a:round/>
              </a:ln>
              <a:effectLst/>
            </c:spPr>
          </c:marker>
          <c:cat>
            <c:strRef>
              <c:f>Model!$F$5:$P$5</c:f>
              <c:strCache>
                <c:ptCount val="11"/>
                <c:pt idx="0">
                  <c:v>FQ121A</c:v>
                </c:pt>
                <c:pt idx="1">
                  <c:v>FQ221A</c:v>
                </c:pt>
                <c:pt idx="2">
                  <c:v>FQ321A</c:v>
                </c:pt>
                <c:pt idx="3">
                  <c:v>FQ421A</c:v>
                </c:pt>
                <c:pt idx="4">
                  <c:v>FQ122A</c:v>
                </c:pt>
                <c:pt idx="5">
                  <c:v>FQ222A</c:v>
                </c:pt>
                <c:pt idx="6">
                  <c:v>FQ322A</c:v>
                </c:pt>
                <c:pt idx="7">
                  <c:v>FQ422A</c:v>
                </c:pt>
                <c:pt idx="8">
                  <c:v>FQ123A</c:v>
                </c:pt>
                <c:pt idx="9">
                  <c:v>FQ223A</c:v>
                </c:pt>
                <c:pt idx="10">
                  <c:v>FQ323A</c:v>
                </c:pt>
              </c:strCache>
            </c:strRef>
          </c:cat>
          <c:val>
            <c:numRef>
              <c:f>Model!$F$21:$P$21</c:f>
              <c:numCache>
                <c:formatCode>0%</c:formatCode>
                <c:ptCount val="11"/>
                <c:pt idx="0">
                  <c:v>9.5913064020789029E-2</c:v>
                </c:pt>
                <c:pt idx="1">
                  <c:v>9.9966603584548563E-2</c:v>
                </c:pt>
                <c:pt idx="2">
                  <c:v>0.12286995515695076</c:v>
                </c:pt>
                <c:pt idx="3">
                  <c:v>0.19559628925896955</c:v>
                </c:pt>
                <c:pt idx="4">
                  <c:v>0.16490622979090319</c:v>
                </c:pt>
                <c:pt idx="5">
                  <c:v>0.13864993421718452</c:v>
                </c:pt>
                <c:pt idx="6">
                  <c:v>0.11461661341853024</c:v>
                </c:pt>
                <c:pt idx="7">
                  <c:v>8.8062073478545333E-2</c:v>
                </c:pt>
                <c:pt idx="8">
                  <c:v>6.8467801628423475E-2</c:v>
                </c:pt>
                <c:pt idx="9">
                  <c:v>5.2084259176962133E-2</c:v>
                </c:pt>
                <c:pt idx="10">
                  <c:v>0.11411680401289859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3-1346-BB96-A2AAB44A1C55}"/>
            </c:ext>
          </c:extLst>
        </c:ser>
        <c:ser>
          <c:idx val="2"/>
          <c:order val="2"/>
          <c:tx>
            <c:strRef>
              <c:f>Model!$A$10</c:f>
              <c:strCache>
                <c:ptCount val="1"/>
                <c:pt idx="0">
                  <c:v>Windows</c:v>
                </c:pt>
              </c:strCache>
            </c:strRef>
          </c:tx>
          <c:spPr>
            <a:ln w="22225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shade val="68000"/>
                </a:schemeClr>
              </a:solidFill>
              <a:ln w="9525">
                <a:solidFill>
                  <a:schemeClr val="accent5">
                    <a:shade val="68000"/>
                  </a:schemeClr>
                </a:solidFill>
                <a:round/>
              </a:ln>
              <a:effectLst/>
            </c:spPr>
          </c:marker>
          <c:cat>
            <c:strRef>
              <c:f>Model!$F$5:$P$5</c:f>
              <c:strCache>
                <c:ptCount val="11"/>
                <c:pt idx="0">
                  <c:v>FQ121A</c:v>
                </c:pt>
                <c:pt idx="1">
                  <c:v>FQ221A</c:v>
                </c:pt>
                <c:pt idx="2">
                  <c:v>FQ321A</c:v>
                </c:pt>
                <c:pt idx="3">
                  <c:v>FQ421A</c:v>
                </c:pt>
                <c:pt idx="4">
                  <c:v>FQ122A</c:v>
                </c:pt>
                <c:pt idx="5">
                  <c:v>FQ222A</c:v>
                </c:pt>
                <c:pt idx="6">
                  <c:v>FQ322A</c:v>
                </c:pt>
                <c:pt idx="7">
                  <c:v>FQ422A</c:v>
                </c:pt>
                <c:pt idx="8">
                  <c:v>FQ123A</c:v>
                </c:pt>
                <c:pt idx="9">
                  <c:v>FQ223A</c:v>
                </c:pt>
                <c:pt idx="10">
                  <c:v>FQ323A</c:v>
                </c:pt>
              </c:strCache>
            </c:strRef>
          </c:cat>
          <c:val>
            <c:numRef>
              <c:f>Model!$F$22:$P$22</c:f>
              <c:numCache>
                <c:formatCode>0%</c:formatCode>
                <c:ptCount val="11"/>
                <c:pt idx="0">
                  <c:v>-8.9669344292919728E-3</c:v>
                </c:pt>
                <c:pt idx="1">
                  <c:v>2.1991775433577665E-2</c:v>
                </c:pt>
                <c:pt idx="2">
                  <c:v>4.6551724137930961E-2</c:v>
                </c:pt>
                <c:pt idx="3">
                  <c:v>0.12350299401197606</c:v>
                </c:pt>
                <c:pt idx="4">
                  <c:v>6.9557021677662645E-2</c:v>
                </c:pt>
                <c:pt idx="5">
                  <c:v>0.15360391882435276</c:v>
                </c:pt>
                <c:pt idx="6">
                  <c:v>0.11239245835621459</c:v>
                </c:pt>
                <c:pt idx="7">
                  <c:v>6.8620919387075263E-2</c:v>
                </c:pt>
                <c:pt idx="8">
                  <c:v>-6.3623545999294984E-2</c:v>
                </c:pt>
                <c:pt idx="9">
                  <c:v>-0.2708522899605702</c:v>
                </c:pt>
                <c:pt idx="10">
                  <c:v>-0.12325160441007077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3-1346-BB96-A2AAB44A1C55}"/>
            </c:ext>
          </c:extLst>
        </c:ser>
        <c:ser>
          <c:idx val="3"/>
          <c:order val="3"/>
          <c:tx>
            <c:strRef>
              <c:f>Model!$A$11</c:f>
              <c:strCache>
                <c:ptCount val="1"/>
                <c:pt idx="0">
                  <c:v>Gaming</c:v>
                </c:pt>
              </c:strCache>
            </c:strRef>
          </c:tx>
          <c:spPr>
            <a:ln w="22225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>
                    <a:shade val="80000"/>
                  </a:schemeClr>
                </a:solidFill>
                <a:round/>
              </a:ln>
              <a:effectLst/>
            </c:spPr>
          </c:marker>
          <c:cat>
            <c:strRef>
              <c:f>Model!$F$5:$P$5</c:f>
              <c:strCache>
                <c:ptCount val="11"/>
                <c:pt idx="0">
                  <c:v>FQ121A</c:v>
                </c:pt>
                <c:pt idx="1">
                  <c:v>FQ221A</c:v>
                </c:pt>
                <c:pt idx="2">
                  <c:v>FQ321A</c:v>
                </c:pt>
                <c:pt idx="3">
                  <c:v>FQ421A</c:v>
                </c:pt>
                <c:pt idx="4">
                  <c:v>FQ122A</c:v>
                </c:pt>
                <c:pt idx="5">
                  <c:v>FQ222A</c:v>
                </c:pt>
                <c:pt idx="6">
                  <c:v>FQ322A</c:v>
                </c:pt>
                <c:pt idx="7">
                  <c:v>FQ422A</c:v>
                </c:pt>
                <c:pt idx="8">
                  <c:v>FQ123A</c:v>
                </c:pt>
                <c:pt idx="9">
                  <c:v>FQ223A</c:v>
                </c:pt>
                <c:pt idx="10">
                  <c:v>FQ323A</c:v>
                </c:pt>
              </c:strCache>
            </c:strRef>
          </c:cat>
          <c:val>
            <c:numRef>
              <c:f>Model!$F$23:$P$23</c:f>
              <c:numCache>
                <c:formatCode>0%</c:formatCode>
                <c:ptCount val="11"/>
                <c:pt idx="0">
                  <c:v>0.21636506687647517</c:v>
                </c:pt>
                <c:pt idx="1">
                  <c:v>0.51217312894499556</c:v>
                </c:pt>
                <c:pt idx="2">
                  <c:v>0.5040442741592166</c:v>
                </c:pt>
                <c:pt idx="3">
                  <c:v>0.10634495084897222</c:v>
                </c:pt>
                <c:pt idx="4">
                  <c:v>0.16203104786545919</c:v>
                </c:pt>
                <c:pt idx="5">
                  <c:v>8.1693500298151367E-2</c:v>
                </c:pt>
                <c:pt idx="6">
                  <c:v>5.8590433059722669E-2</c:v>
                </c:pt>
                <c:pt idx="7">
                  <c:v>-6.9736133548734536E-2</c:v>
                </c:pt>
                <c:pt idx="8">
                  <c:v>4.7314222098524539E-3</c:v>
                </c:pt>
                <c:pt idx="9">
                  <c:v>-0.1256890848952591</c:v>
                </c:pt>
                <c:pt idx="10">
                  <c:v>-3.5561497326203173E-2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3-1346-BB96-A2AAB44A1C55}"/>
            </c:ext>
          </c:extLst>
        </c:ser>
        <c:ser>
          <c:idx val="4"/>
          <c:order val="4"/>
          <c:tx>
            <c:strRef>
              <c:f>Model!$A$12</c:f>
              <c:strCache>
                <c:ptCount val="1"/>
                <c:pt idx="0">
                  <c:v>Linkedin</c:v>
                </c:pt>
              </c:strCache>
            </c:strRef>
          </c:tx>
          <c:spPr>
            <a:ln w="22225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shade val="93000"/>
                  </a:schemeClr>
                </a:solidFill>
                <a:round/>
              </a:ln>
              <a:effectLst/>
            </c:spPr>
          </c:marker>
          <c:cat>
            <c:strRef>
              <c:f>Model!$F$5:$P$5</c:f>
              <c:strCache>
                <c:ptCount val="11"/>
                <c:pt idx="0">
                  <c:v>FQ121A</c:v>
                </c:pt>
                <c:pt idx="1">
                  <c:v>FQ221A</c:v>
                </c:pt>
                <c:pt idx="2">
                  <c:v>FQ321A</c:v>
                </c:pt>
                <c:pt idx="3">
                  <c:v>FQ421A</c:v>
                </c:pt>
                <c:pt idx="4">
                  <c:v>FQ122A</c:v>
                </c:pt>
                <c:pt idx="5">
                  <c:v>FQ222A</c:v>
                </c:pt>
                <c:pt idx="6">
                  <c:v>FQ322A</c:v>
                </c:pt>
                <c:pt idx="7">
                  <c:v>FQ422A</c:v>
                </c:pt>
                <c:pt idx="8">
                  <c:v>FQ123A</c:v>
                </c:pt>
                <c:pt idx="9">
                  <c:v>FQ223A</c:v>
                </c:pt>
                <c:pt idx="10">
                  <c:v>FQ323A</c:v>
                </c:pt>
              </c:strCache>
            </c:strRef>
          </c:cat>
          <c:val>
            <c:numRef>
              <c:f>Model!$F$24:$P$24</c:f>
              <c:numCache>
                <c:formatCode>0%</c:formatCode>
                <c:ptCount val="11"/>
                <c:pt idx="0">
                  <c:v>0.15557883708748044</c:v>
                </c:pt>
                <c:pt idx="1">
                  <c:v>0.22597526165556614</c:v>
                </c:pt>
                <c:pt idx="2">
                  <c:v>0.29003021148036257</c:v>
                </c:pt>
                <c:pt idx="3">
                  <c:v>0.41538461538461546</c:v>
                </c:pt>
                <c:pt idx="4">
                  <c:v>0.4215775158658206</c:v>
                </c:pt>
                <c:pt idx="5">
                  <c:v>0.37019790454016288</c:v>
                </c:pt>
                <c:pt idx="6">
                  <c:v>0.34153005464480879</c:v>
                </c:pt>
                <c:pt idx="7">
                  <c:v>0.26086956521739135</c:v>
                </c:pt>
                <c:pt idx="8">
                  <c:v>0.16804846938775508</c:v>
                </c:pt>
                <c:pt idx="9">
                  <c:v>9.7706032285471478E-2</c:v>
                </c:pt>
                <c:pt idx="10">
                  <c:v>7.5647366889729506E-2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3-1346-BB96-A2AAB44A1C55}"/>
            </c:ext>
          </c:extLst>
        </c:ser>
        <c:ser>
          <c:idx val="5"/>
          <c:order val="5"/>
          <c:tx>
            <c:strRef>
              <c:f>Model!$A$13</c:f>
              <c:strCache>
                <c:ptCount val="1"/>
                <c:pt idx="0">
                  <c:v>Search &amp; News Advertising</c:v>
                </c:pt>
              </c:strCache>
            </c:strRef>
          </c:tx>
          <c:spPr>
            <a:ln w="22225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tint val="94000"/>
                </a:schemeClr>
              </a:solidFill>
              <a:ln w="9525">
                <a:solidFill>
                  <a:schemeClr val="accent5">
                    <a:tint val="94000"/>
                  </a:schemeClr>
                </a:solidFill>
                <a:round/>
              </a:ln>
              <a:effectLst/>
            </c:spPr>
          </c:marker>
          <c:cat>
            <c:strRef>
              <c:f>Model!$F$5:$P$5</c:f>
              <c:strCache>
                <c:ptCount val="11"/>
                <c:pt idx="0">
                  <c:v>FQ121A</c:v>
                </c:pt>
                <c:pt idx="1">
                  <c:v>FQ221A</c:v>
                </c:pt>
                <c:pt idx="2">
                  <c:v>FQ321A</c:v>
                </c:pt>
                <c:pt idx="3">
                  <c:v>FQ421A</c:v>
                </c:pt>
                <c:pt idx="4">
                  <c:v>FQ122A</c:v>
                </c:pt>
                <c:pt idx="5">
                  <c:v>FQ222A</c:v>
                </c:pt>
                <c:pt idx="6">
                  <c:v>FQ322A</c:v>
                </c:pt>
                <c:pt idx="7">
                  <c:v>FQ422A</c:v>
                </c:pt>
                <c:pt idx="8">
                  <c:v>FQ123A</c:v>
                </c:pt>
                <c:pt idx="9">
                  <c:v>FQ223A</c:v>
                </c:pt>
                <c:pt idx="10">
                  <c:v>FQ323A</c:v>
                </c:pt>
              </c:strCache>
            </c:strRef>
          </c:cat>
          <c:val>
            <c:numRef>
              <c:f>Model!$F$25:$P$25</c:f>
              <c:numCache>
                <c:formatCode>0%</c:formatCode>
                <c:ptCount val="11"/>
                <c:pt idx="0">
                  <c:v>-0.1014565544952285</c:v>
                </c:pt>
                <c:pt idx="1">
                  <c:v>9.7087378640776656E-3</c:v>
                </c:pt>
                <c:pt idx="2">
                  <c:v>0.17121951219512188</c:v>
                </c:pt>
                <c:pt idx="3">
                  <c:v>0.24698275862068964</c:v>
                </c:pt>
                <c:pt idx="4">
                  <c:v>0.48462828395751822</c:v>
                </c:pt>
                <c:pt idx="5">
                  <c:v>0.40293040293040283</c:v>
                </c:pt>
                <c:pt idx="6">
                  <c:v>0.2265722615576844</c:v>
                </c:pt>
                <c:pt idx="7">
                  <c:v>1.1406844106463865E-2</c:v>
                </c:pt>
                <c:pt idx="8">
                  <c:v>0.10240963855421681</c:v>
                </c:pt>
                <c:pt idx="9">
                  <c:v>5.1892950391644987E-2</c:v>
                </c:pt>
                <c:pt idx="10">
                  <c:v>3.395585738539908E-2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3-1346-BB96-A2AAB44A1C55}"/>
            </c:ext>
          </c:extLst>
        </c:ser>
        <c:ser>
          <c:idx val="6"/>
          <c:order val="6"/>
          <c:tx>
            <c:strRef>
              <c:f>Model!$A$14</c:f>
              <c:strCache>
                <c:ptCount val="1"/>
                <c:pt idx="0">
                  <c:v>Enterprise Services</c:v>
                </c:pt>
              </c:strCache>
            </c:strRef>
          </c:tx>
          <c:spPr>
            <a:ln w="22225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5">
                    <a:tint val="81000"/>
                  </a:schemeClr>
                </a:solidFill>
                <a:round/>
              </a:ln>
              <a:effectLst/>
            </c:spPr>
          </c:marker>
          <c:cat>
            <c:strRef>
              <c:f>Model!$F$5:$P$5</c:f>
              <c:strCache>
                <c:ptCount val="11"/>
                <c:pt idx="0">
                  <c:v>FQ121A</c:v>
                </c:pt>
                <c:pt idx="1">
                  <c:v>FQ221A</c:v>
                </c:pt>
                <c:pt idx="2">
                  <c:v>FQ321A</c:v>
                </c:pt>
                <c:pt idx="3">
                  <c:v>FQ421A</c:v>
                </c:pt>
                <c:pt idx="4">
                  <c:v>FQ122A</c:v>
                </c:pt>
                <c:pt idx="5">
                  <c:v>FQ222A</c:v>
                </c:pt>
                <c:pt idx="6">
                  <c:v>FQ322A</c:v>
                </c:pt>
                <c:pt idx="7">
                  <c:v>FQ422A</c:v>
                </c:pt>
                <c:pt idx="8">
                  <c:v>FQ123A</c:v>
                </c:pt>
                <c:pt idx="9">
                  <c:v>FQ223A</c:v>
                </c:pt>
                <c:pt idx="10">
                  <c:v>FQ323A</c:v>
                </c:pt>
              </c:strCache>
            </c:strRef>
          </c:cat>
          <c:val>
            <c:numRef>
              <c:f>Model!$F$26:$P$26</c:f>
              <c:numCache>
                <c:formatCode>0%</c:formatCode>
                <c:ptCount val="11"/>
                <c:pt idx="0">
                  <c:v>5.9546925566343001E-2</c:v>
                </c:pt>
                <c:pt idx="1">
                  <c:v>3.515625E-2</c:v>
                </c:pt>
                <c:pt idx="2">
                  <c:v>0.10410287813839569</c:v>
                </c:pt>
                <c:pt idx="3">
                  <c:v>0.1690617075232459</c:v>
                </c:pt>
                <c:pt idx="4">
                  <c:v>9.4074526572999417E-2</c:v>
                </c:pt>
                <c:pt idx="5">
                  <c:v>-0.14009433962264151</c:v>
                </c:pt>
                <c:pt idx="6">
                  <c:v>4.8807542983915653E-2</c:v>
                </c:pt>
                <c:pt idx="7">
                  <c:v>0.37527114967462039</c:v>
                </c:pt>
                <c:pt idx="8">
                  <c:v>4.7459519821328788E-2</c:v>
                </c:pt>
                <c:pt idx="9">
                  <c:v>2.1393307734503653E-2</c:v>
                </c:pt>
                <c:pt idx="10">
                  <c:v>6.1343204653622418E-2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C3-1346-BB96-A2AAB44A1C55}"/>
            </c:ext>
          </c:extLst>
        </c:ser>
        <c:ser>
          <c:idx val="7"/>
          <c:order val="7"/>
          <c:tx>
            <c:strRef>
              <c:f>Model!$A$15</c:f>
              <c:strCache>
                <c:ptCount val="1"/>
                <c:pt idx="0">
                  <c:v>Devices</c:v>
                </c:pt>
              </c:strCache>
            </c:strRef>
          </c:tx>
          <c:spPr>
            <a:ln w="22225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  <a:round/>
              </a:ln>
              <a:effectLst/>
            </c:spPr>
          </c:marker>
          <c:cat>
            <c:strRef>
              <c:f>Model!$F$5:$P$5</c:f>
              <c:strCache>
                <c:ptCount val="11"/>
                <c:pt idx="0">
                  <c:v>FQ121A</c:v>
                </c:pt>
                <c:pt idx="1">
                  <c:v>FQ221A</c:v>
                </c:pt>
                <c:pt idx="2">
                  <c:v>FQ321A</c:v>
                </c:pt>
                <c:pt idx="3">
                  <c:v>FQ421A</c:v>
                </c:pt>
                <c:pt idx="4">
                  <c:v>FQ122A</c:v>
                </c:pt>
                <c:pt idx="5">
                  <c:v>FQ222A</c:v>
                </c:pt>
                <c:pt idx="6">
                  <c:v>FQ322A</c:v>
                </c:pt>
                <c:pt idx="7">
                  <c:v>FQ422A</c:v>
                </c:pt>
                <c:pt idx="8">
                  <c:v>FQ123A</c:v>
                </c:pt>
                <c:pt idx="9">
                  <c:v>FQ223A</c:v>
                </c:pt>
                <c:pt idx="10">
                  <c:v>FQ323A</c:v>
                </c:pt>
              </c:strCache>
            </c:strRef>
          </c:cat>
          <c:val>
            <c:numRef>
              <c:f>Model!$F$27:$P$27</c:f>
              <c:numCache>
                <c:formatCode>0%</c:formatCode>
                <c:ptCount val="11"/>
                <c:pt idx="0">
                  <c:v>0.34775374376039925</c:v>
                </c:pt>
                <c:pt idx="1">
                  <c:v>5.1488833746898166E-2</c:v>
                </c:pt>
                <c:pt idx="2">
                  <c:v>0.13243626062322944</c:v>
                </c:pt>
                <c:pt idx="3">
                  <c:v>-0.15867324069923805</c:v>
                </c:pt>
                <c:pt idx="4">
                  <c:v>-0.12716049382716055</c:v>
                </c:pt>
                <c:pt idx="5">
                  <c:v>0.39056047197640109</c:v>
                </c:pt>
                <c:pt idx="6">
                  <c:v>0.1031894934333959</c:v>
                </c:pt>
                <c:pt idx="7">
                  <c:v>-0.22429408630793823</c:v>
                </c:pt>
                <c:pt idx="8">
                  <c:v>2.4045261669024098E-2</c:v>
                </c:pt>
                <c:pt idx="9">
                  <c:v>-0.3932965634280865</c:v>
                </c:pt>
                <c:pt idx="10">
                  <c:v>-0.27324263038548757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C3-1346-BB96-A2AAB44A1C55}"/>
            </c:ext>
          </c:extLst>
        </c:ser>
        <c:ser>
          <c:idx val="8"/>
          <c:order val="8"/>
          <c:tx>
            <c:strRef>
              <c:f>Model!$A$16</c:f>
              <c:strCache>
                <c:ptCount val="1"/>
                <c:pt idx="0">
                  <c:v>Other</c:v>
                </c:pt>
              </c:strCache>
            </c:strRef>
          </c:tx>
          <c:spPr>
            <a:ln w="22225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  <a:round/>
              </a:ln>
              <a:effectLst/>
            </c:spPr>
          </c:marker>
          <c:cat>
            <c:strRef>
              <c:f>Model!$F$5:$P$5</c:f>
              <c:strCache>
                <c:ptCount val="11"/>
                <c:pt idx="0">
                  <c:v>FQ121A</c:v>
                </c:pt>
                <c:pt idx="1">
                  <c:v>FQ221A</c:v>
                </c:pt>
                <c:pt idx="2">
                  <c:v>FQ321A</c:v>
                </c:pt>
                <c:pt idx="3">
                  <c:v>FQ421A</c:v>
                </c:pt>
                <c:pt idx="4">
                  <c:v>FQ122A</c:v>
                </c:pt>
                <c:pt idx="5">
                  <c:v>FQ222A</c:v>
                </c:pt>
                <c:pt idx="6">
                  <c:v>FQ322A</c:v>
                </c:pt>
                <c:pt idx="7">
                  <c:v>FQ422A</c:v>
                </c:pt>
                <c:pt idx="8">
                  <c:v>FQ123A</c:v>
                </c:pt>
                <c:pt idx="9">
                  <c:v>FQ223A</c:v>
                </c:pt>
                <c:pt idx="10">
                  <c:v>FQ323A</c:v>
                </c:pt>
              </c:strCache>
            </c:strRef>
          </c:cat>
          <c:val>
            <c:numRef>
              <c:f>Model!$F$28:$P$28</c:f>
              <c:numCache>
                <c:formatCode>0%</c:formatCode>
                <c:ptCount val="11"/>
                <c:pt idx="0">
                  <c:v>0.2070175438596491</c:v>
                </c:pt>
                <c:pt idx="1">
                  <c:v>0.19186652763295098</c:v>
                </c:pt>
                <c:pt idx="2">
                  <c:v>0.17065556711758578</c:v>
                </c:pt>
                <c:pt idx="3">
                  <c:v>0.18731117824773413</c:v>
                </c:pt>
                <c:pt idx="4">
                  <c:v>0.13856589147286824</c:v>
                </c:pt>
                <c:pt idx="5">
                  <c:v>0.12335958005249337</c:v>
                </c:pt>
                <c:pt idx="6">
                  <c:v>0.1591111111111112</c:v>
                </c:pt>
                <c:pt idx="7">
                  <c:v>0.29601357082273116</c:v>
                </c:pt>
                <c:pt idx="8">
                  <c:v>0.1472340425531915</c:v>
                </c:pt>
                <c:pt idx="9">
                  <c:v>5.8411214953270951E-2</c:v>
                </c:pt>
                <c:pt idx="10">
                  <c:v>9.5092024539877196E-2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C3-1346-BB96-A2AAB44A1C55}"/>
            </c:ext>
          </c:extLst>
        </c:ser>
        <c:ser>
          <c:idx val="9"/>
          <c:order val="9"/>
          <c:tx>
            <c:strRef>
              <c:f>Model!$A$17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  <a:round/>
              </a:ln>
              <a:effectLst/>
            </c:spPr>
          </c:marker>
          <c:cat>
            <c:strRef>
              <c:f>Model!$F$5:$P$5</c:f>
              <c:strCache>
                <c:ptCount val="11"/>
                <c:pt idx="0">
                  <c:v>FQ121A</c:v>
                </c:pt>
                <c:pt idx="1">
                  <c:v>FQ221A</c:v>
                </c:pt>
                <c:pt idx="2">
                  <c:v>FQ321A</c:v>
                </c:pt>
                <c:pt idx="3">
                  <c:v>FQ421A</c:v>
                </c:pt>
                <c:pt idx="4">
                  <c:v>FQ122A</c:v>
                </c:pt>
                <c:pt idx="5">
                  <c:v>FQ222A</c:v>
                </c:pt>
                <c:pt idx="6">
                  <c:v>FQ322A</c:v>
                </c:pt>
                <c:pt idx="7">
                  <c:v>FQ422A</c:v>
                </c:pt>
                <c:pt idx="8">
                  <c:v>FQ123A</c:v>
                </c:pt>
                <c:pt idx="9">
                  <c:v>FQ223A</c:v>
                </c:pt>
                <c:pt idx="10">
                  <c:v>FQ323A</c:v>
                </c:pt>
              </c:strCache>
            </c:strRef>
          </c:cat>
          <c:val>
            <c:numRef>
              <c:f>Model!$F$29:$P$29</c:f>
              <c:numCache>
                <c:formatCode>0%</c:formatCode>
                <c:ptCount val="11"/>
                <c:pt idx="0">
                  <c:v>0.12400544546967174</c:v>
                </c:pt>
                <c:pt idx="1">
                  <c:v>0.16718148810491518</c:v>
                </c:pt>
                <c:pt idx="2">
                  <c:v>0.19088546871876866</c:v>
                </c:pt>
                <c:pt idx="3">
                  <c:v>0.21347251071437956</c:v>
                </c:pt>
                <c:pt idx="4">
                  <c:v>0.21970716477364483</c:v>
                </c:pt>
                <c:pt idx="5">
                  <c:v>0.2008543040208004</c:v>
                </c:pt>
                <c:pt idx="6">
                  <c:v>0.18352275451973332</c:v>
                </c:pt>
                <c:pt idx="7">
                  <c:v>0.12378661813139202</c:v>
                </c:pt>
                <c:pt idx="8">
                  <c:v>0.1060308493501334</c:v>
                </c:pt>
                <c:pt idx="9">
                  <c:v>1.9699195793380753E-2</c:v>
                </c:pt>
                <c:pt idx="10">
                  <c:v>7.4898703403565747E-2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C3-1346-BB96-A2AAB44A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027347439"/>
        <c:axId val="908712559"/>
      </c:lineChart>
      <c:catAx>
        <c:axId val="102734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Avenir Book" panose="02000503020000020003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Microsoft</a:t>
                </a:r>
                <a:r>
                  <a:rPr lang="en-US" b="1" baseline="0"/>
                  <a:t> Corportation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85910317236069011"/>
              <c:y val="5.9318764259116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Avenir Book" panose="02000503020000020003" pitchFamily="2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8712559"/>
        <c:crosses val="autoZero"/>
        <c:auto val="1"/>
        <c:lblAlgn val="ctr"/>
        <c:lblOffset val="100"/>
        <c:noMultiLvlLbl val="0"/>
      </c:catAx>
      <c:valAx>
        <c:axId val="9087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Avenir Book" panose="02000503020000020003" pitchFamily="2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734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41173556697036"/>
          <c:y val="9.9234144716099523E-2"/>
          <c:w val="0.14912724784974263"/>
          <c:h val="0.81231066853049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venir Book" panose="02000503020000020003" pitchFamily="2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venir Book" panose="02000503020000020003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Model!$A$8</c:f>
              <c:strCache>
                <c:ptCount val="1"/>
                <c:pt idx="0">
                  <c:v>Server Products &amp; Cloud Services</c:v>
                </c:pt>
              </c:strCache>
            </c:strRef>
          </c:tx>
          <c:spPr>
            <a:ln w="22225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  <a:round/>
              </a:ln>
              <a:effectLst/>
            </c:spPr>
          </c:marker>
          <c:cat>
            <c:strRef>
              <c:f>Model!$B$5:$P$5</c:f>
              <c:strCache>
                <c:ptCount val="15"/>
                <c:pt idx="0">
                  <c:v>FQ120</c:v>
                </c:pt>
                <c:pt idx="1">
                  <c:v>FQ220</c:v>
                </c:pt>
                <c:pt idx="2">
                  <c:v>FQ320</c:v>
                </c:pt>
                <c:pt idx="3">
                  <c:v>FQ420A</c:v>
                </c:pt>
                <c:pt idx="4">
                  <c:v>FQ121A</c:v>
                </c:pt>
                <c:pt idx="5">
                  <c:v>FQ221A</c:v>
                </c:pt>
                <c:pt idx="6">
                  <c:v>FQ321A</c:v>
                </c:pt>
                <c:pt idx="7">
                  <c:v>FQ421A</c:v>
                </c:pt>
                <c:pt idx="8">
                  <c:v>FQ122A</c:v>
                </c:pt>
                <c:pt idx="9">
                  <c:v>FQ222A</c:v>
                </c:pt>
                <c:pt idx="10">
                  <c:v>FQ322A</c:v>
                </c:pt>
                <c:pt idx="11">
                  <c:v>FQ422A</c:v>
                </c:pt>
                <c:pt idx="12">
                  <c:v>FQ123A</c:v>
                </c:pt>
                <c:pt idx="13">
                  <c:v>FQ223A</c:v>
                </c:pt>
                <c:pt idx="14">
                  <c:v>FQ323A</c:v>
                </c:pt>
              </c:strCache>
            </c:strRef>
          </c:cat>
          <c:val>
            <c:numRef>
              <c:f>Model!$B$8:$P$8</c:f>
              <c:numCache>
                <c:formatCode>General</c:formatCode>
                <c:ptCount val="15"/>
                <c:pt idx="0">
                  <c:v>9192</c:v>
                </c:pt>
                <c:pt idx="1">
                  <c:v>10119</c:v>
                </c:pt>
                <c:pt idx="2">
                  <c:v>10490</c:v>
                </c:pt>
                <c:pt idx="3">
                  <c:v>11578</c:v>
                </c:pt>
                <c:pt idx="4">
                  <c:v>11195</c:v>
                </c:pt>
                <c:pt idx="5">
                  <c:v>12729</c:v>
                </c:pt>
                <c:pt idx="6">
                  <c:v>13204</c:v>
                </c:pt>
                <c:pt idx="7">
                  <c:v>15461</c:v>
                </c:pt>
                <c:pt idx="8">
                  <c:v>15070</c:v>
                </c:pt>
                <c:pt idx="9">
                  <c:v>16382</c:v>
                </c:pt>
                <c:pt idx="10">
                  <c:v>17038</c:v>
                </c:pt>
                <c:pt idx="11">
                  <c:v>18831</c:v>
                </c:pt>
                <c:pt idx="12">
                  <c:v>18388</c:v>
                </c:pt>
                <c:pt idx="13">
                  <c:v>19594</c:v>
                </c:pt>
                <c:pt idx="14">
                  <c:v>20225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B-194B-963A-A3A6E9454D39}"/>
            </c:ext>
          </c:extLst>
        </c:ser>
        <c:ser>
          <c:idx val="1"/>
          <c:order val="1"/>
          <c:tx>
            <c:strRef>
              <c:f>Model!$A$9</c:f>
              <c:strCache>
                <c:ptCount val="1"/>
                <c:pt idx="0">
                  <c:v>Office Products &amp; Cloud Services</c:v>
                </c:pt>
              </c:strCache>
            </c:strRef>
          </c:tx>
          <c:spPr>
            <a:ln w="22225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  <a:round/>
              </a:ln>
              <a:effectLst/>
            </c:spPr>
          </c:marker>
          <c:cat>
            <c:strRef>
              <c:f>Model!$B$5:$P$5</c:f>
              <c:strCache>
                <c:ptCount val="15"/>
                <c:pt idx="0">
                  <c:v>FQ120</c:v>
                </c:pt>
                <c:pt idx="1">
                  <c:v>FQ220</c:v>
                </c:pt>
                <c:pt idx="2">
                  <c:v>FQ320</c:v>
                </c:pt>
                <c:pt idx="3">
                  <c:v>FQ420A</c:v>
                </c:pt>
                <c:pt idx="4">
                  <c:v>FQ121A</c:v>
                </c:pt>
                <c:pt idx="5">
                  <c:v>FQ221A</c:v>
                </c:pt>
                <c:pt idx="6">
                  <c:v>FQ321A</c:v>
                </c:pt>
                <c:pt idx="7">
                  <c:v>FQ421A</c:v>
                </c:pt>
                <c:pt idx="8">
                  <c:v>FQ122A</c:v>
                </c:pt>
                <c:pt idx="9">
                  <c:v>FQ222A</c:v>
                </c:pt>
                <c:pt idx="10">
                  <c:v>FQ322A</c:v>
                </c:pt>
                <c:pt idx="11">
                  <c:v>FQ422A</c:v>
                </c:pt>
                <c:pt idx="12">
                  <c:v>FQ123A</c:v>
                </c:pt>
                <c:pt idx="13">
                  <c:v>FQ223A</c:v>
                </c:pt>
                <c:pt idx="14">
                  <c:v>FQ323A</c:v>
                </c:pt>
              </c:strCache>
            </c:strRef>
          </c:cat>
          <c:val>
            <c:numRef>
              <c:f>Model!$B$9:$P$9</c:f>
              <c:numCache>
                <c:formatCode>General</c:formatCode>
                <c:ptCount val="15"/>
                <c:pt idx="0">
                  <c:v>8466</c:v>
                </c:pt>
                <c:pt idx="1">
                  <c:v>8983</c:v>
                </c:pt>
                <c:pt idx="2">
                  <c:v>8920</c:v>
                </c:pt>
                <c:pt idx="3">
                  <c:v>8947</c:v>
                </c:pt>
                <c:pt idx="4">
                  <c:v>9278</c:v>
                </c:pt>
                <c:pt idx="5">
                  <c:v>9881</c:v>
                </c:pt>
                <c:pt idx="6">
                  <c:v>10016</c:v>
                </c:pt>
                <c:pt idx="7">
                  <c:v>10697</c:v>
                </c:pt>
                <c:pt idx="8">
                  <c:v>10808</c:v>
                </c:pt>
                <c:pt idx="9">
                  <c:v>11251</c:v>
                </c:pt>
                <c:pt idx="10">
                  <c:v>11164</c:v>
                </c:pt>
                <c:pt idx="11">
                  <c:v>11639</c:v>
                </c:pt>
                <c:pt idx="12">
                  <c:v>11548</c:v>
                </c:pt>
                <c:pt idx="13">
                  <c:v>11837</c:v>
                </c:pt>
                <c:pt idx="14">
                  <c:v>12438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B-194B-963A-A3A6E9454D39}"/>
            </c:ext>
          </c:extLst>
        </c:ser>
        <c:ser>
          <c:idx val="2"/>
          <c:order val="2"/>
          <c:tx>
            <c:strRef>
              <c:f>Model!$A$10</c:f>
              <c:strCache>
                <c:ptCount val="1"/>
                <c:pt idx="0">
                  <c:v>Windows</c:v>
                </c:pt>
              </c:strCache>
            </c:strRef>
          </c:tx>
          <c:spPr>
            <a:ln w="22225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  <a:round/>
              </a:ln>
              <a:effectLst/>
            </c:spPr>
          </c:marker>
          <c:cat>
            <c:strRef>
              <c:f>Model!$B$5:$P$5</c:f>
              <c:strCache>
                <c:ptCount val="15"/>
                <c:pt idx="0">
                  <c:v>FQ120</c:v>
                </c:pt>
                <c:pt idx="1">
                  <c:v>FQ220</c:v>
                </c:pt>
                <c:pt idx="2">
                  <c:v>FQ320</c:v>
                </c:pt>
                <c:pt idx="3">
                  <c:v>FQ420A</c:v>
                </c:pt>
                <c:pt idx="4">
                  <c:v>FQ121A</c:v>
                </c:pt>
                <c:pt idx="5">
                  <c:v>FQ221A</c:v>
                </c:pt>
                <c:pt idx="6">
                  <c:v>FQ321A</c:v>
                </c:pt>
                <c:pt idx="7">
                  <c:v>FQ421A</c:v>
                </c:pt>
                <c:pt idx="8">
                  <c:v>FQ122A</c:v>
                </c:pt>
                <c:pt idx="9">
                  <c:v>FQ222A</c:v>
                </c:pt>
                <c:pt idx="10">
                  <c:v>FQ322A</c:v>
                </c:pt>
                <c:pt idx="11">
                  <c:v>FQ422A</c:v>
                </c:pt>
                <c:pt idx="12">
                  <c:v>FQ123A</c:v>
                </c:pt>
                <c:pt idx="13">
                  <c:v>FQ223A</c:v>
                </c:pt>
                <c:pt idx="14">
                  <c:v>FQ323A</c:v>
                </c:pt>
              </c:strCache>
            </c:strRef>
          </c:cat>
          <c:val>
            <c:numRef>
              <c:f>Model!$B$10:$P$10</c:f>
              <c:numCache>
                <c:formatCode>General</c:formatCode>
                <c:ptCount val="15"/>
                <c:pt idx="0">
                  <c:v>5353</c:v>
                </c:pt>
                <c:pt idx="1">
                  <c:v>5593</c:v>
                </c:pt>
                <c:pt idx="2">
                  <c:v>5220</c:v>
                </c:pt>
                <c:pt idx="3">
                  <c:v>5344</c:v>
                </c:pt>
                <c:pt idx="4">
                  <c:v>5305</c:v>
                </c:pt>
                <c:pt idx="5">
                  <c:v>5716</c:v>
                </c:pt>
                <c:pt idx="6">
                  <c:v>5463</c:v>
                </c:pt>
                <c:pt idx="7">
                  <c:v>6004</c:v>
                </c:pt>
                <c:pt idx="8">
                  <c:v>5674</c:v>
                </c:pt>
                <c:pt idx="9">
                  <c:v>6594</c:v>
                </c:pt>
                <c:pt idx="10">
                  <c:v>6077</c:v>
                </c:pt>
                <c:pt idx="11">
                  <c:v>6416</c:v>
                </c:pt>
                <c:pt idx="12">
                  <c:v>5313</c:v>
                </c:pt>
                <c:pt idx="13">
                  <c:v>4808</c:v>
                </c:pt>
                <c:pt idx="14">
                  <c:v>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B-194B-963A-A3A6E9454D39}"/>
            </c:ext>
          </c:extLst>
        </c:ser>
        <c:ser>
          <c:idx val="3"/>
          <c:order val="3"/>
          <c:tx>
            <c:strRef>
              <c:f>Model!$A$11</c:f>
              <c:strCache>
                <c:ptCount val="1"/>
                <c:pt idx="0">
                  <c:v>Gaming</c:v>
                </c:pt>
              </c:strCache>
            </c:strRef>
          </c:tx>
          <c:spPr>
            <a:ln w="2222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>
                    <a:shade val="86000"/>
                  </a:schemeClr>
                </a:solidFill>
                <a:round/>
              </a:ln>
              <a:effectLst/>
            </c:spPr>
          </c:marker>
          <c:cat>
            <c:strRef>
              <c:f>Model!$B$5:$P$5</c:f>
              <c:strCache>
                <c:ptCount val="15"/>
                <c:pt idx="0">
                  <c:v>FQ120</c:v>
                </c:pt>
                <c:pt idx="1">
                  <c:v>FQ220</c:v>
                </c:pt>
                <c:pt idx="2">
                  <c:v>FQ320</c:v>
                </c:pt>
                <c:pt idx="3">
                  <c:v>FQ420A</c:v>
                </c:pt>
                <c:pt idx="4">
                  <c:v>FQ121A</c:v>
                </c:pt>
                <c:pt idx="5">
                  <c:v>FQ221A</c:v>
                </c:pt>
                <c:pt idx="6">
                  <c:v>FQ321A</c:v>
                </c:pt>
                <c:pt idx="7">
                  <c:v>FQ421A</c:v>
                </c:pt>
                <c:pt idx="8">
                  <c:v>FQ122A</c:v>
                </c:pt>
                <c:pt idx="9">
                  <c:v>FQ222A</c:v>
                </c:pt>
                <c:pt idx="10">
                  <c:v>FQ322A</c:v>
                </c:pt>
                <c:pt idx="11">
                  <c:v>FQ422A</c:v>
                </c:pt>
                <c:pt idx="12">
                  <c:v>FQ123A</c:v>
                </c:pt>
                <c:pt idx="13">
                  <c:v>FQ223A</c:v>
                </c:pt>
                <c:pt idx="14">
                  <c:v>FQ323A</c:v>
                </c:pt>
              </c:strCache>
            </c:strRef>
          </c:cat>
          <c:val>
            <c:numRef>
              <c:f>Model!$B$11:$P$11</c:f>
              <c:numCache>
                <c:formatCode>General</c:formatCode>
                <c:ptCount val="15"/>
                <c:pt idx="0">
                  <c:v>2542</c:v>
                </c:pt>
                <c:pt idx="1">
                  <c:v>3327</c:v>
                </c:pt>
                <c:pt idx="2">
                  <c:v>2349</c:v>
                </c:pt>
                <c:pt idx="3">
                  <c:v>3357</c:v>
                </c:pt>
                <c:pt idx="4">
                  <c:v>3092</c:v>
                </c:pt>
                <c:pt idx="5">
                  <c:v>5031</c:v>
                </c:pt>
                <c:pt idx="6">
                  <c:v>3533</c:v>
                </c:pt>
                <c:pt idx="7">
                  <c:v>3714</c:v>
                </c:pt>
                <c:pt idx="8">
                  <c:v>3593</c:v>
                </c:pt>
                <c:pt idx="9">
                  <c:v>5442</c:v>
                </c:pt>
                <c:pt idx="10">
                  <c:v>3740</c:v>
                </c:pt>
                <c:pt idx="11">
                  <c:v>3455</c:v>
                </c:pt>
                <c:pt idx="12">
                  <c:v>3610</c:v>
                </c:pt>
                <c:pt idx="13">
                  <c:v>4758</c:v>
                </c:pt>
                <c:pt idx="14">
                  <c:v>3607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6B-194B-963A-A3A6E9454D39}"/>
            </c:ext>
          </c:extLst>
        </c:ser>
        <c:ser>
          <c:idx val="4"/>
          <c:order val="4"/>
          <c:tx>
            <c:strRef>
              <c:f>Model!$A$12</c:f>
              <c:strCache>
                <c:ptCount val="1"/>
                <c:pt idx="0">
                  <c:v>Linkedin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Model!$B$5:$P$5</c:f>
              <c:strCache>
                <c:ptCount val="15"/>
                <c:pt idx="0">
                  <c:v>FQ120</c:v>
                </c:pt>
                <c:pt idx="1">
                  <c:v>FQ220</c:v>
                </c:pt>
                <c:pt idx="2">
                  <c:v>FQ320</c:v>
                </c:pt>
                <c:pt idx="3">
                  <c:v>FQ420A</c:v>
                </c:pt>
                <c:pt idx="4">
                  <c:v>FQ121A</c:v>
                </c:pt>
                <c:pt idx="5">
                  <c:v>FQ221A</c:v>
                </c:pt>
                <c:pt idx="6">
                  <c:v>FQ321A</c:v>
                </c:pt>
                <c:pt idx="7">
                  <c:v>FQ421A</c:v>
                </c:pt>
                <c:pt idx="8">
                  <c:v>FQ122A</c:v>
                </c:pt>
                <c:pt idx="9">
                  <c:v>FQ222A</c:v>
                </c:pt>
                <c:pt idx="10">
                  <c:v>FQ322A</c:v>
                </c:pt>
                <c:pt idx="11">
                  <c:v>FQ422A</c:v>
                </c:pt>
                <c:pt idx="12">
                  <c:v>FQ123A</c:v>
                </c:pt>
                <c:pt idx="13">
                  <c:v>FQ223A</c:v>
                </c:pt>
                <c:pt idx="14">
                  <c:v>FQ323A</c:v>
                </c:pt>
              </c:strCache>
            </c:strRef>
          </c:cat>
          <c:val>
            <c:numRef>
              <c:f>Model!$B$12:$P$12</c:f>
              <c:numCache>
                <c:formatCode>General</c:formatCode>
                <c:ptCount val="15"/>
                <c:pt idx="0">
                  <c:v>1909</c:v>
                </c:pt>
                <c:pt idx="1">
                  <c:v>2102</c:v>
                </c:pt>
                <c:pt idx="2">
                  <c:v>1986</c:v>
                </c:pt>
                <c:pt idx="3">
                  <c:v>2080</c:v>
                </c:pt>
                <c:pt idx="4">
                  <c:v>2206</c:v>
                </c:pt>
                <c:pt idx="5">
                  <c:v>2577</c:v>
                </c:pt>
                <c:pt idx="6">
                  <c:v>2562</c:v>
                </c:pt>
                <c:pt idx="7">
                  <c:v>2944</c:v>
                </c:pt>
                <c:pt idx="8">
                  <c:v>3136</c:v>
                </c:pt>
                <c:pt idx="9">
                  <c:v>3531</c:v>
                </c:pt>
                <c:pt idx="10">
                  <c:v>3437</c:v>
                </c:pt>
                <c:pt idx="11">
                  <c:v>3712</c:v>
                </c:pt>
                <c:pt idx="12">
                  <c:v>3663</c:v>
                </c:pt>
                <c:pt idx="13">
                  <c:v>3876</c:v>
                </c:pt>
                <c:pt idx="14">
                  <c:v>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6B-194B-963A-A3A6E9454D39}"/>
            </c:ext>
          </c:extLst>
        </c:ser>
        <c:ser>
          <c:idx val="5"/>
          <c:order val="5"/>
          <c:tx>
            <c:strRef>
              <c:f>Model!$A$13</c:f>
              <c:strCache>
                <c:ptCount val="1"/>
                <c:pt idx="0">
                  <c:v>Search &amp; News Advertising</c:v>
                </c:pt>
              </c:strCache>
            </c:strRef>
          </c:tx>
          <c:spPr>
            <a:ln w="22225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  <a:round/>
              </a:ln>
              <a:effectLst/>
            </c:spPr>
          </c:marker>
          <c:cat>
            <c:strRef>
              <c:f>Model!$B$5:$P$5</c:f>
              <c:strCache>
                <c:ptCount val="15"/>
                <c:pt idx="0">
                  <c:v>FQ120</c:v>
                </c:pt>
                <c:pt idx="1">
                  <c:v>FQ220</c:v>
                </c:pt>
                <c:pt idx="2">
                  <c:v>FQ320</c:v>
                </c:pt>
                <c:pt idx="3">
                  <c:v>FQ420A</c:v>
                </c:pt>
                <c:pt idx="4">
                  <c:v>FQ121A</c:v>
                </c:pt>
                <c:pt idx="5">
                  <c:v>FQ221A</c:v>
                </c:pt>
                <c:pt idx="6">
                  <c:v>FQ321A</c:v>
                </c:pt>
                <c:pt idx="7">
                  <c:v>FQ421A</c:v>
                </c:pt>
                <c:pt idx="8">
                  <c:v>FQ122A</c:v>
                </c:pt>
                <c:pt idx="9">
                  <c:v>FQ222A</c:v>
                </c:pt>
                <c:pt idx="10">
                  <c:v>FQ322A</c:v>
                </c:pt>
                <c:pt idx="11">
                  <c:v>FQ422A</c:v>
                </c:pt>
                <c:pt idx="12">
                  <c:v>FQ123A</c:v>
                </c:pt>
                <c:pt idx="13">
                  <c:v>FQ223A</c:v>
                </c:pt>
                <c:pt idx="14">
                  <c:v>FQ323A</c:v>
                </c:pt>
              </c:strCache>
            </c:strRef>
          </c:cat>
          <c:val>
            <c:numRef>
              <c:f>Model!$B$13:$P$13</c:f>
              <c:numCache>
                <c:formatCode>General</c:formatCode>
                <c:ptCount val="15"/>
                <c:pt idx="0">
                  <c:v>1991</c:v>
                </c:pt>
                <c:pt idx="1">
                  <c:v>2163</c:v>
                </c:pt>
                <c:pt idx="2">
                  <c:v>2050</c:v>
                </c:pt>
                <c:pt idx="3">
                  <c:v>2320</c:v>
                </c:pt>
                <c:pt idx="4">
                  <c:v>1789</c:v>
                </c:pt>
                <c:pt idx="5">
                  <c:v>2184</c:v>
                </c:pt>
                <c:pt idx="6">
                  <c:v>2401</c:v>
                </c:pt>
                <c:pt idx="7">
                  <c:v>2893</c:v>
                </c:pt>
                <c:pt idx="8">
                  <c:v>2656</c:v>
                </c:pt>
                <c:pt idx="9">
                  <c:v>3064</c:v>
                </c:pt>
                <c:pt idx="10">
                  <c:v>2945</c:v>
                </c:pt>
                <c:pt idx="11">
                  <c:v>2926</c:v>
                </c:pt>
                <c:pt idx="12">
                  <c:v>2928</c:v>
                </c:pt>
                <c:pt idx="13">
                  <c:v>3223</c:v>
                </c:pt>
                <c:pt idx="14">
                  <c:v>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6B-194B-963A-A3A6E9454D39}"/>
            </c:ext>
          </c:extLst>
        </c:ser>
        <c:ser>
          <c:idx val="6"/>
          <c:order val="6"/>
          <c:tx>
            <c:strRef>
              <c:f>Model!$A$14</c:f>
              <c:strCache>
                <c:ptCount val="1"/>
                <c:pt idx="0">
                  <c:v>Enterprise Services</c:v>
                </c:pt>
              </c:strCache>
            </c:strRef>
          </c:tx>
          <c:spPr>
            <a:ln w="22225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5">
                    <a:tint val="72000"/>
                  </a:schemeClr>
                </a:solidFill>
                <a:round/>
              </a:ln>
              <a:effectLst/>
            </c:spPr>
          </c:marker>
          <c:cat>
            <c:strRef>
              <c:f>Model!$B$5:$P$5</c:f>
              <c:strCache>
                <c:ptCount val="15"/>
                <c:pt idx="0">
                  <c:v>FQ120</c:v>
                </c:pt>
                <c:pt idx="1">
                  <c:v>FQ220</c:v>
                </c:pt>
                <c:pt idx="2">
                  <c:v>FQ320</c:v>
                </c:pt>
                <c:pt idx="3">
                  <c:v>FQ420A</c:v>
                </c:pt>
                <c:pt idx="4">
                  <c:v>FQ121A</c:v>
                </c:pt>
                <c:pt idx="5">
                  <c:v>FQ221A</c:v>
                </c:pt>
                <c:pt idx="6">
                  <c:v>FQ321A</c:v>
                </c:pt>
                <c:pt idx="7">
                  <c:v>FQ421A</c:v>
                </c:pt>
                <c:pt idx="8">
                  <c:v>FQ122A</c:v>
                </c:pt>
                <c:pt idx="9">
                  <c:v>FQ222A</c:v>
                </c:pt>
                <c:pt idx="10">
                  <c:v>FQ322A</c:v>
                </c:pt>
                <c:pt idx="11">
                  <c:v>FQ422A</c:v>
                </c:pt>
                <c:pt idx="12">
                  <c:v>FQ123A</c:v>
                </c:pt>
                <c:pt idx="13">
                  <c:v>FQ223A</c:v>
                </c:pt>
                <c:pt idx="14">
                  <c:v>FQ323A</c:v>
                </c:pt>
              </c:strCache>
            </c:strRef>
          </c:cat>
          <c:val>
            <c:numRef>
              <c:f>Model!$B$14:$P$14</c:f>
              <c:numCache>
                <c:formatCode>General</c:formatCode>
                <c:ptCount val="15"/>
                <c:pt idx="0">
                  <c:v>1545</c:v>
                </c:pt>
                <c:pt idx="1">
                  <c:v>2048</c:v>
                </c:pt>
                <c:pt idx="2">
                  <c:v>1633</c:v>
                </c:pt>
                <c:pt idx="3">
                  <c:v>1183</c:v>
                </c:pt>
                <c:pt idx="4">
                  <c:v>1637</c:v>
                </c:pt>
                <c:pt idx="5">
                  <c:v>2120</c:v>
                </c:pt>
                <c:pt idx="6">
                  <c:v>1803</c:v>
                </c:pt>
                <c:pt idx="7">
                  <c:v>1383</c:v>
                </c:pt>
                <c:pt idx="8">
                  <c:v>1791</c:v>
                </c:pt>
                <c:pt idx="9">
                  <c:v>1823</c:v>
                </c:pt>
                <c:pt idx="10">
                  <c:v>1891</c:v>
                </c:pt>
                <c:pt idx="11">
                  <c:v>1902</c:v>
                </c:pt>
                <c:pt idx="12">
                  <c:v>1876</c:v>
                </c:pt>
                <c:pt idx="13">
                  <c:v>1862</c:v>
                </c:pt>
                <c:pt idx="14">
                  <c:v>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6B-194B-963A-A3A6E9454D39}"/>
            </c:ext>
          </c:extLst>
        </c:ser>
        <c:ser>
          <c:idx val="7"/>
          <c:order val="7"/>
          <c:tx>
            <c:strRef>
              <c:f>Model!$A$15</c:f>
              <c:strCache>
                <c:ptCount val="1"/>
                <c:pt idx="0">
                  <c:v>Devices</c:v>
                </c:pt>
              </c:strCache>
            </c:strRef>
          </c:tx>
          <c:spPr>
            <a:ln w="22225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  <a:round/>
              </a:ln>
              <a:effectLst/>
            </c:spPr>
          </c:marker>
          <c:cat>
            <c:strRef>
              <c:f>Model!$B$5:$P$5</c:f>
              <c:strCache>
                <c:ptCount val="15"/>
                <c:pt idx="0">
                  <c:v>FQ120</c:v>
                </c:pt>
                <c:pt idx="1">
                  <c:v>FQ220</c:v>
                </c:pt>
                <c:pt idx="2">
                  <c:v>FQ320</c:v>
                </c:pt>
                <c:pt idx="3">
                  <c:v>FQ420A</c:v>
                </c:pt>
                <c:pt idx="4">
                  <c:v>FQ121A</c:v>
                </c:pt>
                <c:pt idx="5">
                  <c:v>FQ221A</c:v>
                </c:pt>
                <c:pt idx="6">
                  <c:v>FQ321A</c:v>
                </c:pt>
                <c:pt idx="7">
                  <c:v>FQ421A</c:v>
                </c:pt>
                <c:pt idx="8">
                  <c:v>FQ122A</c:v>
                </c:pt>
                <c:pt idx="9">
                  <c:v>FQ222A</c:v>
                </c:pt>
                <c:pt idx="10">
                  <c:v>FQ322A</c:v>
                </c:pt>
                <c:pt idx="11">
                  <c:v>FQ422A</c:v>
                </c:pt>
                <c:pt idx="12">
                  <c:v>FQ123A</c:v>
                </c:pt>
                <c:pt idx="13">
                  <c:v>FQ223A</c:v>
                </c:pt>
                <c:pt idx="14">
                  <c:v>FQ323A</c:v>
                </c:pt>
              </c:strCache>
            </c:strRef>
          </c:cat>
          <c:val>
            <c:numRef>
              <c:f>Model!$B$15:$P$15</c:f>
              <c:numCache>
                <c:formatCode>General</c:formatCode>
                <c:ptCount val="15"/>
                <c:pt idx="0">
                  <c:v>1202</c:v>
                </c:pt>
                <c:pt idx="1">
                  <c:v>1612</c:v>
                </c:pt>
                <c:pt idx="2">
                  <c:v>1412</c:v>
                </c:pt>
                <c:pt idx="3">
                  <c:v>2231</c:v>
                </c:pt>
                <c:pt idx="4">
                  <c:v>1620</c:v>
                </c:pt>
                <c:pt idx="5">
                  <c:v>1695</c:v>
                </c:pt>
                <c:pt idx="6">
                  <c:v>1599</c:v>
                </c:pt>
                <c:pt idx="7">
                  <c:v>1877</c:v>
                </c:pt>
                <c:pt idx="8">
                  <c:v>1414</c:v>
                </c:pt>
                <c:pt idx="9">
                  <c:v>2357</c:v>
                </c:pt>
                <c:pt idx="10">
                  <c:v>1764</c:v>
                </c:pt>
                <c:pt idx="11">
                  <c:v>1456</c:v>
                </c:pt>
                <c:pt idx="12">
                  <c:v>1448</c:v>
                </c:pt>
                <c:pt idx="13">
                  <c:v>1430</c:v>
                </c:pt>
                <c:pt idx="14">
                  <c:v>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6B-194B-963A-A3A6E9454D39}"/>
            </c:ext>
          </c:extLst>
        </c:ser>
        <c:ser>
          <c:idx val="8"/>
          <c:order val="8"/>
          <c:tx>
            <c:strRef>
              <c:f>Model!$A$16</c:f>
              <c:strCache>
                <c:ptCount val="1"/>
                <c:pt idx="0">
                  <c:v>Other</c:v>
                </c:pt>
              </c:strCache>
            </c:strRef>
          </c:tx>
          <c:spPr>
            <a:ln w="2222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  <a:round/>
              </a:ln>
              <a:effectLst/>
            </c:spPr>
          </c:marker>
          <c:cat>
            <c:strRef>
              <c:f>Model!$B$5:$P$5</c:f>
              <c:strCache>
                <c:ptCount val="15"/>
                <c:pt idx="0">
                  <c:v>FQ120</c:v>
                </c:pt>
                <c:pt idx="1">
                  <c:v>FQ220</c:v>
                </c:pt>
                <c:pt idx="2">
                  <c:v>FQ320</c:v>
                </c:pt>
                <c:pt idx="3">
                  <c:v>FQ420A</c:v>
                </c:pt>
                <c:pt idx="4">
                  <c:v>FQ121A</c:v>
                </c:pt>
                <c:pt idx="5">
                  <c:v>FQ221A</c:v>
                </c:pt>
                <c:pt idx="6">
                  <c:v>FQ321A</c:v>
                </c:pt>
                <c:pt idx="7">
                  <c:v>FQ421A</c:v>
                </c:pt>
                <c:pt idx="8">
                  <c:v>FQ122A</c:v>
                </c:pt>
                <c:pt idx="9">
                  <c:v>FQ222A</c:v>
                </c:pt>
                <c:pt idx="10">
                  <c:v>FQ322A</c:v>
                </c:pt>
                <c:pt idx="11">
                  <c:v>FQ422A</c:v>
                </c:pt>
                <c:pt idx="12">
                  <c:v>FQ123A</c:v>
                </c:pt>
                <c:pt idx="13">
                  <c:v>FQ223A</c:v>
                </c:pt>
                <c:pt idx="14">
                  <c:v>FQ323A</c:v>
                </c:pt>
              </c:strCache>
            </c:strRef>
          </c:cat>
          <c:val>
            <c:numRef>
              <c:f>Model!$B$16:$P$16</c:f>
              <c:numCache>
                <c:formatCode>General</c:formatCode>
                <c:ptCount val="15"/>
                <c:pt idx="0">
                  <c:v>855</c:v>
                </c:pt>
                <c:pt idx="1">
                  <c:v>959</c:v>
                </c:pt>
                <c:pt idx="2">
                  <c:v>961</c:v>
                </c:pt>
                <c:pt idx="3">
                  <c:v>993</c:v>
                </c:pt>
                <c:pt idx="4">
                  <c:v>1032</c:v>
                </c:pt>
                <c:pt idx="5">
                  <c:v>1143</c:v>
                </c:pt>
                <c:pt idx="6">
                  <c:v>1125</c:v>
                </c:pt>
                <c:pt idx="7">
                  <c:v>1179</c:v>
                </c:pt>
                <c:pt idx="8">
                  <c:v>1175</c:v>
                </c:pt>
                <c:pt idx="9">
                  <c:v>1284</c:v>
                </c:pt>
                <c:pt idx="10">
                  <c:v>1304</c:v>
                </c:pt>
                <c:pt idx="11">
                  <c:v>1528</c:v>
                </c:pt>
                <c:pt idx="12">
                  <c:v>1348</c:v>
                </c:pt>
                <c:pt idx="13">
                  <c:v>1359</c:v>
                </c:pt>
                <c:pt idx="14">
                  <c:v>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6B-194B-963A-A3A6E9454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873615455"/>
        <c:axId val="796706687"/>
      </c:lineChart>
      <c:catAx>
        <c:axId val="187361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Avenir Book" panose="02000503020000020003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Microsoft Corporation</a:t>
                </a:r>
              </a:p>
            </c:rich>
          </c:tx>
          <c:layout>
            <c:manualLayout>
              <c:xMode val="edge"/>
              <c:yMode val="edge"/>
              <c:x val="0.84719725939859636"/>
              <c:y val="5.63784601120521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Avenir Book" panose="02000503020000020003" pitchFamily="2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6706687"/>
        <c:crosses val="autoZero"/>
        <c:auto val="1"/>
        <c:lblAlgn val="ctr"/>
        <c:lblOffset val="100"/>
        <c:noMultiLvlLbl val="0"/>
      </c:catAx>
      <c:valAx>
        <c:axId val="7967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Avenir Book" panose="02000503020000020003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Revenue</a:t>
                </a:r>
                <a:r>
                  <a:rPr lang="en-US" baseline="0"/>
                  <a:t> by Segment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Avenir Book" panose="02000503020000020003" pitchFamily="2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0.#,&quot;B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7361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41096856379238"/>
          <c:y val="0.12084666804454311"/>
          <c:w val="0.15781005192056649"/>
          <c:h val="0.80461524513631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venir Book" panose="02000503020000020003" pitchFamily="2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venir Book" panose="02000503020000020003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4.2451439100646214E-2"/>
          <c:y val="2.1284323365614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Model!$A$157</c:f>
              <c:strCache>
                <c:ptCount val="1"/>
                <c:pt idx="0">
                  <c:v>Headcount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Model!$AE$5:$AK$5</c:f>
              <c:strCache>
                <c:ptCount val="7"/>
                <c:pt idx="0">
                  <c:v>FY2017A</c:v>
                </c:pt>
                <c:pt idx="1">
                  <c:v>FY2018A</c:v>
                </c:pt>
                <c:pt idx="2">
                  <c:v>FY2019A</c:v>
                </c:pt>
                <c:pt idx="3">
                  <c:v>FY2020A</c:v>
                </c:pt>
                <c:pt idx="4">
                  <c:v>FY2021A</c:v>
                </c:pt>
                <c:pt idx="5">
                  <c:v>FY2022A</c:v>
                </c:pt>
                <c:pt idx="6">
                  <c:v>FY2023E</c:v>
                </c:pt>
              </c:strCache>
            </c:strRef>
          </c:cat>
          <c:val>
            <c:numRef>
              <c:f>Model!$AE$157:$AK$157</c:f>
              <c:numCache>
                <c:formatCode>General</c:formatCode>
                <c:ptCount val="7"/>
                <c:pt idx="0">
                  <c:v>124</c:v>
                </c:pt>
                <c:pt idx="1">
                  <c:v>131</c:v>
                </c:pt>
                <c:pt idx="2">
                  <c:v>144</c:v>
                </c:pt>
                <c:pt idx="3">
                  <c:v>163</c:v>
                </c:pt>
                <c:pt idx="4">
                  <c:v>181</c:v>
                </c:pt>
                <c:pt idx="5">
                  <c:v>221</c:v>
                </c:pt>
                <c:pt idx="6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3-1346-BB96-A2AAB44A1C55}"/>
            </c:ext>
          </c:extLst>
        </c:ser>
        <c:ser>
          <c:idx val="1"/>
          <c:order val="1"/>
          <c:tx>
            <c:strRef>
              <c:f>Model!$A$158</c:f>
              <c:strCache>
                <c:ptCount val="1"/>
                <c:pt idx="0">
                  <c:v>Regressed Headcount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Model!$AE$5:$AK$5</c:f>
              <c:strCache>
                <c:ptCount val="7"/>
                <c:pt idx="0">
                  <c:v>FY2017A</c:v>
                </c:pt>
                <c:pt idx="1">
                  <c:v>FY2018A</c:v>
                </c:pt>
                <c:pt idx="2">
                  <c:v>FY2019A</c:v>
                </c:pt>
                <c:pt idx="3">
                  <c:v>FY2020A</c:v>
                </c:pt>
                <c:pt idx="4">
                  <c:v>FY2021A</c:v>
                </c:pt>
                <c:pt idx="5">
                  <c:v>FY2022A</c:v>
                </c:pt>
                <c:pt idx="6">
                  <c:v>FY2023E</c:v>
                </c:pt>
              </c:strCache>
            </c:strRef>
          </c:cat>
          <c:val>
            <c:numRef>
              <c:f>Model!$AE$158:$AK$158</c:f>
              <c:numCache>
                <c:formatCode>0</c:formatCode>
                <c:ptCount val="7"/>
                <c:pt idx="0" formatCode="General">
                  <c:v>124</c:v>
                </c:pt>
                <c:pt idx="1">
                  <c:v>136.29687785496807</c:v>
                </c:pt>
                <c:pt idx="2">
                  <c:v>149.81321704042006</c:v>
                </c:pt>
                <c:pt idx="3">
                  <c:v>164.66994954853189</c:v>
                </c:pt>
                <c:pt idx="4">
                  <c:v>181.00000000000006</c:v>
                </c:pt>
                <c:pt idx="5">
                  <c:v>198.94947493346152</c:v>
                </c:pt>
                <c:pt idx="6">
                  <c:v>218.67897003480675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3-1346-BB96-A2AAB44A1C55}"/>
            </c:ext>
          </c:extLst>
        </c:ser>
        <c:ser>
          <c:idx val="2"/>
          <c:order val="2"/>
          <c:tx>
            <c:strRef>
              <c:f>Model!$A$159</c:f>
              <c:strCache>
                <c:ptCount val="1"/>
                <c:pt idx="0">
                  <c:v>Operating Expense / Employee ($K)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Model!$AE$5:$AK$5</c:f>
              <c:strCache>
                <c:ptCount val="7"/>
                <c:pt idx="0">
                  <c:v>FY2017A</c:v>
                </c:pt>
                <c:pt idx="1">
                  <c:v>FY2018A</c:v>
                </c:pt>
                <c:pt idx="2">
                  <c:v>FY2019A</c:v>
                </c:pt>
                <c:pt idx="3">
                  <c:v>FY2020A</c:v>
                </c:pt>
                <c:pt idx="4">
                  <c:v>FY2021A</c:v>
                </c:pt>
                <c:pt idx="5">
                  <c:v>FY2022A</c:v>
                </c:pt>
                <c:pt idx="6">
                  <c:v>FY2023E</c:v>
                </c:pt>
              </c:strCache>
            </c:strRef>
          </c:cat>
          <c:val>
            <c:numRef>
              <c:f>Model!$AE$159:$AK$159</c:f>
              <c:numCache>
                <c:formatCode>0</c:formatCode>
                <c:ptCount val="7"/>
                <c:pt idx="0">
                  <c:v>265.95967741935482</c:v>
                </c:pt>
                <c:pt idx="1">
                  <c:v>282.05343511450383</c:v>
                </c:pt>
                <c:pt idx="2">
                  <c:v>277.59722222222223</c:v>
                </c:pt>
                <c:pt idx="3">
                  <c:v>269.80368098159511</c:v>
                </c:pt>
                <c:pt idx="4">
                  <c:v>253.81215469613261</c:v>
                </c:pt>
                <c:pt idx="5">
                  <c:v>236.36651583710406</c:v>
                </c:pt>
                <c:pt idx="6">
                  <c:v>200.9431279620853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3-1346-BB96-A2AAB44A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347439"/>
        <c:axId val="908712559"/>
      </c:lineChart>
      <c:catAx>
        <c:axId val="102734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8712559"/>
        <c:crosses val="autoZero"/>
        <c:auto val="1"/>
        <c:lblAlgn val="ctr"/>
        <c:lblOffset val="100"/>
        <c:noMultiLvlLbl val="0"/>
      </c:catAx>
      <c:valAx>
        <c:axId val="9087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734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744046</xdr:colOff>
      <xdr:row>2</xdr:row>
      <xdr:rowOff>118680</xdr:rowOff>
    </xdr:from>
    <xdr:to>
      <xdr:col>15</xdr:col>
      <xdr:colOff>744046</xdr:colOff>
      <xdr:row>153</xdr:row>
      <xdr:rowOff>147256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3545646" y="956880"/>
          <a:ext cx="0" cy="249586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</xdr:colOff>
      <xdr:row>0</xdr:row>
      <xdr:rowOff>0</xdr:rowOff>
    </xdr:from>
    <xdr:to>
      <xdr:col>36</xdr:col>
      <xdr:colOff>28575</xdr:colOff>
      <xdr:row>153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15278100" y="0"/>
          <a:ext cx="0" cy="14116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95080</xdr:colOff>
      <xdr:row>0</xdr:row>
      <xdr:rowOff>27166</xdr:rowOff>
    </xdr:from>
    <xdr:to>
      <xdr:col>0</xdr:col>
      <xdr:colOff>2216417</xdr:colOff>
      <xdr:row>0</xdr:row>
      <xdr:rowOff>645186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E804EF-DE05-A83C-D30B-B9199C9BF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80" y="27166"/>
          <a:ext cx="2121337" cy="618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660020</xdr:colOff>
      <xdr:row>25</xdr:row>
      <xdr:rowOff>152399</xdr:rowOff>
    </xdr:from>
    <xdr:to>
      <xdr:col>41</xdr:col>
      <xdr:colOff>152399</xdr:colOff>
      <xdr:row>68</xdr:row>
      <xdr:rowOff>16932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FB9149FF-E8C2-7557-E212-9157DE71E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577000</xdr:colOff>
      <xdr:row>50</xdr:row>
      <xdr:rowOff>127001</xdr:rowOff>
    </xdr:from>
    <xdr:to>
      <xdr:col>21</xdr:col>
      <xdr:colOff>531091</xdr:colOff>
      <xdr:row>87</xdr:row>
      <xdr:rowOff>150091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A84F81D-0865-B9C8-D651-154F39305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736037</xdr:colOff>
      <xdr:row>72</xdr:row>
      <xdr:rowOff>147851</xdr:rowOff>
    </xdr:from>
    <xdr:to>
      <xdr:col>30</xdr:col>
      <xdr:colOff>638222</xdr:colOff>
      <xdr:row>93</xdr:row>
      <xdr:rowOff>25210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7F99F669-1BE3-FA28-0776-016D13201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9" dT="2023-01-12T14:11:54.08" personId="{2ADAC7E3-86EF-4E60-96A3-ED0BEE011F1E}" id="{1194B53B-11DF-4936-8FD7-77F49319A1C9}">
    <text>16964 old</text>
  </threadedComment>
  <threadedComment ref="J50" dT="2023-01-12T14:11:37.67" personId="{2ADAC7E3-86EF-4E60-96A3-ED0BEE011F1E}" id="{F728FAC2-51F0-4023-AB40-41F83CEF5C89}">
    <text>13314 prior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21"/>
  <sheetViews>
    <sheetView zoomScale="180" zoomScaleNormal="190" workbookViewId="0">
      <selection activeCell="D11" sqref="D11"/>
    </sheetView>
  </sheetViews>
  <sheetFormatPr baseColWidth="10" defaultColWidth="8.83203125" defaultRowHeight="13" x14ac:dyDescent="0.15"/>
  <cols>
    <col min="12" max="12" width="9.5" customWidth="1"/>
  </cols>
  <sheetData>
    <row r="2" spans="2:13" x14ac:dyDescent="0.15">
      <c r="B2" t="s">
        <v>88</v>
      </c>
      <c r="K2" t="s">
        <v>0</v>
      </c>
      <c r="L2" s="1">
        <v>235.15</v>
      </c>
    </row>
    <row r="3" spans="2:13" x14ac:dyDescent="0.15">
      <c r="B3" t="s">
        <v>85</v>
      </c>
      <c r="K3" t="s">
        <v>1</v>
      </c>
      <c r="L3" s="4">
        <v>7534</v>
      </c>
      <c r="M3" s="2" t="s">
        <v>83</v>
      </c>
    </row>
    <row r="4" spans="2:13" x14ac:dyDescent="0.15">
      <c r="C4" t="s">
        <v>86</v>
      </c>
      <c r="K4" t="s">
        <v>2</v>
      </c>
      <c r="L4" s="4">
        <f>L2*L3</f>
        <v>1771620.1</v>
      </c>
    </row>
    <row r="5" spans="2:13" x14ac:dyDescent="0.15">
      <c r="B5" t="s">
        <v>87</v>
      </c>
      <c r="K5" t="s">
        <v>3</v>
      </c>
      <c r="L5" s="4">
        <v>114101</v>
      </c>
      <c r="M5" s="2" t="s">
        <v>83</v>
      </c>
    </row>
    <row r="6" spans="2:13" x14ac:dyDescent="0.15">
      <c r="B6" t="s">
        <v>68</v>
      </c>
      <c r="C6" t="s">
        <v>95</v>
      </c>
      <c r="K6" t="s">
        <v>4</v>
      </c>
      <c r="L6" s="4">
        <v>48622</v>
      </c>
      <c r="M6" s="2" t="s">
        <v>83</v>
      </c>
    </row>
    <row r="7" spans="2:13" x14ac:dyDescent="0.15">
      <c r="B7" t="s">
        <v>89</v>
      </c>
      <c r="C7" t="s">
        <v>94</v>
      </c>
      <c r="K7" t="s">
        <v>5</v>
      </c>
      <c r="L7" s="4">
        <f>L4-L5+L6</f>
        <v>1706141.1</v>
      </c>
    </row>
    <row r="8" spans="2:13" x14ac:dyDescent="0.15">
      <c r="B8" t="s">
        <v>90</v>
      </c>
      <c r="C8" t="s">
        <v>93</v>
      </c>
    </row>
    <row r="9" spans="2:13" x14ac:dyDescent="0.15">
      <c r="B9" t="s">
        <v>91</v>
      </c>
      <c r="C9" t="s">
        <v>92</v>
      </c>
      <c r="K9" t="s">
        <v>63</v>
      </c>
      <c r="L9">
        <v>1975</v>
      </c>
    </row>
    <row r="10" spans="2:13" x14ac:dyDescent="0.15">
      <c r="B10" t="s">
        <v>96</v>
      </c>
    </row>
    <row r="11" spans="2:13" x14ac:dyDescent="0.15">
      <c r="B11" t="s">
        <v>97</v>
      </c>
    </row>
    <row r="12" spans="2:13" x14ac:dyDescent="0.15">
      <c r="B12" t="s">
        <v>98</v>
      </c>
    </row>
    <row r="13" spans="2:13" x14ac:dyDescent="0.15">
      <c r="B13" t="s">
        <v>99</v>
      </c>
    </row>
    <row r="14" spans="2:13" x14ac:dyDescent="0.15">
      <c r="B14" t="s">
        <v>100</v>
      </c>
    </row>
    <row r="21" spans="2:2" x14ac:dyDescent="0.15">
      <c r="B2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CX161"/>
  <sheetViews>
    <sheetView tabSelected="1" zoomScaleNormal="145" workbookViewId="0">
      <pane xSplit="1" ySplit="5" topLeftCell="G85" activePane="bottomRight" state="frozen"/>
      <selection pane="topRight" activeCell="C1" sqref="C1"/>
      <selection pane="bottomLeft" activeCell="A4" sqref="A4"/>
      <selection pane="bottomRight" activeCell="L113" sqref="L113"/>
    </sheetView>
  </sheetViews>
  <sheetFormatPr baseColWidth="10" defaultColWidth="8.83203125" defaultRowHeight="13" x14ac:dyDescent="0.15"/>
  <cols>
    <col min="1" max="1" width="29.6640625" customWidth="1"/>
    <col min="2" max="5" width="10" style="2" customWidth="1"/>
    <col min="6" max="13" width="9.83203125" style="2" customWidth="1"/>
    <col min="14" max="29" width="9.83203125" customWidth="1"/>
    <col min="34" max="37" width="9.1640625" style="2"/>
    <col min="47" max="47" width="10.6640625" customWidth="1"/>
  </cols>
  <sheetData>
    <row r="1" spans="1:44" ht="53" customHeight="1" x14ac:dyDescent="0.15"/>
    <row r="2" spans="1:44" x14ac:dyDescent="0.15">
      <c r="A2" s="14" t="s">
        <v>105</v>
      </c>
    </row>
    <row r="3" spans="1:44" x14ac:dyDescent="0.15">
      <c r="A3" t="s">
        <v>106</v>
      </c>
    </row>
    <row r="4" spans="1:44" s="14" customFormat="1" x14ac:dyDescent="0.15">
      <c r="B4" s="15">
        <v>43738</v>
      </c>
      <c r="C4" s="15">
        <v>43830</v>
      </c>
      <c r="D4" s="15">
        <v>43921</v>
      </c>
      <c r="E4" s="15">
        <v>44012</v>
      </c>
      <c r="F4" s="15">
        <v>44104</v>
      </c>
      <c r="G4" s="15">
        <v>44196</v>
      </c>
      <c r="H4" s="15">
        <v>44286</v>
      </c>
      <c r="I4" s="15">
        <v>44377</v>
      </c>
      <c r="J4" s="15">
        <v>44469</v>
      </c>
      <c r="K4" s="15">
        <v>44561</v>
      </c>
      <c r="L4" s="15">
        <v>44651</v>
      </c>
      <c r="M4" s="15">
        <v>44742</v>
      </c>
      <c r="N4" s="14">
        <f>+J4+365</f>
        <v>44834</v>
      </c>
      <c r="O4" s="14">
        <f>+K4+365</f>
        <v>44926</v>
      </c>
      <c r="P4" s="14">
        <f>+L4+365</f>
        <v>45016</v>
      </c>
      <c r="Q4" s="14">
        <f>+M4+365</f>
        <v>45107</v>
      </c>
      <c r="R4" s="14">
        <f t="shared" ref="R4:S4" si="0">+N4+365</f>
        <v>45199</v>
      </c>
      <c r="S4" s="14">
        <f t="shared" si="0"/>
        <v>45291</v>
      </c>
      <c r="T4" s="14">
        <f>+P4+366</f>
        <v>45382</v>
      </c>
      <c r="U4" s="14">
        <f>+Q4+365</f>
        <v>45472</v>
      </c>
      <c r="V4" s="14">
        <f t="shared" ref="V4:Y4" si="1">+R4+365</f>
        <v>45564</v>
      </c>
      <c r="W4" s="14">
        <f t="shared" si="1"/>
        <v>45656</v>
      </c>
      <c r="X4" s="14">
        <f t="shared" si="1"/>
        <v>45747</v>
      </c>
      <c r="Y4" s="14">
        <f t="shared" si="1"/>
        <v>45837</v>
      </c>
      <c r="Z4" s="14">
        <f t="shared" ref="Z4" si="2">+V4+365</f>
        <v>45929</v>
      </c>
      <c r="AA4" s="14">
        <f t="shared" ref="AA4" si="3">+W4+365</f>
        <v>46021</v>
      </c>
      <c r="AB4" s="14">
        <f t="shared" ref="AB4" si="4">+X4+365</f>
        <v>46112</v>
      </c>
      <c r="AC4" s="14">
        <f t="shared" ref="AC4" si="5">+Y4+365</f>
        <v>46202</v>
      </c>
      <c r="AE4" s="14">
        <v>42916</v>
      </c>
      <c r="AF4" s="14">
        <v>43281</v>
      </c>
      <c r="AG4" s="14">
        <v>43646</v>
      </c>
      <c r="AH4" s="15">
        <v>44012</v>
      </c>
      <c r="AI4" s="15">
        <f>+I4</f>
        <v>44377</v>
      </c>
      <c r="AJ4" s="15">
        <f>+M4</f>
        <v>44742</v>
      </c>
      <c r="AK4" s="15">
        <v>45107</v>
      </c>
      <c r="AL4" s="14">
        <f>+AK4+366</f>
        <v>45473</v>
      </c>
      <c r="AM4" s="14">
        <f>+AL4+365</f>
        <v>45838</v>
      </c>
      <c r="AN4" s="14">
        <f>+AM4+365</f>
        <v>46203</v>
      </c>
      <c r="AO4" s="14">
        <f>+AN4+365</f>
        <v>46568</v>
      </c>
      <c r="AP4" s="14">
        <f>+AO4+366</f>
        <v>46934</v>
      </c>
      <c r="AQ4" s="14">
        <f>+AP4+365</f>
        <v>47299</v>
      </c>
      <c r="AR4" s="14">
        <f>+AQ4+365</f>
        <v>47664</v>
      </c>
    </row>
    <row r="5" spans="1:44" x14ac:dyDescent="0.15">
      <c r="B5" s="2" t="s">
        <v>66</v>
      </c>
      <c r="C5" s="2" t="s">
        <v>65</v>
      </c>
      <c r="D5" s="2" t="s">
        <v>64</v>
      </c>
      <c r="E5" s="2" t="s">
        <v>107</v>
      </c>
      <c r="F5" s="2" t="s">
        <v>108</v>
      </c>
      <c r="G5" s="2" t="s">
        <v>109</v>
      </c>
      <c r="H5" s="2" t="s">
        <v>110</v>
      </c>
      <c r="I5" s="2" t="s">
        <v>111</v>
      </c>
      <c r="J5" s="2" t="s">
        <v>112</v>
      </c>
      <c r="K5" s="2" t="s">
        <v>113</v>
      </c>
      <c r="L5" s="2" t="s">
        <v>114</v>
      </c>
      <c r="M5" s="2" t="s">
        <v>115</v>
      </c>
      <c r="N5" s="2" t="s">
        <v>116</v>
      </c>
      <c r="O5" s="2" t="s">
        <v>117</v>
      </c>
      <c r="P5" s="2" t="s">
        <v>146</v>
      </c>
      <c r="Q5" s="2" t="s">
        <v>118</v>
      </c>
      <c r="R5" s="2" t="s">
        <v>147</v>
      </c>
      <c r="S5" s="2" t="s">
        <v>148</v>
      </c>
      <c r="T5" s="2" t="s">
        <v>149</v>
      </c>
      <c r="U5" s="2" t="s">
        <v>150</v>
      </c>
      <c r="V5" s="2" t="s">
        <v>152</v>
      </c>
      <c r="W5" s="2" t="s">
        <v>151</v>
      </c>
      <c r="X5" s="2" t="s">
        <v>153</v>
      </c>
      <c r="Y5" s="2" t="s">
        <v>154</v>
      </c>
      <c r="Z5" s="2" t="s">
        <v>155</v>
      </c>
      <c r="AA5" s="2" t="s">
        <v>156</v>
      </c>
      <c r="AB5" s="2" t="s">
        <v>157</v>
      </c>
      <c r="AC5" s="2" t="s">
        <v>158</v>
      </c>
      <c r="AE5" s="2" t="s">
        <v>137</v>
      </c>
      <c r="AF5" s="2" t="s">
        <v>138</v>
      </c>
      <c r="AG5" s="2" t="s">
        <v>139</v>
      </c>
      <c r="AH5" s="2" t="s">
        <v>140</v>
      </c>
      <c r="AI5" s="2" t="s">
        <v>141</v>
      </c>
      <c r="AJ5" s="2" t="s">
        <v>142</v>
      </c>
      <c r="AK5" s="2" t="s">
        <v>143</v>
      </c>
      <c r="AL5" s="2" t="s">
        <v>70</v>
      </c>
      <c r="AM5" s="2" t="s">
        <v>71</v>
      </c>
      <c r="AN5" s="2" t="s">
        <v>72</v>
      </c>
      <c r="AO5" s="2" t="s">
        <v>73</v>
      </c>
      <c r="AP5" s="2" t="s">
        <v>74</v>
      </c>
      <c r="AQ5" s="2" t="s">
        <v>75</v>
      </c>
      <c r="AR5" s="2" t="s">
        <v>76</v>
      </c>
    </row>
    <row r="6" spans="1:44" s="22" customFormat="1" x14ac:dyDescent="0.15">
      <c r="A6" s="20" t="s">
        <v>123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</row>
    <row r="7" spans="1:44" x14ac:dyDescent="0.15">
      <c r="A7" s="3" t="s">
        <v>132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2"/>
      <c r="AF7" s="2"/>
      <c r="AG7" s="2"/>
      <c r="AL7" s="2"/>
      <c r="AM7" s="2"/>
      <c r="AN7" s="2"/>
      <c r="AO7" s="2"/>
      <c r="AP7" s="2"/>
      <c r="AQ7" s="2"/>
      <c r="AR7" s="2"/>
    </row>
    <row r="8" spans="1:44" x14ac:dyDescent="0.15">
      <c r="A8" t="s">
        <v>125</v>
      </c>
      <c r="B8" s="2">
        <v>9192</v>
      </c>
      <c r="C8" s="2">
        <v>10119</v>
      </c>
      <c r="D8" s="2">
        <v>10490</v>
      </c>
      <c r="E8" s="2">
        <f>41379-SUM(B8:D8)</f>
        <v>11578</v>
      </c>
      <c r="F8" s="2">
        <v>11195</v>
      </c>
      <c r="G8" s="2">
        <v>12729</v>
      </c>
      <c r="H8" s="2">
        <v>13204</v>
      </c>
      <c r="I8" s="2">
        <f>52589-SUM(F8:H8)</f>
        <v>15461</v>
      </c>
      <c r="J8" s="2">
        <f>31452-K8</f>
        <v>15070</v>
      </c>
      <c r="K8" s="2">
        <v>16382</v>
      </c>
      <c r="L8" s="2">
        <v>17038</v>
      </c>
      <c r="M8" s="2">
        <f>67321-L8-K8-J8</f>
        <v>18831</v>
      </c>
      <c r="N8" s="2">
        <f>37982-O8</f>
        <v>18388</v>
      </c>
      <c r="O8" s="2">
        <v>19594</v>
      </c>
      <c r="P8" s="2">
        <v>20225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E8" s="2"/>
      <c r="AF8" s="2"/>
      <c r="AG8" s="2"/>
      <c r="AL8" s="2"/>
      <c r="AM8" s="2"/>
      <c r="AN8" s="2"/>
      <c r="AO8" s="2"/>
      <c r="AP8" s="2"/>
      <c r="AQ8" s="2"/>
      <c r="AR8" s="2"/>
    </row>
    <row r="9" spans="1:44" x14ac:dyDescent="0.15">
      <c r="A9" t="s">
        <v>145</v>
      </c>
      <c r="B9" s="2">
        <v>8466</v>
      </c>
      <c r="C9" s="2">
        <v>8983</v>
      </c>
      <c r="D9" s="2">
        <v>8920</v>
      </c>
      <c r="E9" s="2">
        <f>35316-SUM(B9:D9)</f>
        <v>8947</v>
      </c>
      <c r="F9" s="2">
        <v>9278</v>
      </c>
      <c r="G9" s="2">
        <v>9881</v>
      </c>
      <c r="H9" s="2">
        <v>10016</v>
      </c>
      <c r="I9" s="2">
        <f>39872-H9-G9-F9</f>
        <v>10697</v>
      </c>
      <c r="J9" s="2">
        <f>22059-K9</f>
        <v>10808</v>
      </c>
      <c r="K9" s="2">
        <v>11251</v>
      </c>
      <c r="L9" s="2">
        <v>11164</v>
      </c>
      <c r="M9" s="2">
        <f>44862-L9-K9-J9</f>
        <v>11639</v>
      </c>
      <c r="N9" s="2">
        <f>23385-O9</f>
        <v>11548</v>
      </c>
      <c r="O9" s="2">
        <v>11837</v>
      </c>
      <c r="P9" s="2">
        <v>12438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E9" s="2"/>
      <c r="AF9" s="2"/>
      <c r="AG9" s="2"/>
      <c r="AL9" s="2"/>
      <c r="AM9" s="2"/>
      <c r="AN9" s="2"/>
      <c r="AO9" s="2"/>
      <c r="AP9" s="2"/>
      <c r="AQ9" s="2"/>
      <c r="AR9" s="2"/>
    </row>
    <row r="10" spans="1:44" x14ac:dyDescent="0.15">
      <c r="A10" t="s">
        <v>90</v>
      </c>
      <c r="B10" s="2">
        <v>5353</v>
      </c>
      <c r="C10" s="2">
        <v>5593</v>
      </c>
      <c r="D10" s="2">
        <v>5220</v>
      </c>
      <c r="E10" s="2">
        <f>21510-SUM(B10:D10)</f>
        <v>5344</v>
      </c>
      <c r="F10" s="2">
        <v>5305</v>
      </c>
      <c r="G10" s="2">
        <v>5716</v>
      </c>
      <c r="H10" s="2">
        <v>5463</v>
      </c>
      <c r="I10" s="2">
        <f>22488-H10-G10-F10</f>
        <v>6004</v>
      </c>
      <c r="J10" s="2">
        <f>12268-K10</f>
        <v>5674</v>
      </c>
      <c r="K10" s="2">
        <v>6594</v>
      </c>
      <c r="L10" s="2">
        <v>6077</v>
      </c>
      <c r="M10" s="2">
        <f>24761-L10-K10-J10</f>
        <v>6416</v>
      </c>
      <c r="N10" s="2">
        <f>10121-O10</f>
        <v>5313</v>
      </c>
      <c r="O10" s="2">
        <v>4808</v>
      </c>
      <c r="P10" s="2">
        <v>5328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E10" s="2"/>
      <c r="AF10" s="2"/>
      <c r="AG10" s="2"/>
      <c r="AL10" s="2"/>
      <c r="AM10" s="2"/>
      <c r="AN10" s="2"/>
      <c r="AO10" s="2"/>
      <c r="AP10" s="2"/>
      <c r="AQ10" s="2"/>
      <c r="AR10" s="2"/>
    </row>
    <row r="11" spans="1:44" x14ac:dyDescent="0.15">
      <c r="A11" t="s">
        <v>126</v>
      </c>
      <c r="B11" s="2">
        <v>2542</v>
      </c>
      <c r="C11" s="2">
        <v>3327</v>
      </c>
      <c r="D11" s="2">
        <v>2349</v>
      </c>
      <c r="E11" s="2">
        <f>11575-SUM(B11:D11)</f>
        <v>3357</v>
      </c>
      <c r="F11" s="2">
        <v>3092</v>
      </c>
      <c r="G11" s="2">
        <v>5031</v>
      </c>
      <c r="H11" s="2">
        <v>3533</v>
      </c>
      <c r="I11" s="2">
        <f>15370-H11-G11-F11</f>
        <v>3714</v>
      </c>
      <c r="J11" s="2">
        <f>9035-K11</f>
        <v>3593</v>
      </c>
      <c r="K11" s="2">
        <v>5442</v>
      </c>
      <c r="L11" s="2">
        <v>3740</v>
      </c>
      <c r="M11" s="2">
        <f>16230-L11-K11-J11</f>
        <v>3455</v>
      </c>
      <c r="N11" s="2">
        <f>8368-O11</f>
        <v>3610</v>
      </c>
      <c r="O11" s="2">
        <v>4758</v>
      </c>
      <c r="P11" s="2">
        <v>3607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E11" s="2"/>
      <c r="AF11" s="2"/>
      <c r="AG11" s="2"/>
      <c r="AL11" s="2"/>
      <c r="AM11" s="2"/>
      <c r="AN11" s="2"/>
      <c r="AO11" s="2"/>
      <c r="AP11" s="2"/>
      <c r="AQ11" s="2"/>
      <c r="AR11" s="2"/>
    </row>
    <row r="12" spans="1:44" x14ac:dyDescent="0.15">
      <c r="A12" t="s">
        <v>127</v>
      </c>
      <c r="B12" s="2">
        <v>1909</v>
      </c>
      <c r="C12" s="2">
        <v>2102</v>
      </c>
      <c r="D12" s="2">
        <v>1986</v>
      </c>
      <c r="E12" s="2">
        <f>8077-SUM(B12:D12)</f>
        <v>2080</v>
      </c>
      <c r="F12" s="2">
        <v>2206</v>
      </c>
      <c r="G12" s="2">
        <v>2577</v>
      </c>
      <c r="H12" s="2">
        <v>2562</v>
      </c>
      <c r="I12" s="2">
        <f>10289-H12-G12-F12</f>
        <v>2944</v>
      </c>
      <c r="J12" s="2">
        <f>6667-K12</f>
        <v>3136</v>
      </c>
      <c r="K12" s="2">
        <v>3531</v>
      </c>
      <c r="L12" s="2">
        <v>3437</v>
      </c>
      <c r="M12" s="2">
        <f>13816-L12-K12-J12</f>
        <v>3712</v>
      </c>
      <c r="N12" s="2">
        <f>7539-O12</f>
        <v>3663</v>
      </c>
      <c r="O12" s="2">
        <v>3876</v>
      </c>
      <c r="P12" s="2">
        <v>3697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E12" s="2"/>
      <c r="AF12" s="2"/>
      <c r="AG12" s="2"/>
      <c r="AL12" s="2"/>
      <c r="AM12" s="2"/>
      <c r="AN12" s="2"/>
      <c r="AO12" s="2"/>
      <c r="AP12" s="2"/>
      <c r="AQ12" s="2"/>
      <c r="AR12" s="2"/>
    </row>
    <row r="13" spans="1:44" x14ac:dyDescent="0.15">
      <c r="A13" t="s">
        <v>128</v>
      </c>
      <c r="B13" s="2">
        <v>1991</v>
      </c>
      <c r="C13" s="2">
        <v>2163</v>
      </c>
      <c r="D13" s="2">
        <v>2050</v>
      </c>
      <c r="E13" s="2">
        <f>8524-SUM(B13:D13)</f>
        <v>2320</v>
      </c>
      <c r="F13" s="2">
        <v>1789</v>
      </c>
      <c r="G13" s="2">
        <v>2184</v>
      </c>
      <c r="H13" s="2">
        <v>2401</v>
      </c>
      <c r="I13" s="2">
        <f>9267-H13-G13-F13</f>
        <v>2893</v>
      </c>
      <c r="J13" s="2">
        <f>5720-K13</f>
        <v>2656</v>
      </c>
      <c r="K13" s="2">
        <v>3064</v>
      </c>
      <c r="L13" s="2">
        <v>2945</v>
      </c>
      <c r="M13" s="2">
        <f>11591-L13-K13-J13</f>
        <v>2926</v>
      </c>
      <c r="N13" s="2">
        <f>6151-O13</f>
        <v>2928</v>
      </c>
      <c r="O13" s="2">
        <v>3223</v>
      </c>
      <c r="P13" s="2">
        <v>3045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E13" s="2"/>
      <c r="AF13" s="2"/>
      <c r="AG13" s="2"/>
      <c r="AL13" s="2"/>
      <c r="AM13" s="2"/>
      <c r="AN13" s="2"/>
      <c r="AO13" s="2"/>
      <c r="AP13" s="2"/>
      <c r="AQ13" s="2"/>
      <c r="AR13" s="2"/>
    </row>
    <row r="14" spans="1:44" x14ac:dyDescent="0.15">
      <c r="A14" t="s">
        <v>129</v>
      </c>
      <c r="B14" s="2">
        <v>1545</v>
      </c>
      <c r="C14" s="2">
        <v>2048</v>
      </c>
      <c r="D14" s="2">
        <v>1633</v>
      </c>
      <c r="E14" s="2">
        <f>6409-SUM(B14:D14)</f>
        <v>1183</v>
      </c>
      <c r="F14" s="2">
        <v>1637</v>
      </c>
      <c r="G14" s="2">
        <v>2120</v>
      </c>
      <c r="H14" s="2">
        <v>1803</v>
      </c>
      <c r="I14" s="2">
        <f>6943-F14-G14-H14</f>
        <v>1383</v>
      </c>
      <c r="J14" s="2">
        <f>3614-K14</f>
        <v>1791</v>
      </c>
      <c r="K14" s="2">
        <v>1823</v>
      </c>
      <c r="L14" s="2">
        <v>1891</v>
      </c>
      <c r="M14" s="2">
        <f>7407-L14-K14-J14</f>
        <v>1902</v>
      </c>
      <c r="N14" s="2">
        <f>3738-O14</f>
        <v>1876</v>
      </c>
      <c r="O14" s="2">
        <v>1862</v>
      </c>
      <c r="P14" s="2">
        <v>2007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E14" s="2"/>
      <c r="AF14" s="2"/>
      <c r="AG14" s="2"/>
      <c r="AL14" s="2"/>
      <c r="AM14" s="2"/>
      <c r="AN14" s="2"/>
      <c r="AO14" s="2"/>
      <c r="AP14" s="2"/>
      <c r="AQ14" s="2"/>
      <c r="AR14" s="2"/>
    </row>
    <row r="15" spans="1:44" x14ac:dyDescent="0.15">
      <c r="A15" t="s">
        <v>130</v>
      </c>
      <c r="B15" s="2">
        <v>1202</v>
      </c>
      <c r="C15" s="2">
        <v>1612</v>
      </c>
      <c r="D15" s="2">
        <v>1412</v>
      </c>
      <c r="E15" s="2">
        <f>6457-SUM(B15:D15)</f>
        <v>2231</v>
      </c>
      <c r="F15" s="2">
        <v>1620</v>
      </c>
      <c r="G15" s="2">
        <v>1695</v>
      </c>
      <c r="H15" s="2">
        <v>1599</v>
      </c>
      <c r="I15" s="2">
        <f>6791-F15-G15-H15</f>
        <v>1877</v>
      </c>
      <c r="J15" s="2">
        <f>3771-K15</f>
        <v>1414</v>
      </c>
      <c r="K15" s="2">
        <v>2357</v>
      </c>
      <c r="L15" s="2">
        <v>1764</v>
      </c>
      <c r="M15" s="2">
        <f>6991-L15-K15-J15</f>
        <v>1456</v>
      </c>
      <c r="N15" s="2">
        <f>2878-O15</f>
        <v>1448</v>
      </c>
      <c r="O15" s="2">
        <v>1430</v>
      </c>
      <c r="P15" s="2">
        <v>1282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E15" s="2"/>
      <c r="AF15" s="2"/>
      <c r="AG15" s="2"/>
      <c r="AL15" s="2"/>
      <c r="AM15" s="2"/>
      <c r="AN15" s="2"/>
      <c r="AO15" s="2"/>
      <c r="AP15" s="2"/>
      <c r="AQ15" s="2"/>
      <c r="AR15" s="2"/>
    </row>
    <row r="16" spans="1:44" x14ac:dyDescent="0.15">
      <c r="A16" t="s">
        <v>19</v>
      </c>
      <c r="B16" s="2">
        <v>855</v>
      </c>
      <c r="C16" s="2">
        <v>959</v>
      </c>
      <c r="D16" s="2">
        <v>961</v>
      </c>
      <c r="E16" s="2">
        <f>3768-SUM(B16:D16)</f>
        <v>993</v>
      </c>
      <c r="F16" s="2">
        <v>1032</v>
      </c>
      <c r="G16" s="2">
        <v>1143</v>
      </c>
      <c r="H16" s="2">
        <v>1125</v>
      </c>
      <c r="I16" s="2">
        <f>4479-F16-G16-H16</f>
        <v>1179</v>
      </c>
      <c r="J16" s="2">
        <f>2459-K16</f>
        <v>1175</v>
      </c>
      <c r="K16" s="2">
        <v>1284</v>
      </c>
      <c r="L16" s="2">
        <v>1304</v>
      </c>
      <c r="M16" s="2">
        <f>5291-L16-J16-K16</f>
        <v>1528</v>
      </c>
      <c r="N16" s="2">
        <f>2707-O16</f>
        <v>1348</v>
      </c>
      <c r="O16" s="2">
        <v>1359</v>
      </c>
      <c r="P16" s="2">
        <v>1428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E16" s="2"/>
      <c r="AF16" s="2"/>
      <c r="AG16" s="2"/>
      <c r="AL16" s="2"/>
      <c r="AM16" s="2"/>
      <c r="AN16" s="2"/>
      <c r="AO16" s="2"/>
      <c r="AP16" s="2"/>
      <c r="AQ16" s="2"/>
      <c r="AR16" s="2"/>
    </row>
    <row r="17" spans="1:44" x14ac:dyDescent="0.15">
      <c r="A17" t="s">
        <v>131</v>
      </c>
      <c r="B17" s="2">
        <f>SUM(B8:B16)</f>
        <v>33055</v>
      </c>
      <c r="C17" s="2">
        <f t="shared" ref="C17:G17" si="6">SUM(C8:C16)</f>
        <v>36906</v>
      </c>
      <c r="D17" s="2">
        <f t="shared" si="6"/>
        <v>35021</v>
      </c>
      <c r="E17" s="2">
        <f t="shared" si="6"/>
        <v>38033</v>
      </c>
      <c r="F17" s="2">
        <f t="shared" si="6"/>
        <v>37154</v>
      </c>
      <c r="G17" s="2">
        <f t="shared" si="6"/>
        <v>43076</v>
      </c>
      <c r="H17" s="2">
        <f t="shared" ref="H17:O17" si="7">SUM(H8:H16)</f>
        <v>41706</v>
      </c>
      <c r="I17" s="2">
        <f t="shared" si="7"/>
        <v>46152</v>
      </c>
      <c r="J17" s="2">
        <f t="shared" si="7"/>
        <v>45317</v>
      </c>
      <c r="K17" s="2">
        <f t="shared" si="7"/>
        <v>51728</v>
      </c>
      <c r="L17" s="2">
        <f t="shared" si="7"/>
        <v>49360</v>
      </c>
      <c r="M17" s="2">
        <f t="shared" si="7"/>
        <v>51865</v>
      </c>
      <c r="N17" s="2">
        <f t="shared" si="7"/>
        <v>50122</v>
      </c>
      <c r="O17" s="2">
        <f t="shared" si="7"/>
        <v>52747</v>
      </c>
      <c r="P17" s="2">
        <f>SUM(P8:P16)</f>
        <v>53057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E17" s="2"/>
      <c r="AF17" s="2"/>
      <c r="AG17" s="2"/>
      <c r="AL17" s="2"/>
      <c r="AM17" s="2"/>
      <c r="AN17" s="2"/>
      <c r="AO17" s="2"/>
      <c r="AP17" s="2"/>
      <c r="AQ17" s="2"/>
      <c r="AR17" s="2"/>
    </row>
    <row r="18" spans="1:44" x14ac:dyDescent="0.15">
      <c r="A18" s="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E18" s="2"/>
      <c r="AF18" s="2"/>
      <c r="AG18" s="2"/>
      <c r="AL18" s="2"/>
      <c r="AM18" s="2"/>
      <c r="AN18" s="2"/>
      <c r="AO18" s="2"/>
      <c r="AP18" s="2"/>
      <c r="AQ18" s="2"/>
      <c r="AR18" s="2"/>
    </row>
    <row r="19" spans="1:44" x14ac:dyDescent="0.15">
      <c r="A19" s="3" t="s">
        <v>133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E19" s="2"/>
      <c r="AF19" s="2"/>
      <c r="AG19" s="2"/>
      <c r="AL19" s="2"/>
      <c r="AM19" s="2"/>
      <c r="AN19" s="2"/>
      <c r="AO19" s="2"/>
      <c r="AP19" s="2"/>
      <c r="AQ19" s="2"/>
      <c r="AR19" s="2"/>
    </row>
    <row r="20" spans="1:44" x14ac:dyDescent="0.15">
      <c r="A20" t="s">
        <v>125</v>
      </c>
      <c r="F20" s="23">
        <f>F8/B8-1</f>
        <v>0.21790687554395127</v>
      </c>
      <c r="G20" s="23">
        <f t="shared" ref="G20:P29" si="8">G8/C8-1</f>
        <v>0.25793062555588486</v>
      </c>
      <c r="H20" s="23">
        <f t="shared" si="8"/>
        <v>0.25872259294566247</v>
      </c>
      <c r="I20" s="23">
        <f t="shared" si="8"/>
        <v>0.33537743997236147</v>
      </c>
      <c r="J20" s="23">
        <f t="shared" si="8"/>
        <v>0.34613666815542654</v>
      </c>
      <c r="K20" s="23">
        <f t="shared" si="8"/>
        <v>0.28698248094901402</v>
      </c>
      <c r="L20" s="23">
        <f t="shared" si="8"/>
        <v>0.29036655558921542</v>
      </c>
      <c r="M20" s="23">
        <f t="shared" si="8"/>
        <v>0.21796778992303212</v>
      </c>
      <c r="N20" s="23">
        <f t="shared" si="8"/>
        <v>0.22017252820172528</v>
      </c>
      <c r="O20" s="23">
        <f t="shared" si="8"/>
        <v>0.19606885606153091</v>
      </c>
      <c r="P20" s="23">
        <f t="shared" si="8"/>
        <v>0.18705247094729427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E20" s="2"/>
      <c r="AF20" s="2"/>
      <c r="AG20" s="2"/>
      <c r="AL20" s="2"/>
      <c r="AM20" s="2"/>
      <c r="AN20" s="2"/>
      <c r="AO20" s="2"/>
      <c r="AP20" s="2"/>
      <c r="AQ20" s="2"/>
      <c r="AR20" s="2"/>
    </row>
    <row r="21" spans="1:44" x14ac:dyDescent="0.15">
      <c r="A21" t="s">
        <v>124</v>
      </c>
      <c r="F21" s="23">
        <f t="shared" ref="F21:F29" si="9">F9/B9-1</f>
        <v>9.5913064020789029E-2</v>
      </c>
      <c r="G21" s="23">
        <f t="shared" si="8"/>
        <v>9.9966603584548563E-2</v>
      </c>
      <c r="H21" s="23">
        <f t="shared" si="8"/>
        <v>0.12286995515695076</v>
      </c>
      <c r="I21" s="23">
        <f t="shared" si="8"/>
        <v>0.19559628925896955</v>
      </c>
      <c r="J21" s="23">
        <f t="shared" si="8"/>
        <v>0.16490622979090319</v>
      </c>
      <c r="K21" s="23">
        <f t="shared" si="8"/>
        <v>0.13864993421718452</v>
      </c>
      <c r="L21" s="23">
        <f t="shared" si="8"/>
        <v>0.11461661341853024</v>
      </c>
      <c r="M21" s="23">
        <f t="shared" si="8"/>
        <v>8.8062073478545333E-2</v>
      </c>
      <c r="N21" s="23">
        <f t="shared" si="8"/>
        <v>6.8467801628423475E-2</v>
      </c>
      <c r="O21" s="23">
        <f t="shared" si="8"/>
        <v>5.2084259176962133E-2</v>
      </c>
      <c r="P21" s="23">
        <f t="shared" si="8"/>
        <v>0.11411680401289859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E21" s="2"/>
      <c r="AF21" s="2"/>
      <c r="AG21" s="2"/>
      <c r="AL21" s="2"/>
      <c r="AM21" s="2"/>
      <c r="AN21" s="2"/>
      <c r="AO21" s="2"/>
      <c r="AP21" s="2"/>
      <c r="AQ21" s="2"/>
      <c r="AR21" s="2"/>
    </row>
    <row r="22" spans="1:44" x14ac:dyDescent="0.15">
      <c r="A22" t="s">
        <v>90</v>
      </c>
      <c r="F22" s="23">
        <f t="shared" si="9"/>
        <v>-8.9669344292919728E-3</v>
      </c>
      <c r="G22" s="23">
        <f t="shared" si="8"/>
        <v>2.1991775433577665E-2</v>
      </c>
      <c r="H22" s="23">
        <f t="shared" si="8"/>
        <v>4.6551724137930961E-2</v>
      </c>
      <c r="I22" s="23">
        <f t="shared" si="8"/>
        <v>0.12350299401197606</v>
      </c>
      <c r="J22" s="23">
        <f t="shared" si="8"/>
        <v>6.9557021677662645E-2</v>
      </c>
      <c r="K22" s="23">
        <f t="shared" si="8"/>
        <v>0.15360391882435276</v>
      </c>
      <c r="L22" s="23">
        <f t="shared" si="8"/>
        <v>0.11239245835621459</v>
      </c>
      <c r="M22" s="23">
        <f t="shared" si="8"/>
        <v>6.8620919387075263E-2</v>
      </c>
      <c r="N22" s="23">
        <f t="shared" si="8"/>
        <v>-6.3623545999294984E-2</v>
      </c>
      <c r="O22" s="23">
        <f t="shared" si="8"/>
        <v>-0.2708522899605702</v>
      </c>
      <c r="P22" s="23">
        <f t="shared" si="8"/>
        <v>-0.12325160441007077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E22" s="2"/>
      <c r="AF22" s="2"/>
      <c r="AG22" s="2"/>
      <c r="AL22" s="2"/>
      <c r="AM22" s="2"/>
      <c r="AN22" s="2"/>
      <c r="AO22" s="2"/>
      <c r="AP22" s="2"/>
      <c r="AQ22" s="2"/>
      <c r="AR22" s="2"/>
    </row>
    <row r="23" spans="1:44" x14ac:dyDescent="0.15">
      <c r="A23" t="s">
        <v>126</v>
      </c>
      <c r="F23" s="23">
        <f t="shared" si="9"/>
        <v>0.21636506687647517</v>
      </c>
      <c r="G23" s="23">
        <f t="shared" si="8"/>
        <v>0.51217312894499556</v>
      </c>
      <c r="H23" s="23">
        <f t="shared" si="8"/>
        <v>0.5040442741592166</v>
      </c>
      <c r="I23" s="23">
        <f t="shared" si="8"/>
        <v>0.10634495084897222</v>
      </c>
      <c r="J23" s="23">
        <f t="shared" si="8"/>
        <v>0.16203104786545919</v>
      </c>
      <c r="K23" s="23">
        <f t="shared" si="8"/>
        <v>8.1693500298151367E-2</v>
      </c>
      <c r="L23" s="23">
        <f t="shared" si="8"/>
        <v>5.8590433059722669E-2</v>
      </c>
      <c r="M23" s="23">
        <f t="shared" si="8"/>
        <v>-6.9736133548734536E-2</v>
      </c>
      <c r="N23" s="23">
        <f t="shared" si="8"/>
        <v>4.7314222098524539E-3</v>
      </c>
      <c r="O23" s="23">
        <f t="shared" si="8"/>
        <v>-0.1256890848952591</v>
      </c>
      <c r="P23" s="23">
        <f t="shared" si="8"/>
        <v>-3.5561497326203173E-2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E23" s="2"/>
      <c r="AF23" s="2"/>
      <c r="AG23" s="2"/>
      <c r="AL23" s="2"/>
      <c r="AM23" s="2"/>
      <c r="AN23" s="2"/>
      <c r="AO23" s="2"/>
      <c r="AP23" s="2"/>
      <c r="AQ23" s="2"/>
      <c r="AR23" s="2"/>
    </row>
    <row r="24" spans="1:44" x14ac:dyDescent="0.15">
      <c r="A24" t="s">
        <v>127</v>
      </c>
      <c r="F24" s="23">
        <f t="shared" si="9"/>
        <v>0.15557883708748044</v>
      </c>
      <c r="G24" s="23">
        <f t="shared" si="8"/>
        <v>0.22597526165556614</v>
      </c>
      <c r="H24" s="23">
        <f t="shared" si="8"/>
        <v>0.29003021148036257</v>
      </c>
      <c r="I24" s="23">
        <f t="shared" si="8"/>
        <v>0.41538461538461546</v>
      </c>
      <c r="J24" s="23">
        <f t="shared" si="8"/>
        <v>0.4215775158658206</v>
      </c>
      <c r="K24" s="23">
        <f t="shared" si="8"/>
        <v>0.37019790454016288</v>
      </c>
      <c r="L24" s="23">
        <f t="shared" si="8"/>
        <v>0.34153005464480879</v>
      </c>
      <c r="M24" s="23">
        <f t="shared" si="8"/>
        <v>0.26086956521739135</v>
      </c>
      <c r="N24" s="23">
        <f t="shared" si="8"/>
        <v>0.16804846938775508</v>
      </c>
      <c r="O24" s="23">
        <f t="shared" si="8"/>
        <v>9.7706032285471478E-2</v>
      </c>
      <c r="P24" s="23">
        <f t="shared" si="8"/>
        <v>7.5647366889729506E-2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E24" s="2"/>
      <c r="AF24" s="2"/>
      <c r="AG24" s="2"/>
      <c r="AL24" s="2"/>
      <c r="AM24" s="2"/>
      <c r="AN24" s="2"/>
      <c r="AO24" s="2"/>
      <c r="AP24" s="2"/>
      <c r="AQ24" s="2"/>
      <c r="AR24" s="2"/>
    </row>
    <row r="25" spans="1:44" x14ac:dyDescent="0.15">
      <c r="A25" t="s">
        <v>128</v>
      </c>
      <c r="F25" s="23">
        <f t="shared" si="9"/>
        <v>-0.1014565544952285</v>
      </c>
      <c r="G25" s="23">
        <f t="shared" si="8"/>
        <v>9.7087378640776656E-3</v>
      </c>
      <c r="H25" s="23">
        <f t="shared" si="8"/>
        <v>0.17121951219512188</v>
      </c>
      <c r="I25" s="23">
        <f t="shared" si="8"/>
        <v>0.24698275862068964</v>
      </c>
      <c r="J25" s="23">
        <f t="shared" si="8"/>
        <v>0.48462828395751822</v>
      </c>
      <c r="K25" s="23">
        <f t="shared" si="8"/>
        <v>0.40293040293040283</v>
      </c>
      <c r="L25" s="23">
        <f t="shared" si="8"/>
        <v>0.2265722615576844</v>
      </c>
      <c r="M25" s="23">
        <f t="shared" si="8"/>
        <v>1.1406844106463865E-2</v>
      </c>
      <c r="N25" s="23">
        <f t="shared" si="8"/>
        <v>0.10240963855421681</v>
      </c>
      <c r="O25" s="23">
        <f t="shared" si="8"/>
        <v>5.1892950391644987E-2</v>
      </c>
      <c r="P25" s="23">
        <f t="shared" si="8"/>
        <v>3.395585738539908E-2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E25" s="2"/>
      <c r="AF25" s="2"/>
      <c r="AG25" s="2"/>
      <c r="AL25" s="2"/>
      <c r="AM25" s="2"/>
      <c r="AN25" s="2"/>
      <c r="AO25" s="2"/>
      <c r="AP25" s="2"/>
      <c r="AQ25" s="2"/>
      <c r="AR25" s="2"/>
    </row>
    <row r="26" spans="1:44" x14ac:dyDescent="0.15">
      <c r="A26" t="s">
        <v>129</v>
      </c>
      <c r="F26" s="23">
        <f t="shared" si="9"/>
        <v>5.9546925566343001E-2</v>
      </c>
      <c r="G26" s="23">
        <f t="shared" si="8"/>
        <v>3.515625E-2</v>
      </c>
      <c r="H26" s="23">
        <f t="shared" si="8"/>
        <v>0.10410287813839569</v>
      </c>
      <c r="I26" s="23">
        <f t="shared" si="8"/>
        <v>0.1690617075232459</v>
      </c>
      <c r="J26" s="23">
        <f t="shared" si="8"/>
        <v>9.4074526572999417E-2</v>
      </c>
      <c r="K26" s="23">
        <f t="shared" si="8"/>
        <v>-0.14009433962264151</v>
      </c>
      <c r="L26" s="23">
        <f t="shared" si="8"/>
        <v>4.8807542983915653E-2</v>
      </c>
      <c r="M26" s="23">
        <f t="shared" si="8"/>
        <v>0.37527114967462039</v>
      </c>
      <c r="N26" s="23">
        <f t="shared" si="8"/>
        <v>4.7459519821328788E-2</v>
      </c>
      <c r="O26" s="23">
        <f t="shared" si="8"/>
        <v>2.1393307734503653E-2</v>
      </c>
      <c r="P26" s="23">
        <f t="shared" si="8"/>
        <v>6.1343204653622418E-2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E26" s="2"/>
      <c r="AF26" s="2"/>
      <c r="AG26" s="2"/>
      <c r="AL26" s="2"/>
      <c r="AM26" s="2"/>
      <c r="AN26" s="2"/>
      <c r="AO26" s="2"/>
      <c r="AP26" s="2"/>
      <c r="AQ26" s="2"/>
      <c r="AR26" s="2"/>
    </row>
    <row r="27" spans="1:44" x14ac:dyDescent="0.15">
      <c r="A27" t="s">
        <v>130</v>
      </c>
      <c r="F27" s="23">
        <f t="shared" si="9"/>
        <v>0.34775374376039925</v>
      </c>
      <c r="G27" s="23">
        <f t="shared" si="8"/>
        <v>5.1488833746898166E-2</v>
      </c>
      <c r="H27" s="23">
        <f t="shared" si="8"/>
        <v>0.13243626062322944</v>
      </c>
      <c r="I27" s="23">
        <f t="shared" si="8"/>
        <v>-0.15867324069923805</v>
      </c>
      <c r="J27" s="23">
        <f t="shared" si="8"/>
        <v>-0.12716049382716055</v>
      </c>
      <c r="K27" s="23">
        <f t="shared" si="8"/>
        <v>0.39056047197640109</v>
      </c>
      <c r="L27" s="23">
        <f t="shared" si="8"/>
        <v>0.1031894934333959</v>
      </c>
      <c r="M27" s="23">
        <f t="shared" si="8"/>
        <v>-0.22429408630793823</v>
      </c>
      <c r="N27" s="23">
        <f t="shared" si="8"/>
        <v>2.4045261669024098E-2</v>
      </c>
      <c r="O27" s="23">
        <f>O15/K15-1</f>
        <v>-0.3932965634280865</v>
      </c>
      <c r="P27" s="23">
        <f>P15/L15-1</f>
        <v>-0.27324263038548757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E27" s="2"/>
      <c r="AF27" s="2"/>
      <c r="AG27" s="2"/>
      <c r="AL27" s="2"/>
      <c r="AM27" s="2"/>
      <c r="AN27" s="2"/>
      <c r="AO27" s="2"/>
      <c r="AP27" s="2"/>
      <c r="AQ27" s="2"/>
      <c r="AR27" s="2"/>
    </row>
    <row r="28" spans="1:44" x14ac:dyDescent="0.15">
      <c r="A28" t="s">
        <v>19</v>
      </c>
      <c r="F28" s="23">
        <f t="shared" si="9"/>
        <v>0.2070175438596491</v>
      </c>
      <c r="G28" s="23">
        <f t="shared" si="8"/>
        <v>0.19186652763295098</v>
      </c>
      <c r="H28" s="23">
        <f t="shared" si="8"/>
        <v>0.17065556711758578</v>
      </c>
      <c r="I28" s="23">
        <f t="shared" si="8"/>
        <v>0.18731117824773413</v>
      </c>
      <c r="J28" s="23">
        <f t="shared" si="8"/>
        <v>0.13856589147286824</v>
      </c>
      <c r="K28" s="23">
        <f t="shared" si="8"/>
        <v>0.12335958005249337</v>
      </c>
      <c r="L28" s="23">
        <f t="shared" si="8"/>
        <v>0.1591111111111112</v>
      </c>
      <c r="M28" s="23">
        <f t="shared" si="8"/>
        <v>0.29601357082273116</v>
      </c>
      <c r="N28" s="23">
        <f t="shared" si="8"/>
        <v>0.1472340425531915</v>
      </c>
      <c r="O28" s="23">
        <f t="shared" si="8"/>
        <v>5.8411214953270951E-2</v>
      </c>
      <c r="P28" s="23">
        <f t="shared" si="8"/>
        <v>9.5092024539877196E-2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E28" s="2"/>
      <c r="AF28" s="2"/>
      <c r="AG28" s="2"/>
      <c r="AL28" s="2"/>
      <c r="AM28" s="2"/>
      <c r="AN28" s="2"/>
      <c r="AO28" s="2"/>
      <c r="AP28" s="2"/>
      <c r="AQ28" s="2"/>
      <c r="AR28" s="2"/>
    </row>
    <row r="29" spans="1:44" x14ac:dyDescent="0.15">
      <c r="A29" t="s">
        <v>131</v>
      </c>
      <c r="F29" s="23">
        <f t="shared" si="9"/>
        <v>0.12400544546967174</v>
      </c>
      <c r="G29" s="23">
        <f t="shared" si="8"/>
        <v>0.16718148810491518</v>
      </c>
      <c r="H29" s="23">
        <f t="shared" si="8"/>
        <v>0.19088546871876866</v>
      </c>
      <c r="I29" s="23">
        <f t="shared" si="8"/>
        <v>0.21347251071437956</v>
      </c>
      <c r="J29" s="23">
        <f t="shared" si="8"/>
        <v>0.21970716477364483</v>
      </c>
      <c r="K29" s="23">
        <f t="shared" si="8"/>
        <v>0.2008543040208004</v>
      </c>
      <c r="L29" s="23">
        <f t="shared" si="8"/>
        <v>0.18352275451973332</v>
      </c>
      <c r="M29" s="23">
        <f t="shared" si="8"/>
        <v>0.12378661813139202</v>
      </c>
      <c r="N29" s="23">
        <f t="shared" si="8"/>
        <v>0.1060308493501334</v>
      </c>
      <c r="O29" s="23">
        <f t="shared" si="8"/>
        <v>1.9699195793380753E-2</v>
      </c>
      <c r="P29" s="23">
        <f>P17/L17-1</f>
        <v>7.4898703403565747E-2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E29" s="2"/>
      <c r="AF29" s="2"/>
      <c r="AG29" s="2"/>
      <c r="AL29" s="2"/>
      <c r="AM29" s="2"/>
      <c r="AN29" s="2"/>
      <c r="AO29" s="2"/>
      <c r="AP29" s="2"/>
      <c r="AQ29" s="2"/>
      <c r="AR29" s="2"/>
    </row>
    <row r="30" spans="1:44" x14ac:dyDescent="0.15">
      <c r="A30" s="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E30" s="2"/>
      <c r="AF30" s="2"/>
      <c r="AG30" s="2"/>
      <c r="AL30" s="2"/>
      <c r="AM30" s="2"/>
      <c r="AN30" s="2"/>
      <c r="AO30" s="2"/>
      <c r="AP30" s="2"/>
      <c r="AQ30" s="2"/>
      <c r="AR30" s="2"/>
    </row>
    <row r="31" spans="1:44" x14ac:dyDescent="0.15">
      <c r="A31" s="3" t="s">
        <v>134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E31" s="2"/>
      <c r="AF31" s="2"/>
      <c r="AG31" s="2"/>
      <c r="AL31" s="2"/>
      <c r="AM31" s="2"/>
      <c r="AN31" s="2"/>
      <c r="AO31" s="2"/>
      <c r="AP31" s="2"/>
      <c r="AQ31" s="2"/>
      <c r="AR31" s="2"/>
    </row>
    <row r="32" spans="1:44" x14ac:dyDescent="0.15">
      <c r="A32" t="s">
        <v>125</v>
      </c>
      <c r="C32" s="23">
        <f>C8/B8-1</f>
        <v>0.10084856396866848</v>
      </c>
      <c r="D32" s="23">
        <f t="shared" ref="D32:P32" si="10">D8/C8-1</f>
        <v>3.6663701946832772E-2</v>
      </c>
      <c r="E32" s="23">
        <f t="shared" si="10"/>
        <v>0.10371782650143002</v>
      </c>
      <c r="F32" s="23">
        <f t="shared" si="10"/>
        <v>-3.3079979271031235E-2</v>
      </c>
      <c r="G32" s="23">
        <f t="shared" si="10"/>
        <v>0.13702545779365782</v>
      </c>
      <c r="H32" s="23">
        <f t="shared" si="10"/>
        <v>3.7316364207714559E-2</v>
      </c>
      <c r="I32" s="23">
        <f t="shared" si="10"/>
        <v>0.17093305059073005</v>
      </c>
      <c r="J32" s="23">
        <f t="shared" si="10"/>
        <v>-2.528943794062477E-2</v>
      </c>
      <c r="K32" s="23">
        <f t="shared" si="10"/>
        <v>8.7060384870603746E-2</v>
      </c>
      <c r="L32" s="23">
        <f t="shared" si="10"/>
        <v>4.0043950677572937E-2</v>
      </c>
      <c r="M32" s="23">
        <f t="shared" si="10"/>
        <v>0.10523535626247216</v>
      </c>
      <c r="N32" s="23">
        <f t="shared" si="10"/>
        <v>-2.3525038500345152E-2</v>
      </c>
      <c r="O32" s="23">
        <f t="shared" si="10"/>
        <v>6.558625190341516E-2</v>
      </c>
      <c r="P32" s="23">
        <f t="shared" si="10"/>
        <v>3.2203735837501357E-2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E32" s="2"/>
      <c r="AF32" s="2"/>
      <c r="AG32" s="2"/>
      <c r="AL32" s="2"/>
      <c r="AM32" s="2"/>
      <c r="AN32" s="2"/>
      <c r="AO32" s="2"/>
      <c r="AP32" s="2"/>
      <c r="AQ32" s="2"/>
      <c r="AR32" s="2"/>
    </row>
    <row r="33" spans="1:44" x14ac:dyDescent="0.15">
      <c r="A33" t="s">
        <v>124</v>
      </c>
      <c r="C33" s="23">
        <f t="shared" ref="C33:P33" si="11">C9/B9-1</f>
        <v>6.1067800614221568E-2</v>
      </c>
      <c r="D33" s="23">
        <f t="shared" si="11"/>
        <v>-7.013247244795684E-3</v>
      </c>
      <c r="E33" s="23">
        <f t="shared" si="11"/>
        <v>3.0269058295964157E-3</v>
      </c>
      <c r="F33" s="23">
        <f t="shared" si="11"/>
        <v>3.6995640996982271E-2</v>
      </c>
      <c r="G33" s="23">
        <f t="shared" si="11"/>
        <v>6.4992455270532545E-2</v>
      </c>
      <c r="H33" s="23">
        <f t="shared" si="11"/>
        <v>1.3662584758627583E-2</v>
      </c>
      <c r="I33" s="23">
        <f t="shared" si="11"/>
        <v>6.7991214057508076E-2</v>
      </c>
      <c r="J33" s="23">
        <f t="shared" si="11"/>
        <v>1.03767411423763E-2</v>
      </c>
      <c r="K33" s="23">
        <f t="shared" si="11"/>
        <v>4.098815692079949E-2</v>
      </c>
      <c r="L33" s="23">
        <f t="shared" si="11"/>
        <v>-7.7326459870233899E-3</v>
      </c>
      <c r="M33" s="23">
        <f t="shared" si="11"/>
        <v>4.2547474023647336E-2</v>
      </c>
      <c r="N33" s="23">
        <f t="shared" si="11"/>
        <v>-7.8185411117793757E-3</v>
      </c>
      <c r="O33" s="23">
        <f t="shared" si="11"/>
        <v>2.502597852441979E-2</v>
      </c>
      <c r="P33" s="23">
        <f t="shared" si="11"/>
        <v>5.077299991551909E-2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E33" s="2"/>
      <c r="AF33" s="2"/>
      <c r="AG33" s="2"/>
      <c r="AL33" s="2"/>
      <c r="AM33" s="2"/>
      <c r="AN33" s="2"/>
      <c r="AO33" s="2"/>
      <c r="AP33" s="2"/>
      <c r="AQ33" s="2"/>
      <c r="AR33" s="2"/>
    </row>
    <row r="34" spans="1:44" x14ac:dyDescent="0.15">
      <c r="A34" t="s">
        <v>90</v>
      </c>
      <c r="C34" s="23">
        <f t="shared" ref="C34:P34" si="12">C10/B10-1</f>
        <v>4.4834672146459864E-2</v>
      </c>
      <c r="D34" s="23">
        <f t="shared" si="12"/>
        <v>-6.6690505989629889E-2</v>
      </c>
      <c r="E34" s="23">
        <f t="shared" si="12"/>
        <v>2.3754789272030674E-2</v>
      </c>
      <c r="F34" s="23">
        <f t="shared" si="12"/>
        <v>-7.2979041916167997E-3</v>
      </c>
      <c r="G34" s="23">
        <f t="shared" si="12"/>
        <v>7.7474081055607824E-2</v>
      </c>
      <c r="H34" s="23">
        <f t="shared" si="12"/>
        <v>-4.4261721483554894E-2</v>
      </c>
      <c r="I34" s="23">
        <f t="shared" si="12"/>
        <v>9.9029837085850225E-2</v>
      </c>
      <c r="J34" s="23">
        <f t="shared" si="12"/>
        <v>-5.4963357761492304E-2</v>
      </c>
      <c r="K34" s="23">
        <f t="shared" si="12"/>
        <v>0.16214310891787109</v>
      </c>
      <c r="L34" s="23">
        <f t="shared" si="12"/>
        <v>-7.8404610251744056E-2</v>
      </c>
      <c r="M34" s="23">
        <f t="shared" si="12"/>
        <v>5.5784103998683499E-2</v>
      </c>
      <c r="N34" s="23">
        <f t="shared" si="12"/>
        <v>-0.17191396508728185</v>
      </c>
      <c r="O34" s="23">
        <f t="shared" si="12"/>
        <v>-9.5049877658573312E-2</v>
      </c>
      <c r="P34" s="23">
        <f t="shared" si="12"/>
        <v>0.10815307820299491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E34" s="2"/>
      <c r="AF34" s="2"/>
      <c r="AG34" s="2"/>
      <c r="AL34" s="2"/>
      <c r="AM34" s="2"/>
      <c r="AN34" s="2"/>
      <c r="AO34" s="2"/>
      <c r="AP34" s="2"/>
      <c r="AQ34" s="2"/>
      <c r="AR34" s="2"/>
    </row>
    <row r="35" spans="1:44" x14ac:dyDescent="0.15">
      <c r="A35" t="s">
        <v>126</v>
      </c>
      <c r="C35" s="23">
        <f t="shared" ref="C35:P35" si="13">C11/B11-1</f>
        <v>0.30881195908733283</v>
      </c>
      <c r="D35" s="23">
        <f t="shared" si="13"/>
        <v>-0.29395852119026145</v>
      </c>
      <c r="E35" s="23">
        <f t="shared" si="13"/>
        <v>0.42911877394636022</v>
      </c>
      <c r="F35" s="23">
        <f t="shared" si="13"/>
        <v>-7.8939529341674142E-2</v>
      </c>
      <c r="G35" s="23">
        <f t="shared" si="13"/>
        <v>0.62710219922380328</v>
      </c>
      <c r="H35" s="23">
        <f t="shared" si="13"/>
        <v>-0.29775392566090242</v>
      </c>
      <c r="I35" s="23">
        <f t="shared" si="13"/>
        <v>5.1231248230965143E-2</v>
      </c>
      <c r="J35" s="23">
        <f t="shared" si="13"/>
        <v>-3.257942918686052E-2</v>
      </c>
      <c r="K35" s="23">
        <f t="shared" si="13"/>
        <v>0.51461174505983864</v>
      </c>
      <c r="L35" s="23">
        <f t="shared" si="13"/>
        <v>-0.312752664461595</v>
      </c>
      <c r="M35" s="23">
        <f t="shared" si="13"/>
        <v>-7.6203208556149704E-2</v>
      </c>
      <c r="N35" s="23">
        <f t="shared" si="13"/>
        <v>4.4862518089725079E-2</v>
      </c>
      <c r="O35" s="23">
        <f t="shared" si="13"/>
        <v>0.31800554016620497</v>
      </c>
      <c r="P35" s="23">
        <f t="shared" si="13"/>
        <v>-0.24190836485918454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E35" s="2"/>
      <c r="AF35" s="2"/>
      <c r="AG35" s="2"/>
      <c r="AL35" s="2"/>
      <c r="AM35" s="2"/>
      <c r="AN35" s="2"/>
      <c r="AO35" s="2"/>
      <c r="AP35" s="2"/>
      <c r="AQ35" s="2"/>
      <c r="AR35" s="2"/>
    </row>
    <row r="36" spans="1:44" x14ac:dyDescent="0.15">
      <c r="A36" t="s">
        <v>127</v>
      </c>
      <c r="C36" s="23">
        <f t="shared" ref="C36:P36" si="14">C12/B12-1</f>
        <v>0.10110005238344688</v>
      </c>
      <c r="D36" s="23">
        <f t="shared" si="14"/>
        <v>-5.5185537583254063E-2</v>
      </c>
      <c r="E36" s="23">
        <f t="shared" si="14"/>
        <v>4.733131923464251E-2</v>
      </c>
      <c r="F36" s="23">
        <f t="shared" si="14"/>
        <v>6.0576923076923084E-2</v>
      </c>
      <c r="G36" s="23">
        <f t="shared" si="14"/>
        <v>0.16817769718948328</v>
      </c>
      <c r="H36" s="23">
        <f t="shared" si="14"/>
        <v>-5.8207217694994373E-3</v>
      </c>
      <c r="I36" s="23">
        <f t="shared" si="14"/>
        <v>0.14910226385636216</v>
      </c>
      <c r="J36" s="23">
        <f t="shared" si="14"/>
        <v>6.5217391304347894E-2</v>
      </c>
      <c r="K36" s="23">
        <f t="shared" si="14"/>
        <v>0.12595663265306123</v>
      </c>
      <c r="L36" s="23">
        <f t="shared" si="14"/>
        <v>-2.6621353724157415E-2</v>
      </c>
      <c r="M36" s="23">
        <f t="shared" si="14"/>
        <v>8.0011638056444623E-2</v>
      </c>
      <c r="N36" s="23">
        <f t="shared" si="14"/>
        <v>-1.3200431034482762E-2</v>
      </c>
      <c r="O36" s="23">
        <f t="shared" si="14"/>
        <v>5.8149058149058241E-2</v>
      </c>
      <c r="P36" s="23">
        <f t="shared" si="14"/>
        <v>-4.6181630546955676E-2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E36" s="2"/>
      <c r="AF36" s="2"/>
      <c r="AG36" s="2"/>
      <c r="AL36" s="2"/>
      <c r="AM36" s="2"/>
      <c r="AN36" s="2"/>
      <c r="AO36" s="2"/>
      <c r="AP36" s="2"/>
      <c r="AQ36" s="2"/>
      <c r="AR36" s="2"/>
    </row>
    <row r="37" spans="1:44" x14ac:dyDescent="0.15">
      <c r="A37" t="s">
        <v>128</v>
      </c>
      <c r="C37" s="23">
        <f t="shared" ref="C37:P37" si="15">C13/B13-1</f>
        <v>8.6388749372174889E-2</v>
      </c>
      <c r="D37" s="23">
        <f t="shared" si="15"/>
        <v>-5.2242256125751285E-2</v>
      </c>
      <c r="E37" s="23">
        <f t="shared" si="15"/>
        <v>0.13170731707317063</v>
      </c>
      <c r="F37" s="23">
        <f t="shared" si="15"/>
        <v>-0.22887931034482756</v>
      </c>
      <c r="G37" s="23">
        <f t="shared" si="15"/>
        <v>0.22079373951928449</v>
      </c>
      <c r="H37" s="23">
        <f t="shared" si="15"/>
        <v>9.935897435897445E-2</v>
      </c>
      <c r="I37" s="23">
        <f t="shared" si="15"/>
        <v>0.20491461890878804</v>
      </c>
      <c r="J37" s="23">
        <f t="shared" si="15"/>
        <v>-8.1921880400967817E-2</v>
      </c>
      <c r="K37" s="23">
        <f t="shared" si="15"/>
        <v>0.15361445783132521</v>
      </c>
      <c r="L37" s="23">
        <f t="shared" si="15"/>
        <v>-3.8838120104438656E-2</v>
      </c>
      <c r="M37" s="23">
        <f t="shared" si="15"/>
        <v>-6.4516129032258229E-3</v>
      </c>
      <c r="N37" s="23">
        <f t="shared" si="15"/>
        <v>6.8352699931639727E-4</v>
      </c>
      <c r="O37" s="23">
        <f t="shared" si="15"/>
        <v>0.10075136612021862</v>
      </c>
      <c r="P37" s="23">
        <f t="shared" si="15"/>
        <v>-5.5228048402109819E-2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E37" s="2"/>
      <c r="AF37" s="2"/>
      <c r="AG37" s="2"/>
      <c r="AL37" s="2"/>
      <c r="AM37" s="2"/>
      <c r="AN37" s="2"/>
      <c r="AO37" s="2"/>
      <c r="AP37" s="2"/>
      <c r="AQ37" s="2"/>
      <c r="AR37" s="2"/>
    </row>
    <row r="38" spans="1:44" x14ac:dyDescent="0.15">
      <c r="A38" t="s">
        <v>129</v>
      </c>
      <c r="C38" s="23">
        <f t="shared" ref="C38:P38" si="16">C14/B14-1</f>
        <v>0.32556634304207122</v>
      </c>
      <c r="D38" s="23">
        <f t="shared" si="16"/>
        <v>-0.20263671875</v>
      </c>
      <c r="E38" s="23">
        <f t="shared" si="16"/>
        <v>-0.2755664421310472</v>
      </c>
      <c r="F38" s="23">
        <f t="shared" si="16"/>
        <v>0.38377007607776847</v>
      </c>
      <c r="G38" s="23">
        <f t="shared" si="16"/>
        <v>0.29505192425167981</v>
      </c>
      <c r="H38" s="23">
        <f t="shared" si="16"/>
        <v>-0.14952830188679245</v>
      </c>
      <c r="I38" s="23">
        <f t="shared" si="16"/>
        <v>-0.23294509151414311</v>
      </c>
      <c r="J38" s="23">
        <f t="shared" si="16"/>
        <v>0.2950108459869849</v>
      </c>
      <c r="K38" s="23">
        <f t="shared" si="16"/>
        <v>1.7867113344500307E-2</v>
      </c>
      <c r="L38" s="23">
        <f t="shared" si="16"/>
        <v>3.7301151947339628E-2</v>
      </c>
      <c r="M38" s="23">
        <f t="shared" si="16"/>
        <v>5.8170280274987274E-3</v>
      </c>
      <c r="N38" s="23">
        <f t="shared" si="16"/>
        <v>-1.3669821240799185E-2</v>
      </c>
      <c r="O38" s="23">
        <f t="shared" si="16"/>
        <v>-7.4626865671642006E-3</v>
      </c>
      <c r="P38" s="23">
        <f t="shared" si="16"/>
        <v>7.787325456498384E-2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E38" s="2"/>
      <c r="AF38" s="2"/>
      <c r="AG38" s="2"/>
      <c r="AL38" s="2"/>
      <c r="AM38" s="2"/>
      <c r="AN38" s="2"/>
      <c r="AO38" s="2"/>
      <c r="AP38" s="2"/>
      <c r="AQ38" s="2"/>
      <c r="AR38" s="2"/>
    </row>
    <row r="39" spans="1:44" x14ac:dyDescent="0.15">
      <c r="A39" t="s">
        <v>130</v>
      </c>
      <c r="C39" s="23">
        <f t="shared" ref="C39:P39" si="17">C15/B15-1</f>
        <v>0.34109816971713802</v>
      </c>
      <c r="D39" s="23">
        <f t="shared" si="17"/>
        <v>-0.12406947890818854</v>
      </c>
      <c r="E39" s="23">
        <f t="shared" si="17"/>
        <v>0.58002832861189813</v>
      </c>
      <c r="F39" s="23">
        <f t="shared" si="17"/>
        <v>-0.2738682205289108</v>
      </c>
      <c r="G39" s="23">
        <f t="shared" si="17"/>
        <v>4.629629629629628E-2</v>
      </c>
      <c r="H39" s="23">
        <f t="shared" si="17"/>
        <v>-5.663716814159292E-2</v>
      </c>
      <c r="I39" s="23">
        <f t="shared" si="17"/>
        <v>0.1738586616635398</v>
      </c>
      <c r="J39" s="23">
        <f t="shared" si="17"/>
        <v>-0.24667021843367076</v>
      </c>
      <c r="K39" s="23">
        <f t="shared" si="17"/>
        <v>0.66690240452616689</v>
      </c>
      <c r="L39" s="23">
        <f t="shared" si="17"/>
        <v>-0.25159100551548574</v>
      </c>
      <c r="M39" s="23">
        <f t="shared" si="17"/>
        <v>-0.17460317460317465</v>
      </c>
      <c r="N39" s="23">
        <f t="shared" si="17"/>
        <v>-5.494505494505475E-3</v>
      </c>
      <c r="O39" s="23">
        <f t="shared" si="17"/>
        <v>-1.2430939226519389E-2</v>
      </c>
      <c r="P39" s="23">
        <f t="shared" si="17"/>
        <v>-0.10349650349650352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E39" s="2"/>
      <c r="AF39" s="2"/>
      <c r="AG39" s="2"/>
      <c r="AL39" s="2"/>
      <c r="AM39" s="2"/>
      <c r="AN39" s="2"/>
      <c r="AO39" s="2"/>
      <c r="AP39" s="2"/>
      <c r="AQ39" s="2"/>
      <c r="AR39" s="2"/>
    </row>
    <row r="40" spans="1:44" x14ac:dyDescent="0.15">
      <c r="A40" t="s">
        <v>19</v>
      </c>
      <c r="C40" s="23">
        <f t="shared" ref="C40:P40" si="18">C16/B16-1</f>
        <v>0.12163742690058488</v>
      </c>
      <c r="D40" s="23">
        <f t="shared" si="18"/>
        <v>2.0855057351407691E-3</v>
      </c>
      <c r="E40" s="23">
        <f t="shared" si="18"/>
        <v>3.3298647242455681E-2</v>
      </c>
      <c r="F40" s="23">
        <f t="shared" si="18"/>
        <v>3.92749244712991E-2</v>
      </c>
      <c r="G40" s="23">
        <f t="shared" si="18"/>
        <v>0.10755813953488369</v>
      </c>
      <c r="H40" s="23">
        <f t="shared" si="18"/>
        <v>-1.5748031496062964E-2</v>
      </c>
      <c r="I40" s="23">
        <f t="shared" si="18"/>
        <v>4.8000000000000043E-2</v>
      </c>
      <c r="J40" s="23">
        <f t="shared" si="18"/>
        <v>-3.392705682782049E-3</v>
      </c>
      <c r="K40" s="23">
        <f t="shared" si="18"/>
        <v>9.2765957446808489E-2</v>
      </c>
      <c r="L40" s="23">
        <f t="shared" si="18"/>
        <v>1.5576323987538832E-2</v>
      </c>
      <c r="M40" s="23">
        <f t="shared" si="18"/>
        <v>0.17177914110429437</v>
      </c>
      <c r="N40" s="23">
        <f t="shared" si="18"/>
        <v>-0.11780104712041883</v>
      </c>
      <c r="O40" s="23">
        <f t="shared" si="18"/>
        <v>8.1602373887239565E-3</v>
      </c>
      <c r="P40" s="23">
        <f t="shared" si="18"/>
        <v>5.0772626931567366E-2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E40" s="2"/>
      <c r="AF40" s="2"/>
      <c r="AG40" s="2"/>
      <c r="AL40" s="2"/>
      <c r="AM40" s="2"/>
      <c r="AN40" s="2"/>
      <c r="AO40" s="2"/>
      <c r="AP40" s="2"/>
      <c r="AQ40" s="2"/>
      <c r="AR40" s="2"/>
    </row>
    <row r="41" spans="1:44" x14ac:dyDescent="0.15">
      <c r="A41" t="s">
        <v>131</v>
      </c>
      <c r="C41" s="23">
        <f t="shared" ref="C41:P41" si="19">C17/B17-1</f>
        <v>0.11650279836635913</v>
      </c>
      <c r="D41" s="23">
        <f t="shared" si="19"/>
        <v>-5.1075705847287711E-2</v>
      </c>
      <c r="E41" s="23">
        <f t="shared" si="19"/>
        <v>8.6005539533422715E-2</v>
      </c>
      <c r="F41" s="23">
        <f t="shared" si="19"/>
        <v>-2.3111508426892469E-2</v>
      </c>
      <c r="G41" s="23">
        <f t="shared" si="19"/>
        <v>0.15939064434515804</v>
      </c>
      <c r="H41" s="23">
        <f t="shared" si="19"/>
        <v>-3.1804252948277489E-2</v>
      </c>
      <c r="I41" s="23">
        <f t="shared" si="19"/>
        <v>0.10660336642209756</v>
      </c>
      <c r="J41" s="23">
        <f t="shared" si="19"/>
        <v>-1.8092390362281163E-2</v>
      </c>
      <c r="K41" s="23">
        <f t="shared" si="19"/>
        <v>0.14147008848776399</v>
      </c>
      <c r="L41" s="23">
        <f t="shared" si="19"/>
        <v>-4.5777915248994772E-2</v>
      </c>
      <c r="M41" s="23">
        <f t="shared" si="19"/>
        <v>5.0749594813614296E-2</v>
      </c>
      <c r="N41" s="23">
        <f t="shared" si="19"/>
        <v>-3.3606478357273706E-2</v>
      </c>
      <c r="O41" s="23">
        <f t="shared" si="19"/>
        <v>5.2372211803200175E-2</v>
      </c>
      <c r="P41" s="23">
        <f t="shared" si="19"/>
        <v>5.8771114944926595E-3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E41" s="2"/>
      <c r="AF41" s="2"/>
      <c r="AG41" s="2"/>
      <c r="AL41" s="2"/>
      <c r="AM41" s="2"/>
      <c r="AN41" s="2"/>
      <c r="AO41" s="2"/>
      <c r="AP41" s="2"/>
      <c r="AQ41" s="2"/>
      <c r="AR41" s="2"/>
    </row>
    <row r="42" spans="1:44" x14ac:dyDescent="0.15">
      <c r="A42" s="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E42" s="2"/>
      <c r="AF42" s="2"/>
      <c r="AG42" s="2"/>
      <c r="AL42" s="2"/>
      <c r="AM42" s="2"/>
      <c r="AN42" s="2"/>
      <c r="AO42" s="2"/>
      <c r="AP42" s="2"/>
      <c r="AQ42" s="2"/>
      <c r="AR42" s="2"/>
    </row>
    <row r="43" spans="1:44" x14ac:dyDescent="0.15">
      <c r="A43" s="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E43" s="2"/>
      <c r="AF43" s="2"/>
      <c r="AG43" s="2"/>
      <c r="AL43" s="2"/>
      <c r="AM43" s="2"/>
      <c r="AN43" s="2"/>
      <c r="AO43" s="2"/>
      <c r="AP43" s="2"/>
      <c r="AQ43" s="2"/>
      <c r="AR43" s="2"/>
    </row>
    <row r="44" spans="1:44" x14ac:dyDescent="0.15">
      <c r="A44" s="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E44" s="2"/>
      <c r="AF44" s="2"/>
      <c r="AG44" s="2"/>
      <c r="AL44" s="2"/>
      <c r="AM44" s="2"/>
      <c r="AN44" s="2"/>
      <c r="AO44" s="2"/>
      <c r="AP44" s="2"/>
      <c r="AQ44" s="2"/>
      <c r="AR44" s="2"/>
    </row>
    <row r="45" spans="1:44" x14ac:dyDescent="0.15">
      <c r="A45" s="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E45" s="2"/>
      <c r="AF45" s="2"/>
      <c r="AG45" s="2"/>
      <c r="AL45" s="2"/>
      <c r="AM45" s="2"/>
      <c r="AN45" s="2"/>
      <c r="AO45" s="2"/>
      <c r="AP45" s="2"/>
      <c r="AQ45" s="2"/>
      <c r="AR45" s="2"/>
    </row>
    <row r="46" spans="1:44" x14ac:dyDescent="0.15">
      <c r="A46" t="s">
        <v>68</v>
      </c>
      <c r="M46" s="2">
        <f>+I46+768</f>
        <v>768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44" x14ac:dyDescent="0.15"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44" s="4" customFormat="1" x14ac:dyDescent="0.15">
      <c r="A48" s="4" t="s">
        <v>59</v>
      </c>
      <c r="B48" s="5"/>
      <c r="C48" s="5"/>
      <c r="D48" s="5"/>
      <c r="E48" s="5">
        <v>11752</v>
      </c>
      <c r="F48" s="5">
        <v>12319</v>
      </c>
      <c r="G48" s="5">
        <v>13353</v>
      </c>
      <c r="H48" s="5">
        <v>13552</v>
      </c>
      <c r="I48" s="5">
        <v>14691</v>
      </c>
      <c r="J48" s="5">
        <v>15039</v>
      </c>
      <c r="K48" s="5">
        <v>15936</v>
      </c>
      <c r="L48" s="5">
        <v>15789</v>
      </c>
      <c r="M48" s="5">
        <v>16600</v>
      </c>
      <c r="N48" s="4">
        <v>16465</v>
      </c>
      <c r="O48" s="4">
        <v>17002</v>
      </c>
      <c r="P48" s="4">
        <v>17516</v>
      </c>
      <c r="AH48" s="5"/>
      <c r="AI48" s="5">
        <f>SUM(F48:I48)</f>
        <v>53915</v>
      </c>
      <c r="AJ48" s="5">
        <f>SUM(J48:M48)</f>
        <v>63364</v>
      </c>
      <c r="AK48" s="5"/>
    </row>
    <row r="49" spans="1:37" s="4" customFormat="1" x14ac:dyDescent="0.15">
      <c r="A49" s="4" t="s">
        <v>58</v>
      </c>
      <c r="B49" s="5"/>
      <c r="C49" s="5"/>
      <c r="D49" s="5"/>
      <c r="E49" s="5">
        <v>13371</v>
      </c>
      <c r="F49" s="5">
        <v>12986</v>
      </c>
      <c r="G49" s="5">
        <v>14601</v>
      </c>
      <c r="H49" s="5">
        <v>15118</v>
      </c>
      <c r="I49" s="5">
        <v>17375</v>
      </c>
      <c r="J49" s="5">
        <v>16912</v>
      </c>
      <c r="K49" s="5">
        <v>18327</v>
      </c>
      <c r="L49" s="5">
        <v>19051</v>
      </c>
      <c r="M49" s="5">
        <v>20909</v>
      </c>
      <c r="N49" s="4">
        <v>20325</v>
      </c>
      <c r="O49" s="4">
        <v>21508</v>
      </c>
      <c r="P49" s="4">
        <v>22081</v>
      </c>
      <c r="AH49" s="5"/>
      <c r="AI49" s="5">
        <f>SUM(F49:I49)</f>
        <v>60080</v>
      </c>
      <c r="AJ49" s="5">
        <f>SUM(J49:M49)</f>
        <v>75199</v>
      </c>
      <c r="AK49" s="5"/>
    </row>
    <row r="50" spans="1:37" s="4" customFormat="1" x14ac:dyDescent="0.15">
      <c r="A50" s="4" t="s">
        <v>60</v>
      </c>
      <c r="B50" s="5"/>
      <c r="C50" s="5"/>
      <c r="D50" s="5"/>
      <c r="E50" s="5">
        <v>12910</v>
      </c>
      <c r="F50" s="5">
        <v>11849</v>
      </c>
      <c r="G50" s="5">
        <v>15122</v>
      </c>
      <c r="H50" s="5">
        <v>13036</v>
      </c>
      <c r="I50" s="5">
        <v>14086</v>
      </c>
      <c r="J50" s="5">
        <v>13366</v>
      </c>
      <c r="K50" s="5">
        <v>17465</v>
      </c>
      <c r="L50" s="5">
        <v>14520</v>
      </c>
      <c r="M50" s="5">
        <v>14356</v>
      </c>
      <c r="N50" s="4">
        <v>13332</v>
      </c>
      <c r="O50" s="4">
        <v>14237</v>
      </c>
      <c r="P50" s="4">
        <v>13260</v>
      </c>
      <c r="AH50" s="5"/>
      <c r="AI50" s="5">
        <f>SUM(F50:I50)</f>
        <v>54093</v>
      </c>
      <c r="AJ50" s="5">
        <f>SUM(J50:M50)</f>
        <v>59707</v>
      </c>
      <c r="AK50" s="5"/>
    </row>
    <row r="51" spans="1:37" s="4" customFormat="1" x14ac:dyDescent="0.1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AH51" s="5"/>
      <c r="AI51" s="5"/>
      <c r="AJ51" s="5"/>
      <c r="AK51" s="5"/>
    </row>
    <row r="52" spans="1:37" s="4" customFormat="1" x14ac:dyDescent="0.15">
      <c r="A52" s="4" t="s">
        <v>119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AH52" s="5"/>
      <c r="AI52" s="5"/>
      <c r="AJ52" s="5"/>
      <c r="AK52" s="5"/>
    </row>
    <row r="53" spans="1:37" s="4" customFormat="1" x14ac:dyDescent="0.15">
      <c r="A53" s="4" t="s">
        <v>59</v>
      </c>
      <c r="B53" s="5"/>
      <c r="C53" s="5"/>
      <c r="D53" s="5"/>
      <c r="E53" s="5"/>
      <c r="F53" s="5"/>
      <c r="G53" s="5"/>
      <c r="H53" s="5"/>
      <c r="I53" s="17">
        <f>I48/E48-1</f>
        <v>0.25008509189925121</v>
      </c>
      <c r="J53" s="17">
        <f t="shared" ref="J53:P55" si="20">J48/F48-1</f>
        <v>0.22079714262521311</v>
      </c>
      <c r="K53" s="17">
        <f t="shared" si="20"/>
        <v>0.19343967647719618</v>
      </c>
      <c r="L53" s="17">
        <f t="shared" si="20"/>
        <v>0.16506788665879579</v>
      </c>
      <c r="M53" s="17">
        <f t="shared" si="20"/>
        <v>0.12994350282485878</v>
      </c>
      <c r="N53" s="17">
        <f t="shared" si="20"/>
        <v>9.4820134317441296E-2</v>
      </c>
      <c r="O53" s="17">
        <f t="shared" si="20"/>
        <v>6.6892570281124497E-2</v>
      </c>
      <c r="P53" s="17">
        <f t="shared" si="20"/>
        <v>0.10937994806510853</v>
      </c>
      <c r="AH53" s="5"/>
      <c r="AI53" s="5"/>
      <c r="AJ53" s="5"/>
      <c r="AK53" s="5"/>
    </row>
    <row r="54" spans="1:37" s="4" customFormat="1" x14ac:dyDescent="0.15">
      <c r="A54" s="4" t="s">
        <v>58</v>
      </c>
      <c r="B54" s="5"/>
      <c r="C54" s="5"/>
      <c r="D54" s="5"/>
      <c r="E54" s="5"/>
      <c r="F54" s="5"/>
      <c r="G54" s="5"/>
      <c r="H54" s="5"/>
      <c r="I54" s="17">
        <f t="shared" ref="I54:I55" si="21">I49/E49-1</f>
        <v>0.29945404233041661</v>
      </c>
      <c r="J54" s="17">
        <f t="shared" si="20"/>
        <v>0.30232558139534893</v>
      </c>
      <c r="K54" s="17">
        <f t="shared" si="20"/>
        <v>0.25518800082186144</v>
      </c>
      <c r="L54" s="17">
        <f t="shared" si="20"/>
        <v>0.2601534594523085</v>
      </c>
      <c r="M54" s="17">
        <f t="shared" si="20"/>
        <v>0.20339568345323733</v>
      </c>
      <c r="N54" s="17">
        <f t="shared" si="20"/>
        <v>0.20180936613055822</v>
      </c>
      <c r="O54" s="17">
        <f t="shared" si="20"/>
        <v>0.17356905112675292</v>
      </c>
      <c r="P54" s="17">
        <f t="shared" si="20"/>
        <v>0.15904676919846716</v>
      </c>
      <c r="AH54" s="5"/>
      <c r="AI54" s="5"/>
      <c r="AJ54" s="5"/>
      <c r="AK54" s="5"/>
    </row>
    <row r="55" spans="1:37" s="4" customFormat="1" x14ac:dyDescent="0.15">
      <c r="A55" s="4" t="s">
        <v>60</v>
      </c>
      <c r="B55" s="5"/>
      <c r="C55" s="5"/>
      <c r="D55" s="5"/>
      <c r="E55" s="5"/>
      <c r="F55" s="5"/>
      <c r="G55" s="5"/>
      <c r="H55" s="5"/>
      <c r="I55" s="17">
        <f t="shared" si="21"/>
        <v>9.1092176607281194E-2</v>
      </c>
      <c r="J55" s="17">
        <f t="shared" si="20"/>
        <v>0.12802768166089962</v>
      </c>
      <c r="K55" s="17">
        <f t="shared" si="20"/>
        <v>0.15493982277476515</v>
      </c>
      <c r="L55" s="17">
        <f t="shared" si="20"/>
        <v>0.11383860079779073</v>
      </c>
      <c r="M55" s="17">
        <f t="shared" si="20"/>
        <v>1.9167968195371365E-2</v>
      </c>
      <c r="N55" s="17">
        <f t="shared" si="20"/>
        <v>-2.5437677689660321E-3</v>
      </c>
      <c r="O55" s="17">
        <f t="shared" si="20"/>
        <v>-0.18482679645004296</v>
      </c>
      <c r="P55" s="17">
        <f t="shared" si="20"/>
        <v>-8.6776859504132275E-2</v>
      </c>
      <c r="AH55" s="5"/>
      <c r="AI55" s="5"/>
      <c r="AJ55" s="5"/>
      <c r="AK55" s="5"/>
    </row>
    <row r="56" spans="1:37" s="4" customFormat="1" x14ac:dyDescent="0.1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AH56" s="5"/>
      <c r="AI56" s="5"/>
      <c r="AJ56" s="5"/>
      <c r="AK56" s="5"/>
    </row>
    <row r="57" spans="1:37" s="4" customFormat="1" x14ac:dyDescent="0.15">
      <c r="A57" s="4" t="s">
        <v>120</v>
      </c>
      <c r="B57" s="5"/>
      <c r="C57" s="5"/>
      <c r="D57" s="5"/>
      <c r="E57" s="5"/>
      <c r="G57" s="5"/>
      <c r="H57" s="5"/>
      <c r="I57" s="5"/>
      <c r="J57" s="5"/>
      <c r="K57" s="5"/>
      <c r="L57" s="5"/>
      <c r="M57" s="5"/>
      <c r="AH57" s="5"/>
      <c r="AI57" s="5"/>
      <c r="AJ57" s="5"/>
      <c r="AK57" s="5"/>
    </row>
    <row r="58" spans="1:37" s="4" customFormat="1" x14ac:dyDescent="0.15">
      <c r="A58" s="4" t="s">
        <v>59</v>
      </c>
      <c r="B58" s="5"/>
      <c r="C58" s="5"/>
      <c r="D58" s="5"/>
      <c r="E58" s="5"/>
      <c r="F58" s="17">
        <f>F48/E48-1</f>
        <v>4.8247106875425549E-2</v>
      </c>
      <c r="G58" s="17">
        <f t="shared" ref="G58:P58" si="22">G48/F48-1</f>
        <v>8.3935384365614096E-2</v>
      </c>
      <c r="H58" s="17">
        <f t="shared" si="22"/>
        <v>1.490301804837868E-2</v>
      </c>
      <c r="I58" s="17">
        <f t="shared" si="22"/>
        <v>8.404663518299893E-2</v>
      </c>
      <c r="J58" s="17">
        <f t="shared" si="22"/>
        <v>2.3687972227894649E-2</v>
      </c>
      <c r="K58" s="17">
        <f t="shared" si="22"/>
        <v>5.9644923199680733E-2</v>
      </c>
      <c r="L58" s="17">
        <f t="shared" si="22"/>
        <v>-9.2243975903614217E-3</v>
      </c>
      <c r="M58" s="17">
        <f t="shared" si="22"/>
        <v>5.1364874279561823E-2</v>
      </c>
      <c r="N58" s="17">
        <f t="shared" si="22"/>
        <v>-8.1325301204818734E-3</v>
      </c>
      <c r="O58" s="17">
        <f t="shared" si="22"/>
        <v>3.261463710901924E-2</v>
      </c>
      <c r="P58" s="17">
        <f t="shared" si="22"/>
        <v>3.0231737442653728E-2</v>
      </c>
      <c r="AH58" s="5"/>
      <c r="AI58" s="5"/>
      <c r="AJ58" s="5"/>
      <c r="AK58" s="5"/>
    </row>
    <row r="59" spans="1:37" s="4" customFormat="1" x14ac:dyDescent="0.15">
      <c r="A59" s="4" t="s">
        <v>58</v>
      </c>
      <c r="B59" s="5"/>
      <c r="C59" s="5"/>
      <c r="D59" s="5"/>
      <c r="E59" s="5"/>
      <c r="F59" s="17">
        <f t="shared" ref="F59:P60" si="23">F49/E49-1</f>
        <v>-2.8793657916386217E-2</v>
      </c>
      <c r="G59" s="17">
        <f t="shared" si="23"/>
        <v>0.12436470044663483</v>
      </c>
      <c r="H59" s="17">
        <f t="shared" si="23"/>
        <v>3.5408533662077968E-2</v>
      </c>
      <c r="I59" s="17">
        <f t="shared" si="23"/>
        <v>0.14929223442254269</v>
      </c>
      <c r="J59" s="17">
        <f t="shared" si="23"/>
        <v>-2.6647482014388491E-2</v>
      </c>
      <c r="K59" s="17">
        <f t="shared" si="23"/>
        <v>8.3668401135288617E-2</v>
      </c>
      <c r="L59" s="17">
        <f t="shared" si="23"/>
        <v>3.9504556119386747E-2</v>
      </c>
      <c r="M59" s="17">
        <f t="shared" si="23"/>
        <v>9.7527688835231663E-2</v>
      </c>
      <c r="N59" s="17">
        <f t="shared" si="23"/>
        <v>-2.7930556219809666E-2</v>
      </c>
      <c r="O59" s="17">
        <f t="shared" si="23"/>
        <v>5.8204182041820429E-2</v>
      </c>
      <c r="P59" s="17">
        <f t="shared" si="23"/>
        <v>2.6641249767528352E-2</v>
      </c>
      <c r="AH59" s="5"/>
      <c r="AI59" s="5"/>
      <c r="AJ59" s="5"/>
      <c r="AK59" s="5"/>
    </row>
    <row r="60" spans="1:37" s="4" customFormat="1" x14ac:dyDescent="0.15">
      <c r="A60" s="4" t="s">
        <v>60</v>
      </c>
      <c r="B60" s="5"/>
      <c r="C60" s="5"/>
      <c r="D60" s="5"/>
      <c r="E60" s="5"/>
      <c r="F60" s="17">
        <f t="shared" si="23"/>
        <v>-8.21843532145623E-2</v>
      </c>
      <c r="G60" s="17">
        <f t="shared" si="23"/>
        <v>0.27622584184319354</v>
      </c>
      <c r="H60" s="17">
        <f t="shared" si="23"/>
        <v>-0.13794471630736671</v>
      </c>
      <c r="I60" s="17">
        <f t="shared" si="23"/>
        <v>8.0546179809757534E-2</v>
      </c>
      <c r="J60" s="17">
        <f t="shared" si="23"/>
        <v>-5.1114581854323493E-2</v>
      </c>
      <c r="K60" s="17">
        <f t="shared" si="23"/>
        <v>0.30667364955858156</v>
      </c>
      <c r="L60" s="17">
        <f t="shared" si="23"/>
        <v>-0.16862296020612655</v>
      </c>
      <c r="M60" s="17">
        <f t="shared" si="23"/>
        <v>-1.1294765840220378E-2</v>
      </c>
      <c r="N60" s="17">
        <f t="shared" si="23"/>
        <v>-7.1329061019782647E-2</v>
      </c>
      <c r="O60" s="17">
        <f t="shared" si="23"/>
        <v>6.7881788178817848E-2</v>
      </c>
      <c r="P60" s="17">
        <f t="shared" si="23"/>
        <v>-6.8624007866825876E-2</v>
      </c>
      <c r="AH60" s="5"/>
      <c r="AI60" s="5"/>
      <c r="AJ60" s="5"/>
      <c r="AK60" s="5"/>
    </row>
    <row r="61" spans="1:37" s="4" customFormat="1" x14ac:dyDescent="0.1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AH61" s="5"/>
      <c r="AI61" s="5"/>
      <c r="AJ61" s="5"/>
      <c r="AK61" s="5"/>
    </row>
    <row r="62" spans="1:37" x14ac:dyDescent="0.15">
      <c r="A62" s="4" t="s">
        <v>121</v>
      </c>
      <c r="E62" s="5">
        <f>E74</f>
        <v>18147</v>
      </c>
      <c r="F62" s="5">
        <f t="shared" ref="F62:N62" si="24">F74</f>
        <v>15803</v>
      </c>
      <c r="G62" s="5">
        <f t="shared" si="24"/>
        <v>19460</v>
      </c>
      <c r="H62" s="5">
        <f t="shared" si="24"/>
        <v>16873</v>
      </c>
      <c r="I62" s="5">
        <f t="shared" si="24"/>
        <v>18938</v>
      </c>
      <c r="J62" s="5">
        <f t="shared" si="24"/>
        <v>16631</v>
      </c>
      <c r="K62" s="5">
        <f t="shared" si="24"/>
        <v>20779</v>
      </c>
      <c r="L62" s="5">
        <f t="shared" si="24"/>
        <v>17366</v>
      </c>
      <c r="M62" s="5">
        <f t="shared" si="24"/>
        <v>17956</v>
      </c>
      <c r="N62" s="5">
        <f t="shared" si="24"/>
        <v>15741</v>
      </c>
      <c r="O62" s="5">
        <f>O74</f>
        <v>16517</v>
      </c>
      <c r="P62" s="5">
        <f>P74</f>
        <v>15588</v>
      </c>
    </row>
    <row r="63" spans="1:37" x14ac:dyDescent="0.15">
      <c r="A63" s="4" t="s">
        <v>9</v>
      </c>
      <c r="E63" s="5">
        <f>E75</f>
        <v>19886</v>
      </c>
      <c r="F63" s="5">
        <f t="shared" ref="F63:O63" si="25">F75</f>
        <v>21351</v>
      </c>
      <c r="G63" s="5">
        <f t="shared" si="25"/>
        <v>23616</v>
      </c>
      <c r="H63" s="5">
        <f t="shared" si="25"/>
        <v>24833</v>
      </c>
      <c r="I63" s="5">
        <f t="shared" si="25"/>
        <v>27214</v>
      </c>
      <c r="J63" s="5">
        <f t="shared" si="25"/>
        <v>28686</v>
      </c>
      <c r="K63" s="5">
        <f t="shared" si="25"/>
        <v>30949</v>
      </c>
      <c r="L63" s="5">
        <f t="shared" si="25"/>
        <v>31994</v>
      </c>
      <c r="M63" s="5">
        <f t="shared" si="25"/>
        <v>33909</v>
      </c>
      <c r="N63" s="5">
        <f t="shared" si="25"/>
        <v>34381</v>
      </c>
      <c r="O63" s="5">
        <f t="shared" si="25"/>
        <v>36230</v>
      </c>
      <c r="P63" s="5">
        <f t="shared" ref="P63" si="26">P75</f>
        <v>37269</v>
      </c>
    </row>
    <row r="64" spans="1:37" x14ac:dyDescent="0.15">
      <c r="A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1:44" x14ac:dyDescent="0.15">
      <c r="A65" s="4" t="s">
        <v>119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44" x14ac:dyDescent="0.15">
      <c r="A66" s="4" t="s">
        <v>121</v>
      </c>
      <c r="E66" s="5"/>
      <c r="F66" s="5"/>
      <c r="G66" s="5"/>
      <c r="H66" s="5"/>
      <c r="I66" s="17">
        <f>I62/E62-1</f>
        <v>4.3588471923734051E-2</v>
      </c>
      <c r="J66" s="17">
        <f t="shared" ref="J66:N66" si="27">J62/F62-1</f>
        <v>5.2395114851610414E-2</v>
      </c>
      <c r="K66" s="17">
        <f t="shared" si="27"/>
        <v>6.7780061664953761E-2</v>
      </c>
      <c r="L66" s="17">
        <f t="shared" si="27"/>
        <v>2.9218277721803965E-2</v>
      </c>
      <c r="M66" s="17">
        <f t="shared" si="27"/>
        <v>-5.1853416411447917E-2</v>
      </c>
      <c r="N66" s="17">
        <f t="shared" si="27"/>
        <v>-5.3514521075100685E-2</v>
      </c>
      <c r="O66" s="17">
        <f>O62/K62-1</f>
        <v>-0.20511092930362385</v>
      </c>
      <c r="P66" s="17">
        <f>P62/L62-1</f>
        <v>-0.10238396867442123</v>
      </c>
    </row>
    <row r="67" spans="1:44" x14ac:dyDescent="0.15">
      <c r="A67" s="4" t="s">
        <v>9</v>
      </c>
      <c r="E67" s="5"/>
      <c r="F67" s="5"/>
      <c r="G67" s="5"/>
      <c r="H67" s="5"/>
      <c r="I67" s="17">
        <f>I63/E63-1</f>
        <v>0.36850045257970421</v>
      </c>
      <c r="J67" s="17">
        <f t="shared" ref="J67:N67" si="28">J63/F63-1</f>
        <v>0.34354362793311788</v>
      </c>
      <c r="K67" s="17">
        <f t="shared" si="28"/>
        <v>0.31050982384823844</v>
      </c>
      <c r="L67" s="17">
        <f t="shared" si="28"/>
        <v>0.2883662867957959</v>
      </c>
      <c r="M67" s="17">
        <f t="shared" si="28"/>
        <v>0.24601308150216794</v>
      </c>
      <c r="N67" s="17">
        <f t="shared" si="28"/>
        <v>0.19852889911455063</v>
      </c>
      <c r="O67" s="17">
        <f>O63/K63-1</f>
        <v>0.17063556173058902</v>
      </c>
      <c r="P67" s="17">
        <f>P63/L63-1</f>
        <v>0.16487466399950002</v>
      </c>
    </row>
    <row r="68" spans="1:44" x14ac:dyDescent="0.15">
      <c r="A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44" x14ac:dyDescent="0.15">
      <c r="A69" s="4" t="s">
        <v>120</v>
      </c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1:44" x14ac:dyDescent="0.15">
      <c r="A70" s="4" t="s">
        <v>121</v>
      </c>
      <c r="E70" s="5"/>
      <c r="F70" s="17">
        <f>F62/E62-1</f>
        <v>-0.1291673554857552</v>
      </c>
      <c r="G70" s="17">
        <f t="shared" ref="G70:N70" si="29">G62/F62-1</f>
        <v>0.23141175726127949</v>
      </c>
      <c r="H70" s="17">
        <f t="shared" si="29"/>
        <v>-0.13293936279547791</v>
      </c>
      <c r="I70" s="17">
        <f t="shared" si="29"/>
        <v>0.12238487524447339</v>
      </c>
      <c r="J70" s="17">
        <f t="shared" si="29"/>
        <v>-0.12181856584644635</v>
      </c>
      <c r="K70" s="17">
        <f t="shared" si="29"/>
        <v>0.24941374541518857</v>
      </c>
      <c r="L70" s="17">
        <f t="shared" si="29"/>
        <v>-0.16425237018143313</v>
      </c>
      <c r="M70" s="17">
        <f t="shared" si="29"/>
        <v>3.3974432799723564E-2</v>
      </c>
      <c r="N70" s="17">
        <f t="shared" si="29"/>
        <v>-0.12335709512140791</v>
      </c>
      <c r="O70" s="17">
        <f>O62/N62-1</f>
        <v>4.9298011562162403E-2</v>
      </c>
      <c r="P70" s="17">
        <f>P62/O62-1</f>
        <v>-5.6245080825815807E-2</v>
      </c>
    </row>
    <row r="71" spans="1:44" x14ac:dyDescent="0.15">
      <c r="A71" s="4" t="s">
        <v>9</v>
      </c>
      <c r="F71" s="17">
        <f>F63/E63-1</f>
        <v>7.36699185356533E-2</v>
      </c>
      <c r="G71" s="17">
        <f t="shared" ref="G71:N71" si="30">G63/F63-1</f>
        <v>0.1060840241674863</v>
      </c>
      <c r="H71" s="17">
        <f t="shared" si="30"/>
        <v>5.1532859078590842E-2</v>
      </c>
      <c r="I71" s="17">
        <f t="shared" si="30"/>
        <v>9.5880481617202973E-2</v>
      </c>
      <c r="J71" s="17">
        <f t="shared" si="30"/>
        <v>5.4089806717130928E-2</v>
      </c>
      <c r="K71" s="17">
        <f t="shared" si="30"/>
        <v>7.8888656487485109E-2</v>
      </c>
      <c r="L71" s="17">
        <f t="shared" si="30"/>
        <v>3.3765226663220238E-2</v>
      </c>
      <c r="M71" s="17">
        <f t="shared" si="30"/>
        <v>5.9854972807401374E-2</v>
      </c>
      <c r="N71" s="17">
        <f t="shared" si="30"/>
        <v>1.391960836356132E-2</v>
      </c>
      <c r="O71" s="17">
        <f>O63/N63-1</f>
        <v>5.3779703906227327E-2</v>
      </c>
      <c r="P71" s="17">
        <f>P63/O63-1</f>
        <v>2.8677891250344922E-2</v>
      </c>
    </row>
    <row r="72" spans="1:44" x14ac:dyDescent="0.15">
      <c r="A72" s="4"/>
    </row>
    <row r="73" spans="1:44" s="20" customFormat="1" x14ac:dyDescent="0.15">
      <c r="A73" s="18" t="s">
        <v>122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AH73" s="19"/>
      <c r="AI73" s="19"/>
      <c r="AJ73" s="19"/>
      <c r="AK73" s="19"/>
    </row>
    <row r="74" spans="1:44" s="4" customFormat="1" x14ac:dyDescent="0.15">
      <c r="A74" s="4" t="s">
        <v>8</v>
      </c>
      <c r="B74" s="5"/>
      <c r="C74" s="5"/>
      <c r="D74" s="5"/>
      <c r="E74" s="5">
        <v>18147</v>
      </c>
      <c r="F74" s="5">
        <v>15803</v>
      </c>
      <c r="G74" s="5">
        <v>19460</v>
      </c>
      <c r="H74" s="5">
        <v>16873</v>
      </c>
      <c r="I74" s="5">
        <v>18938</v>
      </c>
      <c r="J74" s="5">
        <v>16631</v>
      </c>
      <c r="K74" s="5">
        <v>20779</v>
      </c>
      <c r="L74" s="5">
        <v>17366</v>
      </c>
      <c r="M74" s="5">
        <v>17956</v>
      </c>
      <c r="N74" s="4">
        <v>15741</v>
      </c>
      <c r="O74" s="4">
        <v>16517</v>
      </c>
      <c r="P74" s="4">
        <v>15588</v>
      </c>
      <c r="AE74" s="4">
        <v>63811</v>
      </c>
      <c r="AF74" s="4">
        <v>64497</v>
      </c>
      <c r="AG74" s="4">
        <v>66069</v>
      </c>
      <c r="AH74" s="5">
        <v>68041</v>
      </c>
      <c r="AI74" s="5">
        <f>SUM(F74:I74)</f>
        <v>71074</v>
      </c>
      <c r="AJ74" s="5">
        <f>SUM(J74:M74)</f>
        <v>72732</v>
      </c>
      <c r="AK74" s="5">
        <f>+AJ74*1.01</f>
        <v>73459.320000000007</v>
      </c>
      <c r="AL74" s="5">
        <f>+AK74*1.03</f>
        <v>75663.099600000016</v>
      </c>
      <c r="AM74" s="5">
        <f t="shared" ref="AM74:AR74" si="31">+AL74*1.03</f>
        <v>77932.992588000023</v>
      </c>
      <c r="AN74" s="5">
        <f t="shared" si="31"/>
        <v>80270.982365640026</v>
      </c>
      <c r="AO74" s="5">
        <f t="shared" si="31"/>
        <v>82679.111836609227</v>
      </c>
      <c r="AP74" s="5">
        <f t="shared" si="31"/>
        <v>85159.485191707499</v>
      </c>
      <c r="AQ74" s="5">
        <f t="shared" si="31"/>
        <v>87714.269747458733</v>
      </c>
      <c r="AR74" s="5">
        <f t="shared" si="31"/>
        <v>90345.697839882501</v>
      </c>
    </row>
    <row r="75" spans="1:44" s="4" customFormat="1" x14ac:dyDescent="0.15">
      <c r="A75" s="4" t="s">
        <v>9</v>
      </c>
      <c r="B75" s="5"/>
      <c r="C75" s="5"/>
      <c r="D75" s="5"/>
      <c r="E75" s="5">
        <v>19886</v>
      </c>
      <c r="F75" s="5">
        <v>21351</v>
      </c>
      <c r="G75" s="5">
        <v>23616</v>
      </c>
      <c r="H75" s="5">
        <v>24833</v>
      </c>
      <c r="I75" s="5">
        <v>27214</v>
      </c>
      <c r="J75" s="5">
        <v>28686</v>
      </c>
      <c r="K75" s="5">
        <v>30949</v>
      </c>
      <c r="L75" s="5">
        <v>31994</v>
      </c>
      <c r="M75" s="5">
        <v>33909</v>
      </c>
      <c r="N75" s="4">
        <v>34381</v>
      </c>
      <c r="O75" s="4">
        <v>36230</v>
      </c>
      <c r="P75" s="4">
        <v>37269</v>
      </c>
      <c r="AE75" s="4">
        <v>32760</v>
      </c>
      <c r="AF75" s="4">
        <v>45863</v>
      </c>
      <c r="AG75" s="4">
        <v>59774</v>
      </c>
      <c r="AH75" s="5">
        <v>74974</v>
      </c>
      <c r="AI75" s="5">
        <f>SUM(F75:I75)</f>
        <v>97014</v>
      </c>
      <c r="AJ75" s="5">
        <f>SUM(J75:M75)</f>
        <v>125538</v>
      </c>
      <c r="AK75" s="5">
        <f>+AJ75*1.2</f>
        <v>150645.6</v>
      </c>
      <c r="AL75" s="5">
        <f>+AK75*1.15</f>
        <v>173242.44</v>
      </c>
      <c r="AM75" s="5">
        <f>+AL75*1.1</f>
        <v>190566.68400000001</v>
      </c>
      <c r="AN75" s="5">
        <f t="shared" ref="AN75:AR75" si="32">+AM75*1.1</f>
        <v>209623.35240000003</v>
      </c>
      <c r="AO75" s="5">
        <f t="shared" si="32"/>
        <v>230585.68764000005</v>
      </c>
      <c r="AP75" s="5">
        <f t="shared" si="32"/>
        <v>253644.25640400007</v>
      </c>
      <c r="AQ75" s="5">
        <f t="shared" si="32"/>
        <v>279008.68204440008</v>
      </c>
      <c r="AR75" s="5">
        <f t="shared" si="32"/>
        <v>306909.55024884013</v>
      </c>
    </row>
    <row r="76" spans="1:44" s="6" customFormat="1" x14ac:dyDescent="0.15">
      <c r="A76" s="6" t="s">
        <v>7</v>
      </c>
      <c r="B76" s="7"/>
      <c r="C76" s="7"/>
      <c r="D76" s="7"/>
      <c r="E76" s="7">
        <f t="shared" ref="E76:F76" si="33">E74+E75</f>
        <v>38033</v>
      </c>
      <c r="F76" s="7">
        <f t="shared" si="33"/>
        <v>37154</v>
      </c>
      <c r="G76" s="7">
        <f t="shared" ref="G76:K76" si="34">G74+G75</f>
        <v>43076</v>
      </c>
      <c r="H76" s="7">
        <f t="shared" si="34"/>
        <v>41706</v>
      </c>
      <c r="I76" s="7">
        <f t="shared" si="34"/>
        <v>46152</v>
      </c>
      <c r="J76" s="7">
        <f t="shared" si="34"/>
        <v>45317</v>
      </c>
      <c r="K76" s="7">
        <f t="shared" si="34"/>
        <v>51728</v>
      </c>
      <c r="L76" s="7">
        <f>L74+L75</f>
        <v>49360</v>
      </c>
      <c r="M76" s="7">
        <f t="shared" ref="M76:P76" si="35">M74+M75</f>
        <v>51865</v>
      </c>
      <c r="N76" s="7">
        <f t="shared" si="35"/>
        <v>50122</v>
      </c>
      <c r="O76" s="7">
        <f t="shared" si="35"/>
        <v>52747</v>
      </c>
      <c r="P76" s="7">
        <f t="shared" si="35"/>
        <v>52857</v>
      </c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E76" s="7">
        <f t="shared" ref="AE76:AK76" si="36">+AE75+AE74</f>
        <v>96571</v>
      </c>
      <c r="AF76" s="7">
        <f t="shared" si="36"/>
        <v>110360</v>
      </c>
      <c r="AG76" s="7">
        <f t="shared" si="36"/>
        <v>125843</v>
      </c>
      <c r="AH76" s="7">
        <f t="shared" si="36"/>
        <v>143015</v>
      </c>
      <c r="AI76" s="7">
        <f t="shared" si="36"/>
        <v>168088</v>
      </c>
      <c r="AJ76" s="7">
        <f t="shared" si="36"/>
        <v>198270</v>
      </c>
      <c r="AK76" s="7">
        <f t="shared" si="36"/>
        <v>224104.92</v>
      </c>
      <c r="AL76" s="7">
        <f t="shared" ref="AL76:AR76" si="37">+AL75+AL74</f>
        <v>248905.53960000002</v>
      </c>
      <c r="AM76" s="7">
        <f t="shared" si="37"/>
        <v>268499.67658800003</v>
      </c>
      <c r="AN76" s="7">
        <f t="shared" si="37"/>
        <v>289894.33476564009</v>
      </c>
      <c r="AO76" s="7">
        <f t="shared" si="37"/>
        <v>313264.79947660927</v>
      </c>
      <c r="AP76" s="7">
        <f t="shared" si="37"/>
        <v>338803.7415957076</v>
      </c>
      <c r="AQ76" s="7">
        <f t="shared" si="37"/>
        <v>366722.95179185882</v>
      </c>
      <c r="AR76" s="7">
        <f t="shared" si="37"/>
        <v>397255.24808872264</v>
      </c>
    </row>
    <row r="77" spans="1:44" s="4" customFormat="1" x14ac:dyDescent="0.15">
      <c r="A77" s="4" t="s">
        <v>10</v>
      </c>
      <c r="B77" s="5"/>
      <c r="C77" s="5"/>
      <c r="D77" s="5"/>
      <c r="E77" s="5">
        <v>4370</v>
      </c>
      <c r="F77" s="5">
        <v>3597</v>
      </c>
      <c r="G77" s="5">
        <v>6058</v>
      </c>
      <c r="H77" s="5">
        <v>4277</v>
      </c>
      <c r="I77" s="5">
        <v>4287</v>
      </c>
      <c r="J77" s="5">
        <v>3792</v>
      </c>
      <c r="K77" s="5">
        <v>6331</v>
      </c>
      <c r="L77" s="5">
        <v>4584</v>
      </c>
      <c r="M77" s="5">
        <v>4357</v>
      </c>
      <c r="N77" s="4">
        <v>4302</v>
      </c>
      <c r="O77" s="4">
        <v>5690</v>
      </c>
      <c r="P77" s="4">
        <v>3941</v>
      </c>
      <c r="AE77" s="4">
        <v>15175</v>
      </c>
      <c r="AF77" s="4">
        <v>15420</v>
      </c>
      <c r="AG77" s="4">
        <v>16273</v>
      </c>
      <c r="AH77" s="5">
        <v>16017</v>
      </c>
      <c r="AI77" s="5">
        <f>SUM(F77:I77)</f>
        <v>18219</v>
      </c>
      <c r="AJ77" s="5">
        <f>SUM(J77:M77)</f>
        <v>19064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</row>
    <row r="78" spans="1:44" s="4" customFormat="1" x14ac:dyDescent="0.15">
      <c r="A78" s="4" t="s">
        <v>11</v>
      </c>
      <c r="B78" s="5"/>
      <c r="C78" s="5"/>
      <c r="D78" s="5"/>
      <c r="E78" s="5">
        <v>7969</v>
      </c>
      <c r="F78" s="5">
        <v>7405</v>
      </c>
      <c r="G78" s="5">
        <v>8136</v>
      </c>
      <c r="H78" s="5">
        <v>8768</v>
      </c>
      <c r="I78" s="5">
        <v>9704</v>
      </c>
      <c r="J78" s="5">
        <v>9854</v>
      </c>
      <c r="K78" s="5">
        <v>10629</v>
      </c>
      <c r="L78" s="5">
        <v>11031</v>
      </c>
      <c r="M78" s="5">
        <v>12072</v>
      </c>
      <c r="N78" s="4">
        <v>11150</v>
      </c>
      <c r="O78" s="4">
        <v>11798</v>
      </c>
      <c r="P78" s="4">
        <v>12187</v>
      </c>
      <c r="AE78" s="4">
        <v>19086</v>
      </c>
      <c r="AF78" s="4">
        <v>22933</v>
      </c>
      <c r="AG78" s="4">
        <v>26637</v>
      </c>
      <c r="AH78" s="5">
        <v>30061</v>
      </c>
      <c r="AI78" s="5">
        <f>SUM(F78:I78)</f>
        <v>34013</v>
      </c>
      <c r="AJ78" s="5">
        <f>SUM(J78:M78)</f>
        <v>43586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</row>
    <row r="79" spans="1:44" s="4" customFormat="1" x14ac:dyDescent="0.15">
      <c r="A79" s="4" t="s">
        <v>12</v>
      </c>
      <c r="B79" s="5"/>
      <c r="C79" s="5"/>
      <c r="D79" s="5"/>
      <c r="E79" s="5">
        <f t="shared" ref="E79" si="38">E77+E78</f>
        <v>12339</v>
      </c>
      <c r="F79" s="5">
        <f t="shared" ref="F79:G79" si="39">F77+F78</f>
        <v>11002</v>
      </c>
      <c r="G79" s="5">
        <f t="shared" si="39"/>
        <v>14194</v>
      </c>
      <c r="H79" s="5">
        <f>H77+H78</f>
        <v>13045</v>
      </c>
      <c r="I79" s="5">
        <f t="shared" ref="I79:L79" si="40">I77+I78</f>
        <v>13991</v>
      </c>
      <c r="J79" s="5">
        <f t="shared" si="40"/>
        <v>13646</v>
      </c>
      <c r="K79" s="5">
        <f t="shared" si="40"/>
        <v>16960</v>
      </c>
      <c r="L79" s="5">
        <f t="shared" si="40"/>
        <v>15615</v>
      </c>
      <c r="M79" s="5">
        <f t="shared" ref="M79:P79" si="41">M77+M78</f>
        <v>16429</v>
      </c>
      <c r="N79" s="5">
        <f t="shared" si="41"/>
        <v>15452</v>
      </c>
      <c r="O79" s="5">
        <f t="shared" si="41"/>
        <v>17488</v>
      </c>
      <c r="P79" s="5">
        <f t="shared" si="41"/>
        <v>16128</v>
      </c>
      <c r="AE79" s="5">
        <f t="shared" ref="AE79:AF79" si="42">AE77+AE78</f>
        <v>34261</v>
      </c>
      <c r="AF79" s="5">
        <f t="shared" si="42"/>
        <v>38353</v>
      </c>
      <c r="AG79" s="5">
        <f t="shared" ref="AG79:AH79" si="43">AG77+AG78</f>
        <v>42910</v>
      </c>
      <c r="AH79" s="5">
        <f t="shared" si="43"/>
        <v>46078</v>
      </c>
      <c r="AI79" s="5">
        <f t="shared" ref="AI79:AJ79" si="44">AI77+AI78</f>
        <v>52232</v>
      </c>
      <c r="AJ79" s="5">
        <f t="shared" si="44"/>
        <v>62650</v>
      </c>
      <c r="AK79" s="5">
        <f>+AK76-AK80</f>
        <v>73954.623599999992</v>
      </c>
      <c r="AL79" s="5">
        <f t="shared" ref="AL79:AR79" si="45">+AL76-AL80</f>
        <v>82138.828068000003</v>
      </c>
      <c r="AM79" s="5">
        <f t="shared" si="45"/>
        <v>88604.893274039991</v>
      </c>
      <c r="AN79" s="5">
        <f t="shared" si="45"/>
        <v>95665.130472661229</v>
      </c>
      <c r="AO79" s="5">
        <f t="shared" si="45"/>
        <v>103377.38382728104</v>
      </c>
      <c r="AP79" s="5">
        <f t="shared" si="45"/>
        <v>111805.2347265835</v>
      </c>
      <c r="AQ79" s="5">
        <f t="shared" si="45"/>
        <v>121018.57409131341</v>
      </c>
      <c r="AR79" s="5">
        <f t="shared" si="45"/>
        <v>131094.23186927848</v>
      </c>
    </row>
    <row r="80" spans="1:44" s="4" customFormat="1" x14ac:dyDescent="0.15">
      <c r="A80" s="4" t="s">
        <v>13</v>
      </c>
      <c r="B80" s="5"/>
      <c r="C80" s="5"/>
      <c r="D80" s="5"/>
      <c r="E80" s="5">
        <f t="shared" ref="E80" si="46">E76-E79</f>
        <v>25694</v>
      </c>
      <c r="F80" s="5">
        <f t="shared" ref="F80:G80" si="47">F76-F79</f>
        <v>26152</v>
      </c>
      <c r="G80" s="5">
        <f t="shared" si="47"/>
        <v>28882</v>
      </c>
      <c r="H80" s="5">
        <f>H76-H79</f>
        <v>28661</v>
      </c>
      <c r="I80" s="5">
        <f t="shared" ref="I80:L80" si="48">I76-I79</f>
        <v>32161</v>
      </c>
      <c r="J80" s="5">
        <f t="shared" si="48"/>
        <v>31671</v>
      </c>
      <c r="K80" s="5">
        <f t="shared" si="48"/>
        <v>34768</v>
      </c>
      <c r="L80" s="5">
        <f t="shared" si="48"/>
        <v>33745</v>
      </c>
      <c r="M80" s="5">
        <f t="shared" ref="M80:P80" si="49">M76-M79</f>
        <v>35436</v>
      </c>
      <c r="N80" s="5">
        <f t="shared" si="49"/>
        <v>34670</v>
      </c>
      <c r="O80" s="5">
        <f t="shared" si="49"/>
        <v>35259</v>
      </c>
      <c r="P80" s="5">
        <f t="shared" si="49"/>
        <v>36729</v>
      </c>
      <c r="AE80" s="5">
        <f t="shared" ref="AE80:AF80" si="50">AE76-AE79</f>
        <v>62310</v>
      </c>
      <c r="AF80" s="5">
        <f t="shared" si="50"/>
        <v>72007</v>
      </c>
      <c r="AG80" s="5">
        <f t="shared" ref="AG80:AH80" si="51">AG76-AG79</f>
        <v>82933</v>
      </c>
      <c r="AH80" s="5">
        <f t="shared" si="51"/>
        <v>96937</v>
      </c>
      <c r="AI80" s="5">
        <f t="shared" ref="AI80:AJ80" si="52">AI76-AI79</f>
        <v>115856</v>
      </c>
      <c r="AJ80" s="5">
        <f t="shared" si="52"/>
        <v>135620</v>
      </c>
      <c r="AK80" s="5">
        <f>+AK76*0.67</f>
        <v>150150.29640000002</v>
      </c>
      <c r="AL80" s="5">
        <f t="shared" ref="AL80:AR80" si="53">+AL76*0.67</f>
        <v>166766.71153200002</v>
      </c>
      <c r="AM80" s="5">
        <f t="shared" si="53"/>
        <v>179894.78331396004</v>
      </c>
      <c r="AN80" s="5">
        <f t="shared" si="53"/>
        <v>194229.20429297886</v>
      </c>
      <c r="AO80" s="5">
        <f t="shared" si="53"/>
        <v>209887.41564932824</v>
      </c>
      <c r="AP80" s="5">
        <f t="shared" si="53"/>
        <v>226998.5068691241</v>
      </c>
      <c r="AQ80" s="5">
        <f t="shared" si="53"/>
        <v>245704.37770054542</v>
      </c>
      <c r="AR80" s="5">
        <f t="shared" si="53"/>
        <v>266161.01621944417</v>
      </c>
    </row>
    <row r="81" spans="1:102" s="4" customFormat="1" x14ac:dyDescent="0.15">
      <c r="A81" s="4" t="s">
        <v>16</v>
      </c>
      <c r="B81" s="5"/>
      <c r="C81" s="5"/>
      <c r="D81" s="5"/>
      <c r="E81" s="5">
        <v>5214</v>
      </c>
      <c r="F81" s="5">
        <v>4926</v>
      </c>
      <c r="G81" s="5">
        <v>4899</v>
      </c>
      <c r="H81" s="5">
        <v>5204</v>
      </c>
      <c r="I81" s="5">
        <v>5687</v>
      </c>
      <c r="J81" s="5">
        <v>5599</v>
      </c>
      <c r="K81" s="5">
        <v>5758</v>
      </c>
      <c r="L81" s="5">
        <v>6306</v>
      </c>
      <c r="M81" s="5">
        <v>6849</v>
      </c>
      <c r="N81" s="4">
        <v>6628</v>
      </c>
      <c r="O81" s="4">
        <v>6844</v>
      </c>
      <c r="P81" s="4">
        <v>6984</v>
      </c>
      <c r="AE81" s="4">
        <v>13037</v>
      </c>
      <c r="AF81" s="4">
        <v>14726</v>
      </c>
      <c r="AG81" s="4">
        <v>16876</v>
      </c>
      <c r="AH81" s="5">
        <v>19269</v>
      </c>
      <c r="AI81" s="5">
        <f>SUM(F81:I81)</f>
        <v>20716</v>
      </c>
      <c r="AJ81" s="5">
        <f>SUM(J81:M81)</f>
        <v>24512</v>
      </c>
      <c r="AK81" s="5">
        <f>SUM(N81:Q81)</f>
        <v>20456</v>
      </c>
      <c r="AL81" s="5">
        <f>+AK81*1.05</f>
        <v>21478.799999999999</v>
      </c>
      <c r="AM81" s="5">
        <f t="shared" ref="AM81:AP81" si="54">+AL81*1.05</f>
        <v>22552.74</v>
      </c>
      <c r="AN81" s="5">
        <f t="shared" si="54"/>
        <v>23680.377000000004</v>
      </c>
      <c r="AO81" s="5">
        <f t="shared" si="54"/>
        <v>24864.395850000004</v>
      </c>
      <c r="AP81" s="5">
        <f t="shared" si="54"/>
        <v>26107.615642500004</v>
      </c>
      <c r="AQ81" s="5">
        <f t="shared" ref="AQ81:AR81" si="55">+AP81*1.1</f>
        <v>28718.377206750007</v>
      </c>
      <c r="AR81" s="5">
        <f t="shared" si="55"/>
        <v>31590.214927425011</v>
      </c>
    </row>
    <row r="82" spans="1:102" s="4" customFormat="1" x14ac:dyDescent="0.15">
      <c r="A82" s="4" t="s">
        <v>17</v>
      </c>
      <c r="B82" s="5"/>
      <c r="C82" s="5"/>
      <c r="D82" s="5"/>
      <c r="E82" s="5">
        <v>5417</v>
      </c>
      <c r="F82" s="5">
        <v>4231</v>
      </c>
      <c r="G82" s="5">
        <v>4947</v>
      </c>
      <c r="H82" s="5">
        <v>5082</v>
      </c>
      <c r="I82" s="5">
        <v>5857</v>
      </c>
      <c r="J82" s="5">
        <v>4547</v>
      </c>
      <c r="K82" s="5">
        <v>5379</v>
      </c>
      <c r="L82" s="5">
        <v>5595</v>
      </c>
      <c r="M82" s="5">
        <v>6304</v>
      </c>
      <c r="N82" s="4">
        <v>5126</v>
      </c>
      <c r="O82" s="4">
        <v>5679</v>
      </c>
      <c r="P82" s="4">
        <v>5750</v>
      </c>
      <c r="AE82" s="4">
        <v>15461</v>
      </c>
      <c r="AF82" s="4">
        <v>17469</v>
      </c>
      <c r="AG82" s="4">
        <v>18213</v>
      </c>
      <c r="AH82" s="5">
        <v>19598</v>
      </c>
      <c r="AI82" s="5">
        <f>SUM(F82:I82)</f>
        <v>20117</v>
      </c>
      <c r="AJ82" s="5">
        <f>SUM(J82:M82)</f>
        <v>21825</v>
      </c>
      <c r="AK82" s="5">
        <f>SUM(N82:Q82)</f>
        <v>16555</v>
      </c>
      <c r="AL82" s="5">
        <f t="shared" ref="AL82:AL83" si="56">+AK82*1.05</f>
        <v>17382.75</v>
      </c>
      <c r="AM82" s="5">
        <f t="shared" ref="AM82:AP82" si="57">+AL82*1.05</f>
        <v>18251.887500000001</v>
      </c>
      <c r="AN82" s="5">
        <f t="shared" si="57"/>
        <v>19164.481875000001</v>
      </c>
      <c r="AO82" s="5">
        <f t="shared" si="57"/>
        <v>20122.70596875</v>
      </c>
      <c r="AP82" s="5">
        <f t="shared" si="57"/>
        <v>21128.841267187501</v>
      </c>
      <c r="AQ82" s="5">
        <f t="shared" ref="AQ82:AR82" si="58">+AP82*1.1</f>
        <v>23241.725393906254</v>
      </c>
      <c r="AR82" s="5">
        <f t="shared" si="58"/>
        <v>25565.897933296881</v>
      </c>
    </row>
    <row r="83" spans="1:102" s="4" customFormat="1" x14ac:dyDescent="0.15">
      <c r="A83" s="4" t="s">
        <v>18</v>
      </c>
      <c r="B83" s="5"/>
      <c r="C83" s="5"/>
      <c r="D83" s="5"/>
      <c r="E83" s="5">
        <v>1656</v>
      </c>
      <c r="F83" s="5">
        <v>1119</v>
      </c>
      <c r="G83" s="5">
        <v>1139</v>
      </c>
      <c r="H83" s="5">
        <v>1327</v>
      </c>
      <c r="I83" s="5">
        <v>1522</v>
      </c>
      <c r="J83" s="5">
        <v>1287</v>
      </c>
      <c r="K83" s="5">
        <v>1384</v>
      </c>
      <c r="L83" s="5">
        <v>1480</v>
      </c>
      <c r="M83" s="5">
        <v>1749</v>
      </c>
      <c r="N83" s="4">
        <v>1398</v>
      </c>
      <c r="O83" s="4">
        <v>2337</v>
      </c>
      <c r="P83" s="4">
        <v>1653</v>
      </c>
      <c r="AE83" s="4">
        <v>4481</v>
      </c>
      <c r="AF83" s="4">
        <v>4754</v>
      </c>
      <c r="AG83" s="4">
        <v>4885</v>
      </c>
      <c r="AH83" s="5">
        <v>5111</v>
      </c>
      <c r="AI83" s="5">
        <f>SUM(F83:I83)</f>
        <v>5107</v>
      </c>
      <c r="AJ83" s="5">
        <f>SUM(J83:M83)</f>
        <v>5900</v>
      </c>
      <c r="AK83" s="5">
        <f>SUM(N83:Q83)</f>
        <v>5388</v>
      </c>
      <c r="AL83" s="5">
        <f t="shared" si="56"/>
        <v>5657.4000000000005</v>
      </c>
      <c r="AM83" s="5">
        <f t="shared" ref="AM83:AP83" si="59">+AL83*1.05</f>
        <v>5940.27</v>
      </c>
      <c r="AN83" s="5">
        <f t="shared" si="59"/>
        <v>6237.2835000000005</v>
      </c>
      <c r="AO83" s="5">
        <f t="shared" si="59"/>
        <v>6549.1476750000011</v>
      </c>
      <c r="AP83" s="5">
        <f t="shared" si="59"/>
        <v>6876.6050587500013</v>
      </c>
      <c r="AQ83" s="5">
        <f t="shared" ref="AQ83:AR83" si="60">+AP83*1.1</f>
        <v>7564.2655646250023</v>
      </c>
      <c r="AR83" s="5">
        <f t="shared" si="60"/>
        <v>8320.6921210875025</v>
      </c>
    </row>
    <row r="84" spans="1:102" s="4" customFormat="1" x14ac:dyDescent="0.15">
      <c r="A84" s="4" t="s">
        <v>14</v>
      </c>
      <c r="B84" s="5"/>
      <c r="C84" s="5"/>
      <c r="D84" s="5"/>
      <c r="E84" s="5">
        <f t="shared" ref="E84" si="61">SUM(E81:E83)</f>
        <v>12287</v>
      </c>
      <c r="F84" s="5">
        <f t="shared" ref="F84:K84" si="62">SUM(F81:F83)</f>
        <v>10276</v>
      </c>
      <c r="G84" s="5">
        <f t="shared" si="62"/>
        <v>10985</v>
      </c>
      <c r="H84" s="5">
        <f t="shared" si="62"/>
        <v>11613</v>
      </c>
      <c r="I84" s="5">
        <f t="shared" si="62"/>
        <v>13066</v>
      </c>
      <c r="J84" s="5">
        <f t="shared" si="62"/>
        <v>11433</v>
      </c>
      <c r="K84" s="5">
        <f t="shared" si="62"/>
        <v>12521</v>
      </c>
      <c r="L84" s="5">
        <f>SUM(L81:L83)</f>
        <v>13381</v>
      </c>
      <c r="M84" s="5">
        <f t="shared" ref="M84:P84" si="63">SUM(M81:M83)</f>
        <v>14902</v>
      </c>
      <c r="N84" s="5">
        <f t="shared" si="63"/>
        <v>13152</v>
      </c>
      <c r="O84" s="5">
        <f t="shared" si="63"/>
        <v>14860</v>
      </c>
      <c r="P84" s="5">
        <f t="shared" si="63"/>
        <v>14387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E84" s="5">
        <f t="shared" ref="AE84" si="64">SUM(AE81:AE83)</f>
        <v>32979</v>
      </c>
      <c r="AF84" s="5">
        <f t="shared" ref="AF84:AG84" si="65">SUM(AF81:AF83)</f>
        <v>36949</v>
      </c>
      <c r="AG84" s="5">
        <f t="shared" si="65"/>
        <v>39974</v>
      </c>
      <c r="AH84" s="5">
        <f t="shared" ref="AH84" si="66">SUM(AH81:AH83)</f>
        <v>43978</v>
      </c>
      <c r="AI84" s="5">
        <f t="shared" ref="AI84:AJ84" si="67">SUM(AI81:AI83)</f>
        <v>45940</v>
      </c>
      <c r="AJ84" s="5">
        <f t="shared" si="67"/>
        <v>52237</v>
      </c>
      <c r="AK84" s="5">
        <f>SUM(AK81:AK83)</f>
        <v>42399</v>
      </c>
      <c r="AL84" s="5">
        <f t="shared" ref="AL84" si="68">SUM(AL81:AL83)</f>
        <v>44518.950000000004</v>
      </c>
      <c r="AM84" s="5">
        <f t="shared" ref="AM84" si="69">SUM(AM81:AM83)</f>
        <v>46744.897500000006</v>
      </c>
      <c r="AN84" s="5">
        <f t="shared" ref="AN84" si="70">SUM(AN81:AN83)</f>
        <v>49082.142375000003</v>
      </c>
      <c r="AO84" s="5">
        <f t="shared" ref="AO84" si="71">SUM(AO81:AO83)</f>
        <v>51536.249493750001</v>
      </c>
      <c r="AP84" s="5">
        <f t="shared" ref="AP84" si="72">SUM(AP81:AP83)</f>
        <v>54113.061968437505</v>
      </c>
      <c r="AQ84" s="5">
        <f t="shared" ref="AQ84" si="73">SUM(AQ81:AQ83)</f>
        <v>59524.368165281267</v>
      </c>
      <c r="AR84" s="5">
        <f t="shared" ref="AR84" si="74">SUM(AR81:AR83)</f>
        <v>65476.804981809393</v>
      </c>
    </row>
    <row r="85" spans="1:102" s="4" customFormat="1" x14ac:dyDescent="0.15">
      <c r="A85" s="4" t="s">
        <v>15</v>
      </c>
      <c r="B85" s="5"/>
      <c r="C85" s="5"/>
      <c r="D85" s="5"/>
      <c r="E85" s="5">
        <f t="shared" ref="E85" si="75">E80-E84</f>
        <v>13407</v>
      </c>
      <c r="F85" s="5">
        <f t="shared" ref="F85:K85" si="76">F80-F84</f>
        <v>15876</v>
      </c>
      <c r="G85" s="5">
        <f t="shared" si="76"/>
        <v>17897</v>
      </c>
      <c r="H85" s="5">
        <f t="shared" si="76"/>
        <v>17048</v>
      </c>
      <c r="I85" s="5">
        <f t="shared" si="76"/>
        <v>19095</v>
      </c>
      <c r="J85" s="5">
        <f t="shared" si="76"/>
        <v>20238</v>
      </c>
      <c r="K85" s="5">
        <f t="shared" si="76"/>
        <v>22247</v>
      </c>
      <c r="L85" s="5">
        <f>L80-L84</f>
        <v>20364</v>
      </c>
      <c r="M85" s="5">
        <f t="shared" ref="M85:P85" si="77">M80-M84</f>
        <v>20534</v>
      </c>
      <c r="N85" s="5">
        <f t="shared" si="77"/>
        <v>21518</v>
      </c>
      <c r="O85" s="5">
        <f t="shared" si="77"/>
        <v>20399</v>
      </c>
      <c r="P85" s="5">
        <f t="shared" si="77"/>
        <v>22342</v>
      </c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E85" s="5">
        <f t="shared" ref="AE85" si="78">AE80-AE84</f>
        <v>29331</v>
      </c>
      <c r="AF85" s="5">
        <f t="shared" ref="AF85:AG85" si="79">AF80-AF84</f>
        <v>35058</v>
      </c>
      <c r="AG85" s="5">
        <f t="shared" si="79"/>
        <v>42959</v>
      </c>
      <c r="AH85" s="5">
        <f t="shared" ref="AH85" si="80">AH80-AH84</f>
        <v>52959</v>
      </c>
      <c r="AI85" s="5">
        <f t="shared" ref="AI85:AK85" si="81">AI80-AI84</f>
        <v>69916</v>
      </c>
      <c r="AJ85" s="5">
        <f t="shared" si="81"/>
        <v>83383</v>
      </c>
      <c r="AK85" s="5">
        <f t="shared" si="81"/>
        <v>107751.29640000002</v>
      </c>
      <c r="AL85" s="5">
        <f t="shared" ref="AL85" si="82">AL80-AL84</f>
        <v>122247.761532</v>
      </c>
      <c r="AM85" s="5">
        <f t="shared" ref="AM85" si="83">AM80-AM84</f>
        <v>133149.88581396005</v>
      </c>
      <c r="AN85" s="5">
        <f t="shared" ref="AN85" si="84">AN80-AN84</f>
        <v>145147.06191797886</v>
      </c>
      <c r="AO85" s="5">
        <f t="shared" ref="AO85" si="85">AO80-AO84</f>
        <v>158351.16615557822</v>
      </c>
      <c r="AP85" s="5">
        <f t="shared" ref="AP85" si="86">AP80-AP84</f>
        <v>172885.44490068659</v>
      </c>
      <c r="AQ85" s="5">
        <f t="shared" ref="AQ85" si="87">AQ80-AQ84</f>
        <v>186180.00953526417</v>
      </c>
      <c r="AR85" s="5">
        <f t="shared" ref="AR85" si="88">AR80-AR84</f>
        <v>200684.21123763476</v>
      </c>
    </row>
    <row r="86" spans="1:102" x14ac:dyDescent="0.15">
      <c r="A86" s="4" t="s">
        <v>19</v>
      </c>
      <c r="E86" s="2">
        <v>15</v>
      </c>
      <c r="F86" s="2">
        <v>248</v>
      </c>
      <c r="G86" s="2">
        <v>440</v>
      </c>
      <c r="H86" s="2">
        <v>188</v>
      </c>
      <c r="I86" s="2">
        <v>310</v>
      </c>
      <c r="J86" s="2">
        <v>286</v>
      </c>
      <c r="K86" s="2">
        <v>268</v>
      </c>
      <c r="L86" s="2">
        <v>-174</v>
      </c>
      <c r="M86" s="2">
        <v>-47</v>
      </c>
      <c r="N86" s="4">
        <v>54</v>
      </c>
      <c r="O86" s="4">
        <v>-60</v>
      </c>
      <c r="P86" s="4">
        <v>321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E86" s="4">
        <v>876</v>
      </c>
      <c r="AF86" s="4">
        <v>1416</v>
      </c>
      <c r="AG86" s="4">
        <v>729</v>
      </c>
      <c r="AH86" s="2">
        <v>77</v>
      </c>
      <c r="AI86" s="5">
        <f>SUM(F86:I86)</f>
        <v>1186</v>
      </c>
      <c r="AJ86" s="5">
        <f>SUM(J86:M86)</f>
        <v>333</v>
      </c>
      <c r="AK86" s="5">
        <f>+AJ99*Valuation!$C$5</f>
        <v>618.66999999999996</v>
      </c>
      <c r="AL86" s="5">
        <f>+AK99*Valuation!$C$5</f>
        <v>1539.8147144000002</v>
      </c>
      <c r="AM86" s="5">
        <f>+AL99*Valuation!$C$5</f>
        <v>2592.0091124944001</v>
      </c>
      <c r="AN86" s="5">
        <f>+AM99*Valuation!$C$5</f>
        <v>3745.8152193692631</v>
      </c>
      <c r="AO86" s="5">
        <f>+AN99*Valuation!$C$5</f>
        <v>5011.4046750367215</v>
      </c>
      <c r="AP86" s="5">
        <f>+AO99*Valuation!$C$5</f>
        <v>6399.9865270969485</v>
      </c>
      <c r="AQ86" s="5">
        <f>+AP99*Valuation!$C$5</f>
        <v>7923.9126942331086</v>
      </c>
      <c r="AR86" s="5">
        <f>+AQ99*Valuation!$C$5</f>
        <v>9573.7960331838367</v>
      </c>
    </row>
    <row r="87" spans="1:102" x14ac:dyDescent="0.15">
      <c r="A87" s="4" t="s">
        <v>20</v>
      </c>
      <c r="B87" s="5"/>
      <c r="C87" s="5"/>
      <c r="D87" s="5"/>
      <c r="E87" s="5">
        <f t="shared" ref="E87" si="89">E85+E86</f>
        <v>13422</v>
      </c>
      <c r="F87" s="5">
        <f>F85+F86</f>
        <v>16124</v>
      </c>
      <c r="G87" s="5">
        <f t="shared" ref="G87:P87" si="90">G85+G86</f>
        <v>18337</v>
      </c>
      <c r="H87" s="5">
        <f t="shared" si="90"/>
        <v>17236</v>
      </c>
      <c r="I87" s="5">
        <f t="shared" si="90"/>
        <v>19405</v>
      </c>
      <c r="J87" s="5">
        <f t="shared" si="90"/>
        <v>20524</v>
      </c>
      <c r="K87" s="5">
        <f t="shared" si="90"/>
        <v>22515</v>
      </c>
      <c r="L87" s="5">
        <f t="shared" si="90"/>
        <v>20190</v>
      </c>
      <c r="M87" s="5">
        <f t="shared" si="90"/>
        <v>20487</v>
      </c>
      <c r="N87" s="5">
        <f t="shared" si="90"/>
        <v>21572</v>
      </c>
      <c r="O87" s="5">
        <f t="shared" si="90"/>
        <v>20339</v>
      </c>
      <c r="P87" s="5">
        <f t="shared" si="90"/>
        <v>22663</v>
      </c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E87" s="4">
        <f>+AE85+AE86</f>
        <v>30207</v>
      </c>
      <c r="AF87" s="4">
        <f>+AF85+AF86</f>
        <v>36474</v>
      </c>
      <c r="AG87" s="4">
        <f>+AG85+AG86</f>
        <v>43688</v>
      </c>
      <c r="AH87" s="5">
        <f>+AH85+AH86</f>
        <v>53036</v>
      </c>
      <c r="AI87" s="5">
        <f t="shared" ref="AI87:AK87" si="91">+AI85+AI86</f>
        <v>71102</v>
      </c>
      <c r="AJ87" s="5">
        <f t="shared" si="91"/>
        <v>83716</v>
      </c>
      <c r="AK87" s="5">
        <f t="shared" si="91"/>
        <v>108369.96640000002</v>
      </c>
      <c r="AL87" s="5">
        <f t="shared" ref="AL87" si="92">+AL85+AL86</f>
        <v>123787.5762464</v>
      </c>
      <c r="AM87" s="5">
        <f t="shared" ref="AM87" si="93">+AM85+AM86</f>
        <v>135741.89492645444</v>
      </c>
      <c r="AN87" s="5">
        <f t="shared" ref="AN87" si="94">+AN85+AN86</f>
        <v>148892.87713734811</v>
      </c>
      <c r="AO87" s="5">
        <f t="shared" ref="AO87" si="95">+AO85+AO86</f>
        <v>163362.57083061495</v>
      </c>
      <c r="AP87" s="5">
        <f t="shared" ref="AP87" si="96">+AP85+AP86</f>
        <v>179285.43142778354</v>
      </c>
      <c r="AQ87" s="5">
        <f t="shared" ref="AQ87" si="97">+AQ85+AQ86</f>
        <v>194103.92222949729</v>
      </c>
      <c r="AR87" s="5">
        <f t="shared" ref="AR87" si="98">+AR85+AR86</f>
        <v>210258.00727081861</v>
      </c>
    </row>
    <row r="88" spans="1:102" s="4" customFormat="1" x14ac:dyDescent="0.15">
      <c r="A88" s="4" t="s">
        <v>21</v>
      </c>
      <c r="B88" s="5"/>
      <c r="C88" s="5"/>
      <c r="D88" s="5"/>
      <c r="E88" s="5">
        <v>2220</v>
      </c>
      <c r="F88" s="5">
        <v>2231</v>
      </c>
      <c r="G88" s="5">
        <v>2874</v>
      </c>
      <c r="H88" s="5">
        <v>1779</v>
      </c>
      <c r="I88" s="5">
        <v>2947</v>
      </c>
      <c r="J88" s="5">
        <v>19</v>
      </c>
      <c r="K88" s="5">
        <v>3750</v>
      </c>
      <c r="L88" s="5">
        <v>3462</v>
      </c>
      <c r="M88" s="5">
        <v>3747</v>
      </c>
      <c r="N88" s="4">
        <v>4016</v>
      </c>
      <c r="O88" s="4">
        <v>3914</v>
      </c>
      <c r="P88" s="4">
        <v>4374</v>
      </c>
      <c r="AE88" s="4">
        <v>4412</v>
      </c>
      <c r="AF88" s="4">
        <v>19903</v>
      </c>
      <c r="AG88" s="4">
        <v>4448</v>
      </c>
      <c r="AH88" s="5">
        <v>8755</v>
      </c>
      <c r="AI88" s="5">
        <f>SUM(F88:I88)</f>
        <v>9831</v>
      </c>
      <c r="AJ88" s="5">
        <f>SUM(J88:M88)</f>
        <v>10978</v>
      </c>
      <c r="AK88" s="5">
        <f>+AK87*0.15</f>
        <v>16255.494960000002</v>
      </c>
      <c r="AL88" s="5">
        <f t="shared" ref="AL88:AR88" si="99">+AL87*0.15</f>
        <v>18568.136436959998</v>
      </c>
      <c r="AM88" s="5">
        <f t="shared" si="99"/>
        <v>20361.284238968165</v>
      </c>
      <c r="AN88" s="5">
        <f t="shared" si="99"/>
        <v>22333.931570602217</v>
      </c>
      <c r="AO88" s="5">
        <f t="shared" si="99"/>
        <v>24504.38562459224</v>
      </c>
      <c r="AP88" s="5">
        <f t="shared" si="99"/>
        <v>26892.814714167529</v>
      </c>
      <c r="AQ88" s="5">
        <f t="shared" si="99"/>
        <v>29115.588334424592</v>
      </c>
      <c r="AR88" s="5">
        <f t="shared" si="99"/>
        <v>31538.701090622788</v>
      </c>
    </row>
    <row r="89" spans="1:102" s="4" customFormat="1" x14ac:dyDescent="0.15">
      <c r="A89" s="4" t="s">
        <v>22</v>
      </c>
      <c r="B89" s="5"/>
      <c r="C89" s="5"/>
      <c r="D89" s="5"/>
      <c r="E89" s="5">
        <f t="shared" ref="E89" si="100">E87-E88</f>
        <v>11202</v>
      </c>
      <c r="F89" s="5">
        <f>F87-F88</f>
        <v>13893</v>
      </c>
      <c r="G89" s="5">
        <f t="shared" ref="G89:P89" si="101">G87-G88</f>
        <v>15463</v>
      </c>
      <c r="H89" s="5">
        <f t="shared" si="101"/>
        <v>15457</v>
      </c>
      <c r="I89" s="5">
        <f t="shared" si="101"/>
        <v>16458</v>
      </c>
      <c r="J89" s="5">
        <f t="shared" si="101"/>
        <v>20505</v>
      </c>
      <c r="K89" s="5">
        <f t="shared" si="101"/>
        <v>18765</v>
      </c>
      <c r="L89" s="5">
        <f t="shared" si="101"/>
        <v>16728</v>
      </c>
      <c r="M89" s="5">
        <f t="shared" si="101"/>
        <v>16740</v>
      </c>
      <c r="N89" s="5">
        <f t="shared" si="101"/>
        <v>17556</v>
      </c>
      <c r="O89" s="5">
        <f t="shared" si="101"/>
        <v>16425</v>
      </c>
      <c r="P89" s="5">
        <f t="shared" si="101"/>
        <v>18289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E89" s="4">
        <f>+AE87-AE88</f>
        <v>25795</v>
      </c>
      <c r="AF89" s="4">
        <f>+AF87-AF88</f>
        <v>16571</v>
      </c>
      <c r="AG89" s="4">
        <f>+AG87-AG88</f>
        <v>39240</v>
      </c>
      <c r="AH89" s="4">
        <f>+AH87-AH88</f>
        <v>44281</v>
      </c>
      <c r="AI89" s="4">
        <f t="shared" ref="AI89:AK89" si="102">+AI87-AI88</f>
        <v>61271</v>
      </c>
      <c r="AJ89" s="4">
        <f t="shared" si="102"/>
        <v>72738</v>
      </c>
      <c r="AK89" s="4">
        <f t="shared" si="102"/>
        <v>92114.471440000023</v>
      </c>
      <c r="AL89" s="4">
        <f t="shared" ref="AL89" si="103">+AL87-AL88</f>
        <v>105219.43980943999</v>
      </c>
      <c r="AM89" s="4">
        <f t="shared" ref="AM89" si="104">+AM87-AM88</f>
        <v>115380.61068748627</v>
      </c>
      <c r="AN89" s="4">
        <f t="shared" ref="AN89" si="105">+AN87-AN88</f>
        <v>126558.9455667459</v>
      </c>
      <c r="AO89" s="4">
        <f t="shared" ref="AO89" si="106">+AO87-AO88</f>
        <v>138858.1852060227</v>
      </c>
      <c r="AP89" s="4">
        <f t="shared" ref="AP89" si="107">+AP87-AP88</f>
        <v>152392.61671361601</v>
      </c>
      <c r="AQ89" s="4">
        <f t="shared" ref="AQ89" si="108">+AQ87-AQ88</f>
        <v>164988.33389507269</v>
      </c>
      <c r="AR89" s="4">
        <f t="shared" ref="AR89" si="109">+AR87-AR88</f>
        <v>178719.30618019582</v>
      </c>
      <c r="AS89" s="4">
        <f>+AR89*(1+Valuation!$C$3)</f>
        <v>175144.92005659192</v>
      </c>
      <c r="AT89" s="4">
        <f>+AS89*(1+Valuation!$C$3)</f>
        <v>171642.02165546006</v>
      </c>
      <c r="AU89" s="4">
        <f>+AT89*(1+Valuation!$C$3)</f>
        <v>168209.18122235086</v>
      </c>
      <c r="AV89" s="4">
        <f>+AU89*(1+Valuation!$C$3)</f>
        <v>164844.99759790383</v>
      </c>
      <c r="AW89" s="4">
        <f>+AV89*(1+Valuation!$C$3)</f>
        <v>161548.09764594576</v>
      </c>
      <c r="AX89" s="4">
        <f>+AW89*(1+Valuation!$C$3)</f>
        <v>158317.13569302685</v>
      </c>
      <c r="AY89" s="4">
        <f>+AX89*(1+Valuation!$C$3)</f>
        <v>155150.79297916632</v>
      </c>
      <c r="AZ89" s="4">
        <f>+AY89*(1+Valuation!$C$3)</f>
        <v>152047.77711958298</v>
      </c>
      <c r="BA89" s="4">
        <f>+AZ89*(1+Valuation!$C$3)</f>
        <v>149006.82157719132</v>
      </c>
      <c r="BB89" s="4">
        <f>+BA89*(1+Valuation!$C$3)</f>
        <v>146026.6851456475</v>
      </c>
      <c r="BC89" s="4">
        <f>+BB89*(1+Valuation!$C$3)</f>
        <v>143106.15144273455</v>
      </c>
      <c r="BD89" s="4">
        <f>+BC89*(1+Valuation!$C$3)</f>
        <v>140244.02841387986</v>
      </c>
      <c r="BE89" s="4">
        <f>+BD89*(1+Valuation!$C$3)</f>
        <v>137439.14784560227</v>
      </c>
      <c r="BF89" s="4">
        <f>+BE89*(1+Valuation!$C$3)</f>
        <v>134690.36488869024</v>
      </c>
      <c r="BG89" s="4">
        <f>+BF89*(1+Valuation!$C$3)</f>
        <v>131996.55759091643</v>
      </c>
      <c r="BH89" s="4">
        <f>+BG89*(1+Valuation!$C$3)</f>
        <v>129356.62643909811</v>
      </c>
      <c r="BI89" s="4">
        <f>+BH89*(1+Valuation!$C$3)</f>
        <v>126769.49391031615</v>
      </c>
      <c r="BJ89" s="4">
        <f>+BI89*(1+Valuation!$C$3)</f>
        <v>124234.10403210983</v>
      </c>
      <c r="BK89" s="4">
        <f>+BJ89*(1+Valuation!$C$3)</f>
        <v>121749.42195146762</v>
      </c>
      <c r="BL89" s="4">
        <f>+BK89*(1+Valuation!$C$3)</f>
        <v>119314.43351243826</v>
      </c>
      <c r="BM89" s="4">
        <f>+BL89*(1+Valuation!$C$3)</f>
        <v>116928.14484218949</v>
      </c>
      <c r="BN89" s="4">
        <f>+BM89*(1+Valuation!$C$3)</f>
        <v>114589.58194534569</v>
      </c>
      <c r="BO89" s="4">
        <f>+BN89*(1+Valuation!$C$3)</f>
        <v>112297.79030643878</v>
      </c>
      <c r="BP89" s="4">
        <f>+BO89*(1+Valuation!$C$3)</f>
        <v>110051.83450031</v>
      </c>
      <c r="BQ89" s="4">
        <f>+BP89*(1+Valuation!$C$3)</f>
        <v>107850.79781030379</v>
      </c>
      <c r="BR89" s="4">
        <f>+BQ89*(1+Valuation!$C$3)</f>
        <v>105693.78185409772</v>
      </c>
      <c r="BS89" s="4">
        <f>+BR89*(1+Valuation!$C$3)</f>
        <v>103579.90621701576</v>
      </c>
      <c r="BT89" s="4">
        <f>+BS89*(1+Valuation!$C$3)</f>
        <v>101508.30809267543</v>
      </c>
      <c r="BU89" s="4">
        <f>+BT89*(1+Valuation!$C$3)</f>
        <v>99478.141930821919</v>
      </c>
      <c r="BV89" s="4">
        <f>+BU89*(1+Valuation!$C$3)</f>
        <v>97488.579092205473</v>
      </c>
      <c r="BW89" s="4">
        <f>+BV89*(1+Valuation!$C$3)</f>
        <v>95538.807510361366</v>
      </c>
      <c r="BX89" s="4">
        <f>+BW89*(1+Valuation!$C$3)</f>
        <v>93628.031360154142</v>
      </c>
      <c r="BY89" s="4">
        <f>+BX89*(1+Valuation!$C$3)</f>
        <v>91755.470732951057</v>
      </c>
      <c r="BZ89" s="4">
        <f>+BY89*(1+Valuation!$C$3)</f>
        <v>89920.361318292038</v>
      </c>
      <c r="CA89" s="4">
        <f>+BZ89*(1+Valuation!$C$3)</f>
        <v>88121.954091926193</v>
      </c>
      <c r="CB89" s="4">
        <f>+CA89*(1+Valuation!$C$3)</f>
        <v>86359.515010087664</v>
      </c>
      <c r="CC89" s="4">
        <f>+CB89*(1+Valuation!$C$3)</f>
        <v>84632.324709885914</v>
      </c>
      <c r="CD89" s="4">
        <f>+CC89*(1+Valuation!$C$3)</f>
        <v>82939.678215688196</v>
      </c>
      <c r="CE89" s="4">
        <f>+CD89*(1+Valuation!$C$3)</f>
        <v>81280.884651374436</v>
      </c>
      <c r="CF89" s="4">
        <f>+CE89*(1+Valuation!$C$3)</f>
        <v>79655.26695834694</v>
      </c>
      <c r="CG89" s="4">
        <f>+CF89*(1+Valuation!$C$3)</f>
        <v>78062.161619179999</v>
      </c>
      <c r="CH89" s="4">
        <f>+CG89*(1+Valuation!$C$3)</f>
        <v>76500.918386796402</v>
      </c>
      <c r="CI89" s="4">
        <f>+CH89*(1+Valuation!$C$3)</f>
        <v>74970.900019060471</v>
      </c>
      <c r="CJ89" s="4">
        <f>+CI89*(1+Valuation!$C$3)</f>
        <v>73471.482018679264</v>
      </c>
      <c r="CK89" s="4">
        <f>+CJ89*(1+Valuation!$C$3)</f>
        <v>72002.052378305671</v>
      </c>
      <c r="CL89" s="4">
        <f>+CK89*(1+Valuation!$C$3)</f>
        <v>70562.011330739551</v>
      </c>
      <c r="CM89" s="4">
        <f>+CL89*(1+Valuation!$C$3)</f>
        <v>69150.771104124753</v>
      </c>
      <c r="CN89" s="4">
        <f>+CM89*(1+Valuation!$C$3)</f>
        <v>67767.755682042261</v>
      </c>
      <c r="CO89" s="4">
        <f>+CN89*(1+Valuation!$C$3)</f>
        <v>66412.400568401412</v>
      </c>
      <c r="CP89" s="4">
        <f>+CO89*(1+Valuation!$C$3)</f>
        <v>65084.152557033383</v>
      </c>
      <c r="CQ89" s="4">
        <f>+CP89*(1+Valuation!$C$3)</f>
        <v>63782.469505892717</v>
      </c>
      <c r="CR89" s="4">
        <f>+CQ89*(1+Valuation!$C$3)</f>
        <v>62506.820115774863</v>
      </c>
      <c r="CS89" s="4">
        <f>+CR89*(1+Valuation!$C$3)</f>
        <v>61256.683713459366</v>
      </c>
      <c r="CT89" s="4">
        <f>+CS89*(1+Valuation!$C$3)</f>
        <v>60031.550039190181</v>
      </c>
      <c r="CU89" s="4">
        <f>+CT89*(1+Valuation!$C$3)</f>
        <v>58830.919038406377</v>
      </c>
      <c r="CV89" s="4">
        <f>+CU89*(1+Valuation!$C$3)</f>
        <v>57654.300657638247</v>
      </c>
      <c r="CW89" s="4">
        <f>+CV89*(1+Valuation!$C$3)</f>
        <v>56501.214644485481</v>
      </c>
      <c r="CX89" s="4">
        <f>+CW89*(1+Valuation!$C$3)</f>
        <v>55371.190351595767</v>
      </c>
    </row>
    <row r="90" spans="1:102" s="3" customFormat="1" x14ac:dyDescent="0.15">
      <c r="A90" s="6" t="s">
        <v>24</v>
      </c>
      <c r="B90" s="8"/>
      <c r="C90" s="8"/>
      <c r="D90" s="8"/>
      <c r="E90" s="8">
        <f t="shared" ref="E90" si="110">E89/E92</f>
        <v>1.4643137254901961</v>
      </c>
      <c r="F90" s="8">
        <f t="shared" ref="F90:K90" si="111">F89/F92</f>
        <v>1.8191698310855047</v>
      </c>
      <c r="G90" s="8">
        <f t="shared" si="111"/>
        <v>2.0303308823529411</v>
      </c>
      <c r="H90" s="8">
        <f t="shared" si="111"/>
        <v>2.0346189285244174</v>
      </c>
      <c r="I90" s="8">
        <f t="shared" si="111"/>
        <v>2.1709537000395724</v>
      </c>
      <c r="J90" s="8">
        <f t="shared" si="111"/>
        <v>2.7097925201532971</v>
      </c>
      <c r="K90" s="8">
        <f t="shared" si="111"/>
        <v>2.4837855724685638</v>
      </c>
      <c r="L90" s="8">
        <f>L89/L92</f>
        <v>2.2203344836740113</v>
      </c>
      <c r="M90" s="8">
        <f>M89/M92</f>
        <v>2.2302158273381294</v>
      </c>
      <c r="N90" s="8">
        <f>N89/N92</f>
        <v>2.3454909819639278</v>
      </c>
      <c r="O90" s="8">
        <f>O89/O92</f>
        <v>2.2044020936787008</v>
      </c>
      <c r="P90" s="8">
        <f>P89/P92</f>
        <v>2.45029474812433</v>
      </c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E90" s="11">
        <f>+AE89/AE92</f>
        <v>3.2935393258426968</v>
      </c>
      <c r="AF90" s="11">
        <f>+AF89/AF92</f>
        <v>2.126122658455222</v>
      </c>
      <c r="AG90" s="11">
        <f>+AG89/AG92</f>
        <v>5.0612666064749128</v>
      </c>
      <c r="AH90" s="11">
        <f>+AH89/AH92</f>
        <v>5.7635038396459715</v>
      </c>
      <c r="AI90" s="11">
        <f t="shared" ref="AI90:AK90" si="112">+AI89/AI92</f>
        <v>8.0537609674345241</v>
      </c>
      <c r="AJ90" s="11">
        <f t="shared" si="112"/>
        <v>9.6463099263974534</v>
      </c>
      <c r="AK90" s="11">
        <f t="shared" si="112"/>
        <v>12.272111835864644</v>
      </c>
      <c r="AL90" s="11">
        <f t="shared" ref="AL90" si="113">+AL89/AL92</f>
        <v>14.018044205893951</v>
      </c>
      <c r="AM90" s="11">
        <f t="shared" ref="AM90" si="114">+AM89/AM92</f>
        <v>15.37178399779993</v>
      </c>
      <c r="AN90" s="11">
        <f t="shared" ref="AN90" si="115">+AN89/AN92</f>
        <v>16.861037245769506</v>
      </c>
      <c r="AO90" s="11">
        <f t="shared" ref="AO90" si="116">+AO89/AO92</f>
        <v>18.499624994141048</v>
      </c>
      <c r="AP90" s="11">
        <f t="shared" ref="AP90" si="117">+AP89/AP92</f>
        <v>20.302773343140956</v>
      </c>
      <c r="AQ90" s="11">
        <f t="shared" ref="AQ90" si="118">+AQ89/AQ92</f>
        <v>21.980859831477844</v>
      </c>
      <c r="AR90" s="11">
        <f t="shared" ref="AR90" si="119">+AR89/AR92</f>
        <v>23.810192669890199</v>
      </c>
    </row>
    <row r="91" spans="1:102" s="3" customFormat="1" x14ac:dyDescent="0.15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 spans="1:102" s="4" customFormat="1" x14ac:dyDescent="0.15">
      <c r="A92" s="4" t="s">
        <v>23</v>
      </c>
      <c r="B92" s="5"/>
      <c r="C92" s="5"/>
      <c r="D92" s="5"/>
      <c r="E92" s="5">
        <v>7650</v>
      </c>
      <c r="F92" s="5">
        <v>7637</v>
      </c>
      <c r="G92" s="5">
        <v>7616</v>
      </c>
      <c r="H92" s="5">
        <v>7597</v>
      </c>
      <c r="I92" s="5">
        <v>7581</v>
      </c>
      <c r="J92" s="5">
        <v>7567</v>
      </c>
      <c r="K92" s="5">
        <v>7555</v>
      </c>
      <c r="L92" s="5">
        <v>7534</v>
      </c>
      <c r="M92" s="5">
        <v>7506</v>
      </c>
      <c r="N92" s="4">
        <v>7485</v>
      </c>
      <c r="O92" s="4">
        <v>7451</v>
      </c>
      <c r="P92" s="4">
        <v>7464</v>
      </c>
      <c r="AE92" s="4">
        <v>7832</v>
      </c>
      <c r="AF92" s="4">
        <v>7794</v>
      </c>
      <c r="AG92" s="4">
        <v>7753</v>
      </c>
      <c r="AH92" s="5">
        <v>7683</v>
      </c>
      <c r="AI92" s="5">
        <f>AVERAGE(F92:I92)</f>
        <v>7607.75</v>
      </c>
      <c r="AJ92" s="5">
        <f>AVERAGE(J92:M92)</f>
        <v>7540.5</v>
      </c>
      <c r="AK92" s="5">
        <f>+M92</f>
        <v>7506</v>
      </c>
      <c r="AL92" s="5">
        <f>+AK92</f>
        <v>7506</v>
      </c>
      <c r="AM92" s="5">
        <f t="shared" ref="AM92:AR92" si="120">+AL92</f>
        <v>7506</v>
      </c>
      <c r="AN92" s="5">
        <f t="shared" si="120"/>
        <v>7506</v>
      </c>
      <c r="AO92" s="5">
        <f t="shared" si="120"/>
        <v>7506</v>
      </c>
      <c r="AP92" s="5">
        <f t="shared" si="120"/>
        <v>7506</v>
      </c>
      <c r="AQ92" s="5">
        <f t="shared" si="120"/>
        <v>7506</v>
      </c>
      <c r="AR92" s="5">
        <f t="shared" si="120"/>
        <v>7506</v>
      </c>
    </row>
    <row r="93" spans="1:102" x14ac:dyDescent="0.15">
      <c r="N93" s="2"/>
      <c r="AL93" s="2"/>
      <c r="AM93" s="2"/>
      <c r="AN93" s="2"/>
      <c r="AO93" s="2"/>
      <c r="AP93" s="2"/>
      <c r="AQ93" s="2"/>
      <c r="AR93" s="2"/>
    </row>
    <row r="94" spans="1:102" s="3" customFormat="1" x14ac:dyDescent="0.15">
      <c r="A94" s="6" t="s">
        <v>25</v>
      </c>
      <c r="B94" s="10"/>
      <c r="C94" s="10"/>
      <c r="D94" s="10"/>
      <c r="E94" s="10"/>
      <c r="F94" s="10"/>
      <c r="G94" s="10"/>
      <c r="H94" s="10"/>
      <c r="I94" s="10">
        <f t="shared" ref="I94:J94" si="121">I76/E76-1</f>
        <v>0.21347251071437956</v>
      </c>
      <c r="J94" s="10">
        <f t="shared" si="121"/>
        <v>0.21970716477364483</v>
      </c>
      <c r="K94" s="10">
        <f t="shared" ref="K94" si="122">K76/G76-1</f>
        <v>0.2008543040208004</v>
      </c>
      <c r="L94" s="10">
        <f>L76/H76-1</f>
        <v>0.18352275451973332</v>
      </c>
      <c r="M94" s="10">
        <f t="shared" ref="M94:N94" si="123">M76/I76-1</f>
        <v>0.12378661813139202</v>
      </c>
      <c r="N94" s="10">
        <f t="shared" si="123"/>
        <v>0.1060308493501334</v>
      </c>
      <c r="O94" s="10">
        <f t="shared" ref="O94:P94" si="124">O76/K76-1</f>
        <v>1.9699195793380753E-2</v>
      </c>
      <c r="P94" s="10">
        <f t="shared" si="124"/>
        <v>7.0846839546191198E-2</v>
      </c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F94" s="10">
        <f t="shared" ref="AF94:AK94" si="125">+AF76/AE76-1</f>
        <v>0.14278613662486661</v>
      </c>
      <c r="AG94" s="10">
        <f t="shared" si="125"/>
        <v>0.14029539688292858</v>
      </c>
      <c r="AH94" s="10">
        <f t="shared" si="125"/>
        <v>0.13645574247276371</v>
      </c>
      <c r="AI94" s="10">
        <f t="shared" si="125"/>
        <v>0.17531727441177503</v>
      </c>
      <c r="AJ94" s="10">
        <f t="shared" si="125"/>
        <v>0.17956070629670173</v>
      </c>
      <c r="AK94" s="10">
        <f t="shared" si="125"/>
        <v>0.13030170978968081</v>
      </c>
      <c r="AL94" s="10">
        <f t="shared" ref="AL94:AR94" si="126">+AL76/AK76-1</f>
        <v>0.1106652169885427</v>
      </c>
      <c r="AM94" s="10">
        <f t="shared" si="126"/>
        <v>7.8721176794572356E-2</v>
      </c>
      <c r="AN94" s="10">
        <f t="shared" si="126"/>
        <v>7.9682249340170097E-2</v>
      </c>
      <c r="AO94" s="10">
        <f t="shared" si="126"/>
        <v>8.0617183257005065E-2</v>
      </c>
      <c r="AP94" s="10">
        <f t="shared" si="126"/>
        <v>8.1525093664426507E-2</v>
      </c>
      <c r="AQ94" s="10">
        <f t="shared" si="126"/>
        <v>8.2405259353561133E-2</v>
      </c>
      <c r="AR94" s="10">
        <f t="shared" si="126"/>
        <v>8.3257118616870907E-2</v>
      </c>
    </row>
    <row r="95" spans="1:102" s="3" customFormat="1" x14ac:dyDescent="0.15">
      <c r="A95" s="6" t="s">
        <v>82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>
        <v>0.16</v>
      </c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</row>
    <row r="96" spans="1:102" x14ac:dyDescent="0.15">
      <c r="A96" s="4" t="s">
        <v>13</v>
      </c>
      <c r="B96" s="9"/>
      <c r="C96" s="9"/>
      <c r="D96" s="9"/>
      <c r="E96" s="9">
        <f t="shared" ref="E96" si="127">E80/E76</f>
        <v>0.67557121447164303</v>
      </c>
      <c r="F96" s="9">
        <f t="shared" ref="F96:G96" si="128">F80/F76</f>
        <v>0.70388114334930285</v>
      </c>
      <c r="G96" s="9">
        <f t="shared" si="128"/>
        <v>0.67048936762930633</v>
      </c>
      <c r="H96" s="9">
        <f>H80/H76</f>
        <v>0.68721526878626582</v>
      </c>
      <c r="I96" s="9">
        <f t="shared" ref="I96:L96" si="129">I80/I76</f>
        <v>0.69684954064829263</v>
      </c>
      <c r="J96" s="9">
        <f t="shared" si="129"/>
        <v>0.6988768012004325</v>
      </c>
      <c r="K96" s="9">
        <f t="shared" si="129"/>
        <v>0.67213114754098358</v>
      </c>
      <c r="L96" s="9">
        <f t="shared" si="129"/>
        <v>0.68365072933549431</v>
      </c>
      <c r="M96" s="9">
        <f t="shared" ref="M96:N96" si="130">M80/M76</f>
        <v>0.68323532247180174</v>
      </c>
      <c r="N96" s="9">
        <f t="shared" si="130"/>
        <v>0.69171222217788597</v>
      </c>
      <c r="O96" s="9">
        <f>O80/O76</f>
        <v>0.66845507801391546</v>
      </c>
      <c r="P96" s="9">
        <f>P80/P76</f>
        <v>0.69487485101311086</v>
      </c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>
        <f t="shared" ref="AE96:AF96" si="131">AE80/AE76</f>
        <v>0.64522475691460168</v>
      </c>
      <c r="AF96" s="9">
        <f t="shared" si="131"/>
        <v>0.65247372236317502</v>
      </c>
      <c r="AG96" s="9">
        <f t="shared" ref="AG96:AK96" si="132">AG80/AG76</f>
        <v>0.65901957200638894</v>
      </c>
      <c r="AH96" s="9">
        <f t="shared" si="132"/>
        <v>0.67781001992797962</v>
      </c>
      <c r="AI96" s="9">
        <f t="shared" si="132"/>
        <v>0.68925800771024703</v>
      </c>
      <c r="AJ96" s="9">
        <f t="shared" si="132"/>
        <v>0.68401674484289099</v>
      </c>
      <c r="AK96" s="9">
        <f t="shared" si="132"/>
        <v>0.67</v>
      </c>
      <c r="AL96" s="9">
        <f t="shared" ref="AL96:AR96" si="133">AL80/AL76</f>
        <v>0.67</v>
      </c>
      <c r="AM96" s="9">
        <f t="shared" si="133"/>
        <v>0.67</v>
      </c>
      <c r="AN96" s="9">
        <f t="shared" si="133"/>
        <v>0.67</v>
      </c>
      <c r="AO96" s="9">
        <f t="shared" si="133"/>
        <v>0.67</v>
      </c>
      <c r="AP96" s="9">
        <f t="shared" si="133"/>
        <v>0.67</v>
      </c>
      <c r="AQ96" s="9">
        <f t="shared" si="133"/>
        <v>0.67</v>
      </c>
      <c r="AR96" s="9">
        <f t="shared" si="133"/>
        <v>0.67</v>
      </c>
    </row>
    <row r="97" spans="1:44" x14ac:dyDescent="0.15">
      <c r="A97" s="4" t="s">
        <v>69</v>
      </c>
      <c r="B97" s="9"/>
      <c r="C97" s="9"/>
      <c r="D97" s="9"/>
      <c r="E97" s="9">
        <f t="shared" ref="E97" si="134">+E88/E87</f>
        <v>0.16540008940545373</v>
      </c>
      <c r="F97" s="9">
        <f>+F88/F87</f>
        <v>0.13836516993301909</v>
      </c>
      <c r="G97" s="9">
        <f t="shared" ref="G97:N97" si="135">+G88/G87</f>
        <v>0.15673228990565524</v>
      </c>
      <c r="H97" s="9">
        <f t="shared" si="135"/>
        <v>0.10321420283128337</v>
      </c>
      <c r="I97" s="9">
        <f t="shared" si="135"/>
        <v>0.15186807523834064</v>
      </c>
      <c r="J97" s="9">
        <f t="shared" si="135"/>
        <v>9.2574546871954783E-4</v>
      </c>
      <c r="K97" s="9">
        <f t="shared" si="135"/>
        <v>0.16655562958027981</v>
      </c>
      <c r="L97" s="9">
        <f t="shared" si="135"/>
        <v>0.17147102526002972</v>
      </c>
      <c r="M97" s="9">
        <f t="shared" si="135"/>
        <v>0.18289647093278666</v>
      </c>
      <c r="N97" s="9">
        <f t="shared" si="135"/>
        <v>0.18616725384758021</v>
      </c>
      <c r="O97" s="9">
        <f>+O88/O87</f>
        <v>0.19243817296818919</v>
      </c>
      <c r="P97" s="9">
        <f>+P88/P87</f>
        <v>0.19300180911618056</v>
      </c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>
        <f t="shared" ref="AE97:AF97" si="136">+AE88/AE87</f>
        <v>0.14605886052901645</v>
      </c>
      <c r="AF97" s="9">
        <f t="shared" si="136"/>
        <v>0.5456763722103416</v>
      </c>
      <c r="AG97" s="9">
        <f t="shared" ref="AG97:AK97" si="137">+AG88/AG87</f>
        <v>0.10181285478850027</v>
      </c>
      <c r="AH97" s="9">
        <f t="shared" si="137"/>
        <v>0.16507655177615205</v>
      </c>
      <c r="AI97" s="9">
        <f t="shared" si="137"/>
        <v>0.13826615285083402</v>
      </c>
      <c r="AJ97" s="9">
        <f t="shared" si="137"/>
        <v>0.13113383343685794</v>
      </c>
      <c r="AK97" s="9">
        <f t="shared" si="137"/>
        <v>0.15</v>
      </c>
      <c r="AL97" s="9">
        <f t="shared" ref="AL97:AR97" si="138">+AL88/AL87</f>
        <v>0.15</v>
      </c>
      <c r="AM97" s="9">
        <f t="shared" si="138"/>
        <v>0.15</v>
      </c>
      <c r="AN97" s="9">
        <f t="shared" si="138"/>
        <v>0.15</v>
      </c>
      <c r="AO97" s="9">
        <f t="shared" si="138"/>
        <v>0.15</v>
      </c>
      <c r="AP97" s="9">
        <f t="shared" si="138"/>
        <v>0.15</v>
      </c>
      <c r="AQ97" s="9">
        <f t="shared" si="138"/>
        <v>0.15</v>
      </c>
      <c r="AR97" s="9">
        <f t="shared" si="138"/>
        <v>0.15</v>
      </c>
    </row>
    <row r="99" spans="1:44" x14ac:dyDescent="0.15">
      <c r="A99" t="s">
        <v>67</v>
      </c>
      <c r="J99" s="5">
        <f>+J100-J111</f>
        <v>83720</v>
      </c>
      <c r="K99" s="5">
        <f>+K100-K111</f>
        <v>79105</v>
      </c>
      <c r="L99" s="5">
        <f>+L100-L111</f>
        <v>61674</v>
      </c>
      <c r="M99" s="5">
        <f>+M100-M111</f>
        <v>61867</v>
      </c>
      <c r="N99" s="5">
        <f>+N100-N111</f>
        <v>65479</v>
      </c>
      <c r="O99" s="5">
        <f t="shared" ref="O99:P99" si="139">+O100-O111</f>
        <v>58489</v>
      </c>
      <c r="P99" s="5">
        <f t="shared" si="139"/>
        <v>65632</v>
      </c>
      <c r="AJ99" s="5">
        <f>+M99</f>
        <v>61867</v>
      </c>
      <c r="AK99" s="5">
        <f>+AJ99+AK89</f>
        <v>153981.47144000002</v>
      </c>
      <c r="AL99" s="5">
        <f t="shared" ref="AL99:AR99" si="140">+AK99+AL89</f>
        <v>259200.91124944002</v>
      </c>
      <c r="AM99" s="5">
        <f t="shared" si="140"/>
        <v>374581.52193692629</v>
      </c>
      <c r="AN99" s="5">
        <f t="shared" si="140"/>
        <v>501140.46750367217</v>
      </c>
      <c r="AO99" s="5">
        <f t="shared" si="140"/>
        <v>639998.65270969481</v>
      </c>
      <c r="AP99" s="5">
        <f t="shared" si="140"/>
        <v>792391.26942331088</v>
      </c>
      <c r="AQ99" s="5">
        <f t="shared" si="140"/>
        <v>957379.60331838357</v>
      </c>
      <c r="AR99" s="5">
        <f t="shared" si="140"/>
        <v>1136098.9094985793</v>
      </c>
    </row>
    <row r="100" spans="1:44" s="4" customFormat="1" x14ac:dyDescent="0.15">
      <c r="A100" s="4" t="s">
        <v>3</v>
      </c>
      <c r="B100" s="5"/>
      <c r="C100" s="5"/>
      <c r="D100" s="5"/>
      <c r="E100" s="5"/>
      <c r="F100" s="5"/>
      <c r="G100" s="5"/>
      <c r="H100" s="5"/>
      <c r="I100" s="5"/>
      <c r="J100" s="5">
        <f>130615+6393</f>
        <v>137008</v>
      </c>
      <c r="K100" s="5">
        <f>125369+6994</f>
        <v>132363</v>
      </c>
      <c r="L100" s="5">
        <f>104693+6907</f>
        <v>111600</v>
      </c>
      <c r="M100" s="5">
        <f>104757+6891</f>
        <v>111648</v>
      </c>
      <c r="N100" s="4">
        <f>107262+6839</f>
        <v>114101</v>
      </c>
      <c r="O100" s="4">
        <f>15646+83862+7097</f>
        <v>106605</v>
      </c>
      <c r="P100" s="4">
        <f>26562+77865+9415</f>
        <v>113842</v>
      </c>
      <c r="AH100" s="5"/>
      <c r="AI100" s="5"/>
      <c r="AJ100" s="5"/>
      <c r="AK100" s="5"/>
    </row>
    <row r="101" spans="1:44" s="4" customFormat="1" x14ac:dyDescent="0.15">
      <c r="A101" s="4" t="s">
        <v>26</v>
      </c>
      <c r="B101" s="5"/>
      <c r="C101" s="5"/>
      <c r="D101" s="5"/>
      <c r="E101" s="5"/>
      <c r="F101" s="5"/>
      <c r="G101" s="5"/>
      <c r="H101" s="5"/>
      <c r="I101" s="5"/>
      <c r="J101" s="5">
        <v>27349</v>
      </c>
      <c r="K101" s="5">
        <v>33520</v>
      </c>
      <c r="L101" s="5">
        <v>32613</v>
      </c>
      <c r="M101" s="5">
        <v>44261</v>
      </c>
      <c r="N101" s="4">
        <v>31279</v>
      </c>
      <c r="O101" s="4">
        <v>35833</v>
      </c>
      <c r="P101" s="4">
        <v>37420</v>
      </c>
      <c r="AH101" s="5"/>
      <c r="AI101" s="5"/>
      <c r="AJ101" s="5"/>
      <c r="AK101" s="5"/>
    </row>
    <row r="102" spans="1:44" s="4" customFormat="1" x14ac:dyDescent="0.15">
      <c r="A102" s="4" t="s">
        <v>27</v>
      </c>
      <c r="B102" s="5"/>
      <c r="C102" s="5"/>
      <c r="D102" s="5"/>
      <c r="E102" s="5"/>
      <c r="F102" s="5"/>
      <c r="G102" s="5"/>
      <c r="H102" s="5"/>
      <c r="I102" s="5"/>
      <c r="J102" s="5">
        <v>3411</v>
      </c>
      <c r="K102" s="5">
        <v>3019</v>
      </c>
      <c r="L102" s="5">
        <v>3296</v>
      </c>
      <c r="M102" s="5">
        <v>3742</v>
      </c>
      <c r="N102" s="4">
        <v>4268</v>
      </c>
      <c r="O102" s="4">
        <v>2980</v>
      </c>
      <c r="P102" s="4">
        <v>2877</v>
      </c>
      <c r="AH102" s="5"/>
      <c r="AI102" s="5"/>
      <c r="AJ102" s="5"/>
      <c r="AK102" s="5"/>
    </row>
    <row r="103" spans="1:44" s="4" customFormat="1" x14ac:dyDescent="0.15">
      <c r="A103" s="4" t="s">
        <v>28</v>
      </c>
      <c r="B103" s="5"/>
      <c r="C103" s="5"/>
      <c r="D103" s="5"/>
      <c r="E103" s="5"/>
      <c r="F103" s="5"/>
      <c r="G103" s="5"/>
      <c r="H103" s="5"/>
      <c r="I103" s="5"/>
      <c r="J103" s="5">
        <v>12951</v>
      </c>
      <c r="K103" s="5">
        <v>12280</v>
      </c>
      <c r="L103" s="5">
        <v>13320</v>
      </c>
      <c r="M103" s="5">
        <v>16924</v>
      </c>
      <c r="N103" s="4">
        <v>18003</v>
      </c>
      <c r="O103" s="4">
        <v>19502</v>
      </c>
      <c r="P103" s="4">
        <v>19165</v>
      </c>
      <c r="AH103" s="5"/>
      <c r="AI103" s="5"/>
      <c r="AJ103" s="5"/>
      <c r="AK103" s="5"/>
    </row>
    <row r="104" spans="1:44" s="4" customFormat="1" x14ac:dyDescent="0.15">
      <c r="A104" s="4" t="s">
        <v>101</v>
      </c>
      <c r="B104" s="5"/>
      <c r="C104" s="5"/>
      <c r="D104" s="5"/>
      <c r="E104" s="5"/>
      <c r="F104" s="5"/>
      <c r="G104" s="5"/>
      <c r="H104" s="5"/>
      <c r="I104" s="5"/>
      <c r="J104" s="5">
        <v>63772</v>
      </c>
      <c r="K104" s="5">
        <v>67214</v>
      </c>
      <c r="L104" s="5">
        <v>70298</v>
      </c>
      <c r="M104" s="5">
        <v>74398</v>
      </c>
      <c r="N104" s="4">
        <v>77037</v>
      </c>
      <c r="O104" s="4">
        <v>82755</v>
      </c>
      <c r="P104" s="4">
        <v>88132</v>
      </c>
      <c r="AH104" s="5"/>
      <c r="AI104" s="5"/>
      <c r="AJ104" s="5"/>
      <c r="AK104" s="5"/>
    </row>
    <row r="105" spans="1:44" s="4" customFormat="1" x14ac:dyDescent="0.15">
      <c r="A105" s="4" t="s">
        <v>29</v>
      </c>
      <c r="B105" s="5"/>
      <c r="C105" s="5"/>
      <c r="D105" s="5"/>
      <c r="E105" s="5"/>
      <c r="F105" s="5"/>
      <c r="G105" s="5"/>
      <c r="H105" s="5"/>
      <c r="I105" s="5"/>
      <c r="J105" s="5">
        <v>11575</v>
      </c>
      <c r="K105" s="5">
        <v>12354</v>
      </c>
      <c r="L105" s="5">
        <v>12916</v>
      </c>
      <c r="M105" s="5">
        <v>13148</v>
      </c>
      <c r="N105" s="4">
        <v>13347</v>
      </c>
      <c r="O105" s="4">
        <v>13624</v>
      </c>
      <c r="P105" s="4">
        <v>13879</v>
      </c>
      <c r="AH105" s="5"/>
      <c r="AI105" s="5"/>
      <c r="AJ105" s="5"/>
      <c r="AK105" s="5"/>
    </row>
    <row r="106" spans="1:44" s="4" customFormat="1" x14ac:dyDescent="0.15">
      <c r="A106" s="4" t="s">
        <v>30</v>
      </c>
      <c r="B106" s="5"/>
      <c r="C106" s="5"/>
      <c r="D106" s="5"/>
      <c r="E106" s="5"/>
      <c r="F106" s="5"/>
      <c r="G106" s="5"/>
      <c r="H106" s="5"/>
      <c r="I106" s="5"/>
      <c r="J106" s="5">
        <f>50455+7794</f>
        <v>58249</v>
      </c>
      <c r="K106" s="5">
        <f>50921+7462</f>
        <v>58383</v>
      </c>
      <c r="L106" s="5">
        <f>67371+11348</f>
        <v>78719</v>
      </c>
      <c r="M106" s="5">
        <f>67524+11298</f>
        <v>78822</v>
      </c>
      <c r="N106" s="4">
        <f>67459+10808</f>
        <v>78267</v>
      </c>
      <c r="O106" s="4">
        <f>67905+10354</f>
        <v>78259</v>
      </c>
      <c r="P106" s="4">
        <f>67940+9879</f>
        <v>77819</v>
      </c>
      <c r="AH106" s="5"/>
      <c r="AI106" s="5"/>
      <c r="AJ106" s="5"/>
      <c r="AK106" s="5"/>
    </row>
    <row r="107" spans="1:44" s="4" customFormat="1" x14ac:dyDescent="0.15">
      <c r="A107" s="4" t="s">
        <v>32</v>
      </c>
      <c r="B107" s="5"/>
      <c r="C107" s="5"/>
      <c r="D107" s="5"/>
      <c r="E107" s="5"/>
      <c r="F107" s="5"/>
      <c r="G107" s="5"/>
      <c r="H107" s="5"/>
      <c r="I107" s="5"/>
      <c r="J107" s="5">
        <v>21103</v>
      </c>
      <c r="K107" s="5">
        <v>21256</v>
      </c>
      <c r="L107" s="5">
        <v>21845</v>
      </c>
      <c r="M107" s="5">
        <v>21897</v>
      </c>
      <c r="N107" s="4">
        <v>23482</v>
      </c>
      <c r="O107" s="4">
        <v>24994</v>
      </c>
      <c r="P107" s="4">
        <v>26954</v>
      </c>
      <c r="AH107" s="5"/>
      <c r="AI107" s="5"/>
      <c r="AJ107" s="5"/>
      <c r="AK107" s="5"/>
    </row>
    <row r="108" spans="1:44" s="6" customFormat="1" x14ac:dyDescent="0.15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>
        <f t="shared" ref="J108" si="141">SUM(J100:J107)</f>
        <v>335418</v>
      </c>
      <c r="K108" s="7">
        <f t="shared" ref="K108" si="142">SUM(K100:K107)</f>
        <v>340389</v>
      </c>
      <c r="L108" s="7">
        <f>SUM(L100:L107)</f>
        <v>344607</v>
      </c>
      <c r="M108" s="7">
        <f>SUM(M100:M107)</f>
        <v>364840</v>
      </c>
      <c r="N108" s="7">
        <f>SUM(N100:N107)</f>
        <v>359784</v>
      </c>
      <c r="O108" s="7">
        <f>SUM(O100:O107)</f>
        <v>364552</v>
      </c>
      <c r="P108" s="7">
        <f>SUM(P100:P107)</f>
        <v>380088</v>
      </c>
      <c r="AH108" s="7"/>
      <c r="AI108" s="7"/>
      <c r="AJ108" s="7"/>
      <c r="AK108" s="7"/>
    </row>
    <row r="110" spans="1:44" s="4" customFormat="1" x14ac:dyDescent="0.15">
      <c r="A110" s="4" t="s">
        <v>33</v>
      </c>
      <c r="B110" s="5"/>
      <c r="C110" s="5"/>
      <c r="D110" s="5"/>
      <c r="E110" s="5"/>
      <c r="F110" s="5"/>
      <c r="G110" s="5"/>
      <c r="H110" s="5"/>
      <c r="I110" s="5"/>
      <c r="J110" s="5">
        <v>14832</v>
      </c>
      <c r="K110" s="5">
        <v>15314</v>
      </c>
      <c r="L110" s="5">
        <v>16085</v>
      </c>
      <c r="M110" s="5">
        <v>19000</v>
      </c>
      <c r="N110" s="4">
        <v>16609</v>
      </c>
      <c r="O110" s="4">
        <v>15354</v>
      </c>
      <c r="P110" s="4">
        <v>15305</v>
      </c>
      <c r="AH110" s="5"/>
      <c r="AI110" s="5"/>
      <c r="AJ110" s="5"/>
      <c r="AK110" s="5"/>
    </row>
    <row r="111" spans="1:44" s="4" customFormat="1" x14ac:dyDescent="0.15">
      <c r="A111" s="4" t="s">
        <v>4</v>
      </c>
      <c r="B111" s="5"/>
      <c r="C111" s="5"/>
      <c r="D111" s="5"/>
      <c r="E111" s="5"/>
      <c r="F111" s="5"/>
      <c r="G111" s="5"/>
      <c r="H111" s="5"/>
      <c r="I111" s="5"/>
      <c r="J111" s="5">
        <f>3249+50039</f>
        <v>53288</v>
      </c>
      <c r="K111" s="5">
        <f>4998+48260</f>
        <v>53258</v>
      </c>
      <c r="L111" s="5">
        <f>1749+48177</f>
        <v>49926</v>
      </c>
      <c r="M111" s="5">
        <f>2749+47032</f>
        <v>49781</v>
      </c>
      <c r="N111" s="4">
        <f>3248+45374</f>
        <v>48622</v>
      </c>
      <c r="O111" s="4">
        <f>3997+44119</f>
        <v>48116</v>
      </c>
      <c r="P111" s="4">
        <f>6245+41965</f>
        <v>48210</v>
      </c>
      <c r="AH111" s="5"/>
      <c r="AI111" s="5"/>
      <c r="AJ111" s="5"/>
      <c r="AK111" s="5"/>
    </row>
    <row r="112" spans="1:44" s="4" customFormat="1" x14ac:dyDescent="0.15">
      <c r="A112" s="4" t="s">
        <v>35</v>
      </c>
      <c r="B112" s="5"/>
      <c r="C112" s="5"/>
      <c r="D112" s="5"/>
      <c r="E112" s="5"/>
      <c r="F112" s="5"/>
      <c r="G112" s="5"/>
      <c r="H112" s="5"/>
      <c r="I112" s="5"/>
      <c r="J112" s="5">
        <v>6894</v>
      </c>
      <c r="K112" s="5">
        <v>7782</v>
      </c>
      <c r="L112" s="5">
        <v>9067</v>
      </c>
      <c r="M112" s="5">
        <v>10661</v>
      </c>
      <c r="N112" s="4">
        <v>7405</v>
      </c>
      <c r="O112" s="4">
        <v>9030</v>
      </c>
      <c r="P112" s="4">
        <v>10411</v>
      </c>
      <c r="AH112" s="5"/>
      <c r="AI112" s="5"/>
      <c r="AJ112" s="5"/>
      <c r="AK112" s="5"/>
    </row>
    <row r="113" spans="1:37" s="4" customFormat="1" x14ac:dyDescent="0.15">
      <c r="A113" s="4" t="s">
        <v>21</v>
      </c>
      <c r="B113" s="5"/>
      <c r="C113" s="5"/>
      <c r="D113" s="5"/>
      <c r="E113" s="5"/>
      <c r="F113" s="5"/>
      <c r="G113" s="5"/>
      <c r="H113" s="5"/>
      <c r="I113" s="5"/>
      <c r="J113" s="5">
        <f>6272+25715+212</f>
        <v>32199</v>
      </c>
      <c r="K113" s="5">
        <f>3731+26121+199</f>
        <v>30051</v>
      </c>
      <c r="L113" s="5">
        <f>4646+26483+304</f>
        <v>31433</v>
      </c>
      <c r="M113" s="5">
        <f>4067+26069+230</f>
        <v>30366</v>
      </c>
      <c r="N113" s="4">
        <f>6729+23712</f>
        <v>30441</v>
      </c>
      <c r="O113" s="4">
        <f>289+3553+24169</f>
        <v>28011</v>
      </c>
      <c r="P113" s="4">
        <f>4163+302</f>
        <v>4465</v>
      </c>
      <c r="AH113" s="5"/>
      <c r="AI113" s="5"/>
      <c r="AJ113" s="5"/>
      <c r="AK113" s="5"/>
    </row>
    <row r="114" spans="1:37" s="4" customFormat="1" x14ac:dyDescent="0.15">
      <c r="A114" s="4" t="s">
        <v>34</v>
      </c>
      <c r="B114" s="5"/>
      <c r="C114" s="5"/>
      <c r="D114" s="5"/>
      <c r="E114" s="5"/>
      <c r="F114" s="5"/>
      <c r="G114" s="5"/>
      <c r="H114" s="5"/>
      <c r="I114" s="5"/>
      <c r="J114" s="5">
        <f>2550+38465</f>
        <v>41015</v>
      </c>
      <c r="K114" s="5">
        <f>2768+34001</f>
        <v>36769</v>
      </c>
      <c r="L114" s="5">
        <f>34027+2769</f>
        <v>36796</v>
      </c>
      <c r="M114" s="5">
        <f>45538+2870</f>
        <v>48408</v>
      </c>
      <c r="N114" s="4">
        <f>41340+2549+223</f>
        <v>44112</v>
      </c>
      <c r="O114" s="4">
        <f>2644+36982</f>
        <v>39626</v>
      </c>
      <c r="AH114" s="5"/>
      <c r="AI114" s="5"/>
      <c r="AJ114" s="5"/>
      <c r="AK114" s="5"/>
    </row>
    <row r="115" spans="1:37" s="4" customFormat="1" x14ac:dyDescent="0.15">
      <c r="A115" s="4" t="s">
        <v>36</v>
      </c>
      <c r="B115" s="5"/>
      <c r="C115" s="5"/>
      <c r="D115" s="5"/>
      <c r="E115" s="5"/>
      <c r="F115" s="5"/>
      <c r="G115" s="5"/>
      <c r="H115" s="5"/>
      <c r="I115" s="5"/>
      <c r="J115" s="5">
        <v>10816</v>
      </c>
      <c r="K115" s="5">
        <v>11684</v>
      </c>
      <c r="L115" s="5">
        <v>11865</v>
      </c>
      <c r="M115" s="5">
        <v>13067</v>
      </c>
      <c r="N115" s="4">
        <v>12058</v>
      </c>
      <c r="O115" s="4">
        <v>12802</v>
      </c>
      <c r="AH115" s="5"/>
      <c r="AI115" s="5"/>
      <c r="AJ115" s="5"/>
      <c r="AK115" s="5"/>
    </row>
    <row r="116" spans="1:37" s="4" customFormat="1" x14ac:dyDescent="0.15">
      <c r="A116" s="4" t="s">
        <v>29</v>
      </c>
      <c r="B116" s="5"/>
      <c r="C116" s="5"/>
      <c r="D116" s="5"/>
      <c r="E116" s="5"/>
      <c r="F116" s="5"/>
      <c r="G116" s="5"/>
      <c r="H116" s="5"/>
      <c r="I116" s="5"/>
      <c r="J116" s="5">
        <v>10050</v>
      </c>
      <c r="K116" s="5">
        <v>10774</v>
      </c>
      <c r="L116" s="5">
        <v>11357</v>
      </c>
      <c r="M116" s="5">
        <v>11489</v>
      </c>
      <c r="N116" s="4">
        <v>11660</v>
      </c>
      <c r="O116" s="4">
        <v>11998</v>
      </c>
      <c r="AH116" s="5"/>
      <c r="AI116" s="5"/>
      <c r="AJ116" s="5"/>
      <c r="AK116" s="5"/>
    </row>
    <row r="117" spans="1:37" s="4" customFormat="1" x14ac:dyDescent="0.15">
      <c r="A117" s="4" t="s">
        <v>38</v>
      </c>
      <c r="B117" s="5"/>
      <c r="C117" s="5"/>
      <c r="D117" s="5"/>
      <c r="E117" s="5"/>
      <c r="F117" s="5"/>
      <c r="G117" s="5"/>
      <c r="H117" s="5"/>
      <c r="I117" s="5"/>
      <c r="J117" s="5">
        <v>14346</v>
      </c>
      <c r="K117" s="5">
        <v>14747</v>
      </c>
      <c r="L117" s="5">
        <v>15154</v>
      </c>
      <c r="M117" s="5">
        <v>15526</v>
      </c>
      <c r="N117" s="4">
        <v>15311</v>
      </c>
      <c r="O117" s="4">
        <v>16479</v>
      </c>
      <c r="AH117" s="5"/>
      <c r="AI117" s="5"/>
      <c r="AJ117" s="5"/>
      <c r="AK117" s="5"/>
    </row>
    <row r="118" spans="1:37" s="4" customFormat="1" x14ac:dyDescent="0.15">
      <c r="A118" s="4" t="s">
        <v>37</v>
      </c>
      <c r="B118" s="5"/>
      <c r="C118" s="5"/>
      <c r="D118" s="5"/>
      <c r="E118" s="5"/>
      <c r="F118" s="5"/>
      <c r="G118" s="5"/>
      <c r="H118" s="5"/>
      <c r="I118" s="5"/>
      <c r="J118" s="5">
        <v>151978</v>
      </c>
      <c r="K118" s="5">
        <v>160010</v>
      </c>
      <c r="L118" s="5">
        <v>162924</v>
      </c>
      <c r="M118" s="5">
        <v>166542</v>
      </c>
      <c r="N118" s="4">
        <v>173566</v>
      </c>
      <c r="O118" s="4">
        <v>183136</v>
      </c>
      <c r="AH118" s="5"/>
      <c r="AI118" s="5"/>
      <c r="AJ118" s="5"/>
      <c r="AK118" s="5"/>
    </row>
    <row r="119" spans="1:37" s="6" customFormat="1" x14ac:dyDescent="0.15">
      <c r="A119" s="6" t="s">
        <v>61</v>
      </c>
      <c r="B119" s="7"/>
      <c r="C119" s="7"/>
      <c r="D119" s="7"/>
      <c r="E119" s="7"/>
      <c r="F119" s="7"/>
      <c r="G119" s="7"/>
      <c r="H119" s="7"/>
      <c r="I119" s="7"/>
      <c r="J119" s="7">
        <f t="shared" ref="J119:K119" si="143">SUM(J110:J118)</f>
        <v>335418</v>
      </c>
      <c r="K119" s="7">
        <f t="shared" si="143"/>
        <v>340389</v>
      </c>
      <c r="L119" s="7">
        <f>SUM(L110:L118)</f>
        <v>344607</v>
      </c>
      <c r="M119" s="7">
        <f>SUM(M110:M118)</f>
        <v>364840</v>
      </c>
      <c r="N119" s="7">
        <f>SUM(N110:N118)</f>
        <v>359784</v>
      </c>
      <c r="O119" s="7">
        <f>SUM(O110:O118)</f>
        <v>364552</v>
      </c>
      <c r="AH119" s="7"/>
      <c r="AI119" s="7"/>
      <c r="AJ119" s="7"/>
      <c r="AK119" s="7"/>
    </row>
    <row r="121" spans="1:37" s="4" customFormat="1" x14ac:dyDescent="0.15">
      <c r="A121" s="4" t="s">
        <v>39</v>
      </c>
      <c r="B121" s="5"/>
      <c r="C121" s="5"/>
      <c r="D121" s="5"/>
      <c r="E121" s="5"/>
      <c r="F121" s="5"/>
      <c r="G121" s="5"/>
      <c r="H121" s="5"/>
      <c r="I121" s="5"/>
      <c r="J121" s="5">
        <f t="shared" ref="J121" si="144">J89</f>
        <v>20505</v>
      </c>
      <c r="K121" s="5">
        <f>K89</f>
        <v>18765</v>
      </c>
      <c r="L121" s="5">
        <f>L89</f>
        <v>16728</v>
      </c>
      <c r="M121" s="5">
        <f>M89</f>
        <v>16740</v>
      </c>
      <c r="N121" s="5">
        <f>N89</f>
        <v>17556</v>
      </c>
      <c r="O121" s="5">
        <f>O89</f>
        <v>16425</v>
      </c>
      <c r="AH121" s="5"/>
      <c r="AI121" s="5"/>
      <c r="AJ121" s="5"/>
      <c r="AK121" s="5"/>
    </row>
    <row r="122" spans="1:37" s="4" customFormat="1" x14ac:dyDescent="0.15">
      <c r="A122" s="4" t="s">
        <v>40</v>
      </c>
      <c r="B122" s="5"/>
      <c r="C122" s="5"/>
      <c r="D122" s="5"/>
      <c r="E122" s="5"/>
      <c r="F122" s="5"/>
      <c r="G122" s="5"/>
      <c r="H122" s="5"/>
      <c r="I122" s="5"/>
      <c r="J122" s="5">
        <v>20505</v>
      </c>
      <c r="K122" s="5">
        <v>18765</v>
      </c>
      <c r="L122" s="5">
        <v>16728</v>
      </c>
      <c r="M122" s="5">
        <v>16740</v>
      </c>
      <c r="N122" s="4">
        <v>17556</v>
      </c>
      <c r="O122" s="4">
        <v>16425</v>
      </c>
      <c r="AH122" s="5"/>
      <c r="AI122" s="5"/>
      <c r="AJ122" s="5"/>
      <c r="AK122" s="5"/>
    </row>
    <row r="123" spans="1:37" s="4" customFormat="1" x14ac:dyDescent="0.15">
      <c r="A123" s="4" t="s">
        <v>42</v>
      </c>
      <c r="B123" s="5"/>
      <c r="C123" s="5"/>
      <c r="D123" s="5"/>
      <c r="E123" s="5"/>
      <c r="F123" s="5"/>
      <c r="G123" s="5"/>
      <c r="H123" s="5"/>
      <c r="I123" s="5"/>
      <c r="J123" s="5">
        <v>3212</v>
      </c>
      <c r="K123" s="5">
        <v>3496</v>
      </c>
      <c r="L123" s="5">
        <v>3773</v>
      </c>
      <c r="M123" s="5">
        <v>3979</v>
      </c>
      <c r="N123" s="4">
        <v>2790</v>
      </c>
      <c r="O123" s="4">
        <v>3648</v>
      </c>
      <c r="AH123" s="5"/>
      <c r="AI123" s="5"/>
      <c r="AJ123" s="5"/>
      <c r="AK123" s="5"/>
    </row>
    <row r="124" spans="1:37" s="4" customFormat="1" x14ac:dyDescent="0.15">
      <c r="A124" s="4" t="s">
        <v>43</v>
      </c>
      <c r="B124" s="5"/>
      <c r="C124" s="5"/>
      <c r="D124" s="5"/>
      <c r="E124" s="5"/>
      <c r="F124" s="5"/>
      <c r="G124" s="5"/>
      <c r="H124" s="5"/>
      <c r="I124" s="5"/>
      <c r="J124" s="5">
        <v>1702</v>
      </c>
      <c r="K124" s="5">
        <v>1897</v>
      </c>
      <c r="L124" s="5">
        <v>1906</v>
      </c>
      <c r="M124" s="5">
        <v>1997</v>
      </c>
      <c r="N124" s="4">
        <v>2192</v>
      </c>
      <c r="O124" s="4">
        <v>2538</v>
      </c>
      <c r="AH124" s="5"/>
      <c r="AI124" s="5"/>
      <c r="AJ124" s="5"/>
      <c r="AK124" s="5"/>
    </row>
    <row r="125" spans="1:37" s="4" customFormat="1" x14ac:dyDescent="0.15">
      <c r="A125" s="4" t="s">
        <v>44</v>
      </c>
      <c r="B125" s="5"/>
      <c r="C125" s="5"/>
      <c r="D125" s="5"/>
      <c r="E125" s="5"/>
      <c r="F125" s="5"/>
      <c r="G125" s="5"/>
      <c r="H125" s="5"/>
      <c r="I125" s="5"/>
      <c r="J125" s="5">
        <v>-364</v>
      </c>
      <c r="K125" s="5">
        <v>-307</v>
      </c>
      <c r="L125" s="5">
        <v>105</v>
      </c>
      <c r="M125" s="5">
        <v>157</v>
      </c>
      <c r="N125" s="4">
        <v>-22</v>
      </c>
      <c r="O125" s="4">
        <v>214</v>
      </c>
      <c r="AH125" s="5"/>
      <c r="AI125" s="5"/>
      <c r="AJ125" s="5"/>
      <c r="AK125" s="5"/>
    </row>
    <row r="126" spans="1:37" s="4" customFormat="1" x14ac:dyDescent="0.15">
      <c r="A126" s="4" t="s">
        <v>45</v>
      </c>
      <c r="B126" s="5"/>
      <c r="C126" s="5"/>
      <c r="D126" s="5"/>
      <c r="E126" s="5"/>
      <c r="F126" s="5"/>
      <c r="G126" s="5"/>
      <c r="H126" s="5"/>
      <c r="I126" s="5"/>
      <c r="J126" s="5">
        <v>-5970</v>
      </c>
      <c r="K126" s="5">
        <v>183</v>
      </c>
      <c r="L126" s="5">
        <v>-198</v>
      </c>
      <c r="M126" s="5">
        <v>283</v>
      </c>
      <c r="N126" s="4">
        <v>-1191</v>
      </c>
      <c r="O126" s="4">
        <v>-1305</v>
      </c>
      <c r="AH126" s="5"/>
      <c r="AI126" s="5"/>
      <c r="AJ126" s="5"/>
      <c r="AK126" s="5"/>
    </row>
    <row r="127" spans="1:37" s="4" customFormat="1" x14ac:dyDescent="0.15">
      <c r="A127" s="4" t="s">
        <v>46</v>
      </c>
      <c r="B127" s="5"/>
      <c r="C127" s="5"/>
      <c r="D127" s="5"/>
      <c r="E127" s="5"/>
      <c r="F127" s="5"/>
      <c r="G127" s="5"/>
      <c r="H127" s="5"/>
      <c r="I127" s="5"/>
      <c r="J127" s="5">
        <f>10486-777+940-598-471-2885+2653-4143+250</f>
        <v>5455</v>
      </c>
      <c r="K127" s="5">
        <f>-5543+394+830-908+235-4343-2057+1745+93</f>
        <v>-9554</v>
      </c>
      <c r="L127" s="5">
        <f>857-279+91-724+520-209+1091+1287+438</f>
        <v>3072</v>
      </c>
      <c r="M127" s="5">
        <f>-12634-461-2570-575+2659+12546-991+3455+44</f>
        <v>1473</v>
      </c>
      <c r="N127" s="4">
        <f>11729-543-332-666-1567-3322+410-4024+188</f>
        <v>1873</v>
      </c>
      <c r="O127" s="4">
        <f>-3164+1305-392-65-2058-5186-2863+1819+257</f>
        <v>-10347</v>
      </c>
      <c r="AH127" s="5"/>
      <c r="AI127" s="5"/>
      <c r="AJ127" s="5"/>
      <c r="AK127" s="5"/>
    </row>
    <row r="128" spans="1:37" s="4" customFormat="1" x14ac:dyDescent="0.15">
      <c r="A128" s="4" t="s">
        <v>41</v>
      </c>
      <c r="B128" s="5"/>
      <c r="C128" s="5"/>
      <c r="D128" s="5"/>
      <c r="E128" s="5"/>
      <c r="F128" s="5"/>
      <c r="G128" s="5"/>
      <c r="H128" s="5"/>
      <c r="I128" s="5"/>
      <c r="J128" s="5">
        <f t="shared" ref="J128" si="145">SUM(J122:J127)</f>
        <v>24540</v>
      </c>
      <c r="K128" s="5">
        <f t="shared" ref="K128" si="146">SUM(K122:K127)</f>
        <v>14480</v>
      </c>
      <c r="L128" s="5">
        <f>SUM(L122:L127)</f>
        <v>25386</v>
      </c>
      <c r="M128" s="5">
        <f>SUM(M122:M127)</f>
        <v>24629</v>
      </c>
      <c r="N128" s="5">
        <f>SUM(N122:N127)</f>
        <v>23198</v>
      </c>
      <c r="O128" s="5">
        <f>SUM(O122:O127)</f>
        <v>11173</v>
      </c>
      <c r="AH128" s="5"/>
      <c r="AI128" s="5"/>
      <c r="AJ128" s="5"/>
      <c r="AK128" s="5"/>
    </row>
    <row r="129" spans="1:37" s="4" customFormat="1" x14ac:dyDescent="0.15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AH129" s="5"/>
      <c r="AI129" s="5"/>
      <c r="AJ129" s="5"/>
      <c r="AK129" s="5"/>
    </row>
    <row r="130" spans="1:37" s="4" customFormat="1" x14ac:dyDescent="0.15">
      <c r="A130" s="4" t="s">
        <v>48</v>
      </c>
      <c r="B130" s="5"/>
      <c r="C130" s="5"/>
      <c r="D130" s="5"/>
      <c r="E130" s="5"/>
      <c r="F130" s="5"/>
      <c r="G130" s="5"/>
      <c r="H130" s="5"/>
      <c r="I130" s="5"/>
      <c r="J130" s="5">
        <v>-5810</v>
      </c>
      <c r="K130" s="5">
        <v>-5865</v>
      </c>
      <c r="L130" s="5">
        <v>-5340</v>
      </c>
      <c r="M130" s="5">
        <v>-6871</v>
      </c>
      <c r="N130" s="4">
        <v>-6283</v>
      </c>
      <c r="O130" s="4">
        <v>-6274</v>
      </c>
      <c r="AH130" s="5"/>
      <c r="AI130" s="5"/>
      <c r="AJ130" s="5"/>
      <c r="AK130" s="5"/>
    </row>
    <row r="131" spans="1:37" s="4" customFormat="1" x14ac:dyDescent="0.15">
      <c r="A131" s="4" t="s">
        <v>49</v>
      </c>
      <c r="B131" s="5"/>
      <c r="C131" s="5"/>
      <c r="D131" s="5"/>
      <c r="E131" s="5"/>
      <c r="F131" s="5"/>
      <c r="G131" s="5"/>
      <c r="H131" s="5"/>
      <c r="I131" s="5"/>
      <c r="J131" s="5">
        <v>-1206</v>
      </c>
      <c r="K131" s="5">
        <v>-850</v>
      </c>
      <c r="L131" s="5">
        <v>-18719</v>
      </c>
      <c r="M131" s="5">
        <v>-1263</v>
      </c>
      <c r="N131" s="4">
        <v>-349</v>
      </c>
      <c r="O131" s="4">
        <v>-679</v>
      </c>
      <c r="AH131" s="5"/>
      <c r="AI131" s="5"/>
      <c r="AJ131" s="5"/>
      <c r="AK131" s="5"/>
    </row>
    <row r="132" spans="1:37" s="4" customFormat="1" x14ac:dyDescent="0.15">
      <c r="A132" s="4" t="s">
        <v>50</v>
      </c>
      <c r="B132" s="5"/>
      <c r="C132" s="5"/>
      <c r="D132" s="5"/>
      <c r="E132" s="5"/>
      <c r="F132" s="5"/>
      <c r="G132" s="5"/>
      <c r="H132" s="5"/>
      <c r="I132" s="5"/>
      <c r="J132" s="5">
        <f>-10309+8862+5630</f>
        <v>4183</v>
      </c>
      <c r="K132" s="5">
        <f>-2505+5253+2895</f>
        <v>5643</v>
      </c>
      <c r="L132" s="5">
        <f>-8723+1099+16693</f>
        <v>9069</v>
      </c>
      <c r="M132" s="5">
        <f>-4919+1237+3225</f>
        <v>-457</v>
      </c>
      <c r="N132" s="4">
        <f>-5013+6662+2711</f>
        <v>4360</v>
      </c>
      <c r="O132" s="4">
        <f>-11599+6928+4775</f>
        <v>104</v>
      </c>
      <c r="AH132" s="5"/>
      <c r="AI132" s="5"/>
      <c r="AJ132" s="5"/>
      <c r="AK132" s="5"/>
    </row>
    <row r="133" spans="1:37" s="4" customFormat="1" x14ac:dyDescent="0.15">
      <c r="A133" s="4" t="s">
        <v>19</v>
      </c>
      <c r="B133" s="5"/>
      <c r="C133" s="5"/>
      <c r="D133" s="5"/>
      <c r="E133" s="5"/>
      <c r="F133" s="5"/>
      <c r="G133" s="5"/>
      <c r="H133" s="5"/>
      <c r="I133" s="5"/>
      <c r="J133" s="5">
        <v>-417</v>
      </c>
      <c r="K133" s="5">
        <v>-89</v>
      </c>
      <c r="L133" s="5">
        <v>-1181</v>
      </c>
      <c r="M133" s="5">
        <v>-1138</v>
      </c>
      <c r="N133" s="4">
        <v>-860</v>
      </c>
      <c r="O133" s="4">
        <v>-301</v>
      </c>
      <c r="AH133" s="5"/>
      <c r="AI133" s="5"/>
      <c r="AJ133" s="5"/>
      <c r="AK133" s="5"/>
    </row>
    <row r="134" spans="1:37" s="4" customFormat="1" x14ac:dyDescent="0.15">
      <c r="A134" s="4" t="s">
        <v>47</v>
      </c>
      <c r="B134" s="5"/>
      <c r="C134" s="5"/>
      <c r="D134" s="5"/>
      <c r="E134" s="5"/>
      <c r="F134" s="5"/>
      <c r="G134" s="5"/>
      <c r="H134" s="5"/>
      <c r="I134" s="5"/>
      <c r="J134" s="5">
        <f t="shared" ref="J134:K134" si="147">SUM(J130:J133)</f>
        <v>-3250</v>
      </c>
      <c r="K134" s="5">
        <f t="shared" si="147"/>
        <v>-1161</v>
      </c>
      <c r="L134" s="5">
        <f>SUM(L130:L133)</f>
        <v>-16171</v>
      </c>
      <c r="M134" s="5">
        <f>SUM(M130:M133)</f>
        <v>-9729</v>
      </c>
      <c r="N134" s="5">
        <f>SUM(N130:N133)</f>
        <v>-3132</v>
      </c>
      <c r="O134" s="5">
        <f>SUM(O130:O133)</f>
        <v>-7150</v>
      </c>
      <c r="AH134" s="5"/>
      <c r="AI134" s="5"/>
      <c r="AJ134" s="5"/>
      <c r="AK134" s="5"/>
    </row>
    <row r="136" spans="1:37" s="4" customFormat="1" x14ac:dyDescent="0.15">
      <c r="A136" s="4" t="s">
        <v>51</v>
      </c>
      <c r="B136" s="5"/>
      <c r="C136" s="5"/>
      <c r="D136" s="5"/>
      <c r="E136" s="5"/>
      <c r="F136" s="5"/>
      <c r="G136" s="5"/>
      <c r="H136" s="5"/>
      <c r="I136" s="5"/>
      <c r="J136" s="5">
        <v>0</v>
      </c>
      <c r="K136" s="5">
        <v>0</v>
      </c>
      <c r="L136" s="5">
        <v>0</v>
      </c>
      <c r="M136" s="5">
        <v>0</v>
      </c>
      <c r="N136" s="4">
        <v>0</v>
      </c>
      <c r="AH136" s="5"/>
      <c r="AI136" s="5"/>
      <c r="AJ136" s="5"/>
      <c r="AK136" s="5"/>
    </row>
    <row r="137" spans="1:37" s="4" customFormat="1" x14ac:dyDescent="0.15">
      <c r="A137" s="4" t="s">
        <v>52</v>
      </c>
      <c r="B137" s="5"/>
      <c r="C137" s="5"/>
      <c r="D137" s="5"/>
      <c r="E137" s="5"/>
      <c r="F137" s="5"/>
      <c r="G137" s="5"/>
      <c r="H137" s="5"/>
      <c r="I137" s="5"/>
      <c r="J137" s="5">
        <v>-4826</v>
      </c>
      <c r="K137" s="5">
        <v>0</v>
      </c>
      <c r="L137" s="5">
        <v>-4197</v>
      </c>
      <c r="M137" s="5">
        <v>0</v>
      </c>
      <c r="N137" s="4">
        <v>-1000</v>
      </c>
      <c r="O137" s="4">
        <v>-750</v>
      </c>
      <c r="AH137" s="5"/>
      <c r="AI137" s="5"/>
      <c r="AJ137" s="5"/>
      <c r="AK137" s="5"/>
    </row>
    <row r="138" spans="1:37" s="4" customFormat="1" x14ac:dyDescent="0.15">
      <c r="A138" s="4" t="s">
        <v>53</v>
      </c>
      <c r="B138" s="5"/>
      <c r="C138" s="5"/>
      <c r="D138" s="5"/>
      <c r="E138" s="5"/>
      <c r="F138" s="5"/>
      <c r="G138" s="5"/>
      <c r="H138" s="5"/>
      <c r="I138" s="5"/>
      <c r="J138" s="5">
        <f>612-7684</f>
        <v>-7072</v>
      </c>
      <c r="K138" s="5">
        <f>291-7433</f>
        <v>-7142</v>
      </c>
      <c r="L138" s="5">
        <f>477-8822</f>
        <v>-8345</v>
      </c>
      <c r="M138" s="5">
        <f>-8757+461</f>
        <v>-8296</v>
      </c>
      <c r="N138" s="4">
        <f>575-5573</f>
        <v>-4998</v>
      </c>
      <c r="O138" s="4">
        <f>243-5459</f>
        <v>-5216</v>
      </c>
      <c r="AH138" s="5"/>
      <c r="AI138" s="5"/>
      <c r="AJ138" s="5"/>
      <c r="AK138" s="5"/>
    </row>
    <row r="139" spans="1:37" s="4" customFormat="1" x14ac:dyDescent="0.15">
      <c r="A139" s="4" t="s">
        <v>54</v>
      </c>
      <c r="B139" s="5"/>
      <c r="C139" s="5"/>
      <c r="D139" s="5"/>
      <c r="E139" s="5"/>
      <c r="F139" s="5"/>
      <c r="G139" s="5"/>
      <c r="H139" s="5"/>
      <c r="I139" s="5"/>
      <c r="J139" s="5">
        <v>-4206</v>
      </c>
      <c r="K139" s="5">
        <v>-4652</v>
      </c>
      <c r="L139" s="5">
        <v>-4645</v>
      </c>
      <c r="M139" s="5">
        <v>-4632</v>
      </c>
      <c r="N139" s="4">
        <v>-4621</v>
      </c>
      <c r="O139" s="4">
        <v>-5066</v>
      </c>
      <c r="AH139" s="5"/>
      <c r="AI139" s="5"/>
      <c r="AJ139" s="5"/>
      <c r="AK139" s="5"/>
    </row>
    <row r="140" spans="1:37" s="4" customFormat="1" x14ac:dyDescent="0.15">
      <c r="A140" s="4" t="s">
        <v>19</v>
      </c>
      <c r="B140" s="5"/>
      <c r="C140" s="5"/>
      <c r="D140" s="5"/>
      <c r="E140" s="5"/>
      <c r="F140" s="5"/>
      <c r="G140" s="5"/>
      <c r="H140" s="5"/>
      <c r="I140" s="5"/>
      <c r="J140" s="5">
        <v>-172</v>
      </c>
      <c r="K140" s="5">
        <v>-192</v>
      </c>
      <c r="L140" s="5">
        <v>-158</v>
      </c>
      <c r="M140" s="5">
        <v>-341</v>
      </c>
      <c r="N140" s="4">
        <v>-264</v>
      </c>
      <c r="O140" s="4">
        <v>-317</v>
      </c>
      <c r="AH140" s="5"/>
      <c r="AI140" s="5"/>
      <c r="AJ140" s="5"/>
      <c r="AK140" s="5"/>
    </row>
    <row r="141" spans="1:37" s="4" customFormat="1" x14ac:dyDescent="0.15">
      <c r="A141" s="4" t="s">
        <v>55</v>
      </c>
      <c r="B141" s="5"/>
      <c r="C141" s="5"/>
      <c r="D141" s="5"/>
      <c r="E141" s="5"/>
      <c r="F141" s="5"/>
      <c r="G141" s="5"/>
      <c r="H141" s="5"/>
      <c r="I141" s="5"/>
      <c r="J141" s="5">
        <f t="shared" ref="J141" si="148">SUM(J136:J140)</f>
        <v>-16276</v>
      </c>
      <c r="K141" s="5">
        <f>SUM(K136:K140)</f>
        <v>-11986</v>
      </c>
      <c r="L141" s="5">
        <f>SUM(L136:L140)</f>
        <v>-17345</v>
      </c>
      <c r="M141" s="5">
        <f>SUM(M136:M140)</f>
        <v>-13269</v>
      </c>
      <c r="N141" s="5">
        <f>SUM(N136:N140)</f>
        <v>-10883</v>
      </c>
      <c r="O141" s="5">
        <f>SUM(O136:O140)</f>
        <v>-11349</v>
      </c>
      <c r="AH141" s="5"/>
      <c r="AI141" s="5"/>
      <c r="AJ141" s="5"/>
      <c r="AK141" s="5"/>
    </row>
    <row r="142" spans="1:37" x14ac:dyDescent="0.15">
      <c r="A142" s="4" t="s">
        <v>56</v>
      </c>
      <c r="J142" s="2">
        <v>-73</v>
      </c>
      <c r="K142" s="2">
        <v>106</v>
      </c>
      <c r="L142" s="2">
        <v>24</v>
      </c>
      <c r="M142" s="2">
        <v>-198</v>
      </c>
      <c r="N142" s="4">
        <v>-230</v>
      </c>
      <c r="O142">
        <v>88</v>
      </c>
    </row>
    <row r="143" spans="1:37" x14ac:dyDescent="0.15">
      <c r="A143" s="4" t="s">
        <v>57</v>
      </c>
      <c r="J143" s="5">
        <f t="shared" ref="J143" si="149">J141+J142+J134+J128</f>
        <v>4941</v>
      </c>
      <c r="K143" s="5">
        <f>K141+K142+K134+K128</f>
        <v>1439</v>
      </c>
      <c r="L143" s="5">
        <f>L141+L142+L134+L128</f>
        <v>-8106</v>
      </c>
      <c r="M143" s="5">
        <f>M141+M142+M134+M128</f>
        <v>1433</v>
      </c>
      <c r="N143" s="5">
        <f>N141+N142+N134+N128</f>
        <v>8953</v>
      </c>
      <c r="O143" s="5">
        <f>O141+O142+O134+O128</f>
        <v>-7238</v>
      </c>
    </row>
    <row r="145" spans="1:39" x14ac:dyDescent="0.15">
      <c r="A145" s="4" t="s">
        <v>62</v>
      </c>
      <c r="J145" s="5">
        <f t="shared" ref="J145" si="150">J128+J130</f>
        <v>18730</v>
      </c>
      <c r="K145" s="5">
        <f>K128+K130</f>
        <v>8615</v>
      </c>
      <c r="L145" s="5">
        <f t="shared" ref="L145:M145" si="151">L128+L130</f>
        <v>20046</v>
      </c>
      <c r="M145" s="5">
        <f t="shared" si="151"/>
        <v>17758</v>
      </c>
      <c r="N145" s="5">
        <f>N128+N130</f>
        <v>16915</v>
      </c>
      <c r="O145" s="5">
        <f>O128+O130</f>
        <v>4899</v>
      </c>
    </row>
    <row r="146" spans="1:39" x14ac:dyDescent="0.15">
      <c r="A146" s="4" t="s">
        <v>81</v>
      </c>
      <c r="K146" s="5"/>
      <c r="M146" s="4">
        <f>SUM(J145:M145)</f>
        <v>65149</v>
      </c>
      <c r="N146" s="4">
        <f>SUM(K145:N145)</f>
        <v>63334</v>
      </c>
      <c r="O146" s="4">
        <f>SUM(L145:O145)</f>
        <v>59618</v>
      </c>
    </row>
    <row r="147" spans="1:39" x14ac:dyDescent="0.15">
      <c r="A147" s="4" t="s">
        <v>102</v>
      </c>
      <c r="J147" s="5">
        <f t="shared" ref="J147:O147" si="152">J128+J130-J124</f>
        <v>17028</v>
      </c>
      <c r="K147" s="5">
        <f t="shared" si="152"/>
        <v>6718</v>
      </c>
      <c r="L147" s="5">
        <f t="shared" si="152"/>
        <v>18140</v>
      </c>
      <c r="M147" s="5">
        <f t="shared" si="152"/>
        <v>15761</v>
      </c>
      <c r="N147" s="5">
        <f t="shared" si="152"/>
        <v>14723</v>
      </c>
      <c r="O147" s="5">
        <f t="shared" si="152"/>
        <v>2361</v>
      </c>
    </row>
    <row r="148" spans="1:39" x14ac:dyDescent="0.15">
      <c r="A148" s="4" t="s">
        <v>81</v>
      </c>
      <c r="M148" s="4">
        <f>SUM(J147:M147)</f>
        <v>57647</v>
      </c>
      <c r="N148" s="4">
        <f t="shared" ref="N148:O148" si="153">SUM(K147:N147)</f>
        <v>55342</v>
      </c>
      <c r="O148" s="4">
        <f t="shared" si="153"/>
        <v>50985</v>
      </c>
    </row>
    <row r="150" spans="1:39" x14ac:dyDescent="0.15">
      <c r="A150" s="4" t="s">
        <v>104</v>
      </c>
      <c r="J150" s="16">
        <f>J145/J92</f>
        <v>2.4752213558874057</v>
      </c>
      <c r="K150" s="16">
        <f t="shared" ref="K150:O150" si="154">K145/K92</f>
        <v>1.1403044341495698</v>
      </c>
      <c r="L150" s="16">
        <f t="shared" si="154"/>
        <v>2.6607379877886914</v>
      </c>
      <c r="M150" s="16">
        <f t="shared" si="154"/>
        <v>2.3658406608046896</v>
      </c>
      <c r="N150" s="16">
        <f t="shared" si="154"/>
        <v>2.2598530394121576</v>
      </c>
      <c r="O150" s="16">
        <f t="shared" si="154"/>
        <v>0.65749563816937329</v>
      </c>
    </row>
    <row r="151" spans="1:39" x14ac:dyDescent="0.15">
      <c r="A151" s="4" t="s">
        <v>103</v>
      </c>
      <c r="J151" s="16">
        <f>J147/J92</f>
        <v>2.250297343729351</v>
      </c>
      <c r="K151" s="16">
        <f t="shared" ref="K151:O151" si="155">K147/K92</f>
        <v>0.88921244209133021</v>
      </c>
      <c r="L151" s="16">
        <f t="shared" si="155"/>
        <v>2.4077515264135916</v>
      </c>
      <c r="M151" s="16">
        <f t="shared" si="155"/>
        <v>2.0997868371969091</v>
      </c>
      <c r="N151" s="16">
        <f t="shared" si="155"/>
        <v>1.9670006680026719</v>
      </c>
      <c r="O151" s="16">
        <f t="shared" si="155"/>
        <v>0.3168702187625822</v>
      </c>
    </row>
    <row r="157" spans="1:39" x14ac:dyDescent="0.15">
      <c r="A157" t="s">
        <v>135</v>
      </c>
      <c r="AE157">
        <v>124</v>
      </c>
      <c r="AF157">
        <v>131</v>
      </c>
      <c r="AG157">
        <v>144</v>
      </c>
      <c r="AH157" s="2">
        <v>163</v>
      </c>
      <c r="AI157" s="2">
        <v>181</v>
      </c>
      <c r="AJ157" s="2">
        <v>221</v>
      </c>
      <c r="AK157" s="2">
        <f>AJ157-10</f>
        <v>211</v>
      </c>
      <c r="AL157" s="24"/>
      <c r="AM157" s="24"/>
    </row>
    <row r="158" spans="1:39" x14ac:dyDescent="0.15">
      <c r="A158" t="s">
        <v>136</v>
      </c>
      <c r="AE158">
        <v>124</v>
      </c>
      <c r="AF158" s="24">
        <f>AE158*(1+$AI$161)</f>
        <v>136.29687785496807</v>
      </c>
      <c r="AG158" s="24">
        <f t="shared" ref="AG158:AK158" si="156">AF158*(1+$AI$161)</f>
        <v>149.81321704042006</v>
      </c>
      <c r="AH158" s="24">
        <f t="shared" si="156"/>
        <v>164.66994954853189</v>
      </c>
      <c r="AI158" s="24">
        <f t="shared" si="156"/>
        <v>181.00000000000006</v>
      </c>
      <c r="AJ158" s="24">
        <f t="shared" si="156"/>
        <v>198.94947493346152</v>
      </c>
      <c r="AK158" s="24">
        <f t="shared" si="156"/>
        <v>218.67897003480675</v>
      </c>
      <c r="AL158" s="24"/>
      <c r="AM158" s="24"/>
    </row>
    <row r="159" spans="1:39" x14ac:dyDescent="0.15">
      <c r="A159" t="s">
        <v>144</v>
      </c>
      <c r="AE159" s="24">
        <f>AE84/AE157</f>
        <v>265.95967741935482</v>
      </c>
      <c r="AF159" s="24">
        <f t="shared" ref="AF159:AK159" si="157">AF84/AF157</f>
        <v>282.05343511450383</v>
      </c>
      <c r="AG159" s="24">
        <f t="shared" si="157"/>
        <v>277.59722222222223</v>
      </c>
      <c r="AH159" s="24">
        <f t="shared" si="157"/>
        <v>269.80368098159511</v>
      </c>
      <c r="AI159" s="24">
        <f t="shared" si="157"/>
        <v>253.81215469613261</v>
      </c>
      <c r="AJ159" s="24">
        <f t="shared" si="157"/>
        <v>236.36651583710406</v>
      </c>
      <c r="AK159" s="24">
        <f t="shared" si="157"/>
        <v>200.9431279620853</v>
      </c>
    </row>
    <row r="160" spans="1:39" x14ac:dyDescent="0.15">
      <c r="AF160" s="2">
        <f>AF157/AE157-1</f>
        <v>5.6451612903225756E-2</v>
      </c>
      <c r="AG160" s="2">
        <f t="shared" ref="AG160:AI160" si="158">AG157/AF157-1</f>
        <v>9.92366412213741E-2</v>
      </c>
      <c r="AH160" s="2">
        <f t="shared" si="158"/>
        <v>0.13194444444444442</v>
      </c>
      <c r="AI160" s="2">
        <f t="shared" si="158"/>
        <v>0.11042944785276076</v>
      </c>
      <c r="AJ160" s="2">
        <f>AJ157/AI157-1</f>
        <v>0.22099447513812165</v>
      </c>
    </row>
    <row r="161" spans="35:35" x14ac:dyDescent="0.15">
      <c r="AI161" s="2">
        <f>(AI157/AE157)^(1/4)-1</f>
        <v>9.9168369798129596E-2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5210-7C59-994D-9A57-A859AB5032EE}">
  <dimension ref="L96"/>
  <sheetViews>
    <sheetView topLeftCell="A16" zoomScale="50" zoomScaleNormal="50" workbookViewId="0">
      <selection activeCell="AH88" sqref="AH88"/>
    </sheetView>
  </sheetViews>
  <sheetFormatPr baseColWidth="10" defaultRowHeight="13" x14ac:dyDescent="0.15"/>
  <cols>
    <col min="1" max="16384" width="10.83203125" style="25"/>
  </cols>
  <sheetData>
    <row r="96" spans="12:12" x14ac:dyDescent="0.15">
      <c r="L96" s="25" t="s">
        <v>159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D9F0-7ADB-B244-BBAB-03C4A03AB465}">
  <dimension ref="B3:C7"/>
  <sheetViews>
    <sheetView workbookViewId="0">
      <selection activeCell="C7" sqref="C7"/>
    </sheetView>
  </sheetViews>
  <sheetFormatPr baseColWidth="10" defaultRowHeight="13" x14ac:dyDescent="0.15"/>
  <sheetData>
    <row r="3" spans="2:3" x14ac:dyDescent="0.15">
      <c r="B3" t="s">
        <v>78</v>
      </c>
      <c r="C3" s="12">
        <v>-0.02</v>
      </c>
    </row>
    <row r="4" spans="2:3" x14ac:dyDescent="0.15">
      <c r="B4" s="3" t="s">
        <v>77</v>
      </c>
      <c r="C4" s="13">
        <v>7.0000000000000007E-2</v>
      </c>
    </row>
    <row r="5" spans="2:3" x14ac:dyDescent="0.15">
      <c r="B5" t="s">
        <v>79</v>
      </c>
      <c r="C5" s="12">
        <v>0.01</v>
      </c>
    </row>
    <row r="6" spans="2:3" x14ac:dyDescent="0.15">
      <c r="B6" t="s">
        <v>80</v>
      </c>
      <c r="C6" s="4">
        <f>NPV(C4,Model!AK89:CX89)+Main!L5-Main!L6</f>
        <v>1967206.7582683624</v>
      </c>
    </row>
    <row r="7" spans="2:3" x14ac:dyDescent="0.15">
      <c r="B7" t="s">
        <v>84</v>
      </c>
      <c r="C7" s="1">
        <f>+C6/Main!L3</f>
        <v>261.11053335125598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Elements</vt:lpstr>
      <vt:lpstr>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evan domingos - 2023</cp:lastModifiedBy>
  <dcterms:created xsi:type="dcterms:W3CDTF">2022-07-14T12:26:44Z</dcterms:created>
  <dcterms:modified xsi:type="dcterms:W3CDTF">2023-04-25T23:23:59Z</dcterms:modified>
</cp:coreProperties>
</file>