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van/Desktop/WhiteSky/Models/"/>
    </mc:Choice>
  </mc:AlternateContent>
  <xr:revisionPtr revIDLastSave="0" documentId="13_ncr:1_{B763899D-C83C-F34E-8176-4635F13BF9A4}" xr6:coauthVersionLast="47" xr6:coauthVersionMax="47" xr10:uidLastSave="{00000000-0000-0000-0000-000000000000}"/>
  <bookViews>
    <workbookView xWindow="0" yWindow="760" windowWidth="30240" windowHeight="18880" activeTab="6" xr2:uid="{DF105585-55F7-489F-BFB3-1F48B85ABA8A}"/>
  </bookViews>
  <sheets>
    <sheet name="Cover" sheetId="8" r:id="rId1"/>
    <sheet name="Main" sheetId="1" r:id="rId2"/>
    <sheet name="Drivers" sheetId="5" r:id="rId3"/>
    <sheet name="Model" sheetId="6" r:id="rId4"/>
    <sheet name="BS" sheetId="10" r:id="rId5"/>
    <sheet name="CFS" sheetId="9" r:id="rId6"/>
    <sheet name="Legal Disclosur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82" i="5" l="1"/>
  <c r="G27" i="5"/>
  <c r="H27" i="5"/>
  <c r="I27" i="5"/>
  <c r="J27" i="5"/>
  <c r="K27" i="5"/>
  <c r="L27" i="5"/>
  <c r="M27" i="5"/>
  <c r="N27" i="5"/>
  <c r="O27" i="5"/>
  <c r="F27" i="5"/>
  <c r="Q26" i="5"/>
  <c r="U26" i="5" s="1"/>
  <c r="Y26" i="5" s="1"/>
  <c r="R26" i="5"/>
  <c r="V26" i="5" s="1"/>
  <c r="S26" i="5"/>
  <c r="W26" i="5" s="1"/>
  <c r="P26" i="5"/>
  <c r="T26" i="5" s="1"/>
  <c r="X26" i="5" s="1"/>
  <c r="C28" i="5"/>
  <c r="D28" i="5"/>
  <c r="E28" i="5"/>
  <c r="F28" i="5"/>
  <c r="G28" i="5"/>
  <c r="H28" i="5"/>
  <c r="I28" i="5"/>
  <c r="J28" i="5"/>
  <c r="K28" i="5"/>
  <c r="L28" i="5"/>
  <c r="M28" i="5"/>
  <c r="N28" i="5"/>
  <c r="O28" i="5"/>
  <c r="B28" i="5"/>
  <c r="Q30" i="5"/>
  <c r="U30" i="5" s="1"/>
  <c r="Y30" i="5" s="1"/>
  <c r="R30" i="5"/>
  <c r="V30" i="5" s="1"/>
  <c r="S30" i="5"/>
  <c r="W30" i="5" s="1"/>
  <c r="P30" i="5"/>
  <c r="T30" i="5" s="1"/>
  <c r="X30" i="5" s="1"/>
  <c r="G31" i="5"/>
  <c r="H31" i="5"/>
  <c r="I31" i="5"/>
  <c r="J31" i="5"/>
  <c r="K31" i="5"/>
  <c r="L31" i="5"/>
  <c r="M31" i="5"/>
  <c r="N31" i="5"/>
  <c r="O31" i="5"/>
  <c r="F31" i="5"/>
  <c r="Q36" i="6"/>
  <c r="U36" i="6" s="1"/>
  <c r="R36" i="6"/>
  <c r="V36" i="6" s="1"/>
  <c r="S36" i="6"/>
  <c r="W36" i="6" s="1"/>
  <c r="Q32" i="6"/>
  <c r="U32" i="6" s="1"/>
  <c r="R32" i="6"/>
  <c r="S32" i="6"/>
  <c r="Q28" i="6"/>
  <c r="R28" i="6"/>
  <c r="V28" i="6" s="1"/>
  <c r="S28" i="6"/>
  <c r="W28" i="6" s="1"/>
  <c r="P28" i="6"/>
  <c r="P32" i="6"/>
  <c r="P36" i="6"/>
  <c r="T36" i="6" s="1"/>
  <c r="X36" i="6" s="1"/>
  <c r="O38" i="6"/>
  <c r="N38" i="6"/>
  <c r="M38" i="6"/>
  <c r="L38" i="6"/>
  <c r="K38" i="6"/>
  <c r="J38" i="6"/>
  <c r="I37" i="6"/>
  <c r="H37" i="6"/>
  <c r="G37" i="6"/>
  <c r="N30" i="6"/>
  <c r="M30" i="6"/>
  <c r="L30" i="6"/>
  <c r="K30" i="6"/>
  <c r="J30" i="6"/>
  <c r="I29" i="6"/>
  <c r="H29" i="6"/>
  <c r="G29" i="6"/>
  <c r="K34" i="6"/>
  <c r="L34" i="6"/>
  <c r="M34" i="6"/>
  <c r="N34" i="6"/>
  <c r="O34" i="6"/>
  <c r="J34" i="6"/>
  <c r="G33" i="6"/>
  <c r="H33" i="6"/>
  <c r="I33" i="6"/>
  <c r="H16" i="6"/>
  <c r="I16" i="6"/>
  <c r="O55" i="5"/>
  <c r="O50" i="5"/>
  <c r="O18" i="5"/>
  <c r="O35" i="5"/>
  <c r="N35" i="5"/>
  <c r="Q17" i="5"/>
  <c r="U17" i="5" s="1"/>
  <c r="Y17" i="5" s="1"/>
  <c r="R17" i="5"/>
  <c r="V17" i="5" s="1"/>
  <c r="S17" i="5"/>
  <c r="W17" i="5" s="1"/>
  <c r="P17" i="5"/>
  <c r="T17" i="5" s="1"/>
  <c r="X17" i="5" s="1"/>
  <c r="O15" i="5"/>
  <c r="K72" i="5"/>
  <c r="L72" i="5"/>
  <c r="M72" i="5"/>
  <c r="N72" i="5"/>
  <c r="J72" i="5"/>
  <c r="I19" i="6"/>
  <c r="H19" i="6"/>
  <c r="G19" i="6"/>
  <c r="K20" i="6"/>
  <c r="L20" i="6"/>
  <c r="M20" i="6"/>
  <c r="N20" i="6"/>
  <c r="J20" i="6"/>
  <c r="G23" i="6"/>
  <c r="G25" i="6" s="1"/>
  <c r="H23" i="6"/>
  <c r="H25" i="6" s="1"/>
  <c r="I23" i="6"/>
  <c r="I25" i="6" s="1"/>
  <c r="G10" i="6"/>
  <c r="H10" i="6"/>
  <c r="I10" i="6"/>
  <c r="J10" i="6"/>
  <c r="K10" i="6"/>
  <c r="L10" i="6"/>
  <c r="M10" i="6"/>
  <c r="N10" i="6"/>
  <c r="G11" i="6"/>
  <c r="H11" i="6"/>
  <c r="I11" i="6"/>
  <c r="J11" i="6"/>
  <c r="K11" i="6"/>
  <c r="L11" i="6"/>
  <c r="M11" i="6"/>
  <c r="N11" i="6"/>
  <c r="O11" i="6"/>
  <c r="F11" i="6"/>
  <c r="F10" i="6"/>
  <c r="AG70" i="5"/>
  <c r="AF70" i="5"/>
  <c r="AG67" i="5"/>
  <c r="AF67" i="5"/>
  <c r="AG64" i="5"/>
  <c r="AF64" i="5"/>
  <c r="AG61" i="5"/>
  <c r="AF61" i="5"/>
  <c r="AH44" i="5"/>
  <c r="AG44" i="5"/>
  <c r="AF44" i="5"/>
  <c r="AH41" i="5"/>
  <c r="AG41" i="5"/>
  <c r="AF41" i="5"/>
  <c r="AH37" i="5"/>
  <c r="AG37" i="5"/>
  <c r="AF37" i="5"/>
  <c r="AH34" i="5"/>
  <c r="AG34" i="5"/>
  <c r="AF34" i="5"/>
  <c r="AH17" i="5"/>
  <c r="AG17" i="5"/>
  <c r="AF17" i="5"/>
  <c r="AH14" i="5"/>
  <c r="AG14" i="5"/>
  <c r="AF14" i="5"/>
  <c r="P44" i="5"/>
  <c r="Q44" i="5"/>
  <c r="U44" i="5" s="1"/>
  <c r="AJ44" i="5" s="1"/>
  <c r="R44" i="5"/>
  <c r="O44" i="5"/>
  <c r="G46" i="5"/>
  <c r="H46" i="5"/>
  <c r="I46" i="5"/>
  <c r="J46" i="5"/>
  <c r="K46" i="5"/>
  <c r="L46" i="5"/>
  <c r="M46" i="5"/>
  <c r="N46" i="5"/>
  <c r="F46" i="5"/>
  <c r="J35" i="5"/>
  <c r="K35" i="5"/>
  <c r="L35" i="5"/>
  <c r="M35" i="5"/>
  <c r="P37" i="5"/>
  <c r="Q37" i="5"/>
  <c r="U37" i="5" s="1"/>
  <c r="AJ37" i="5" s="1"/>
  <c r="R37" i="5"/>
  <c r="O37" i="5"/>
  <c r="S37" i="5" s="1"/>
  <c r="W37" i="5" s="1"/>
  <c r="G39" i="5"/>
  <c r="H39" i="5"/>
  <c r="I39" i="5"/>
  <c r="J39" i="5"/>
  <c r="K39" i="5"/>
  <c r="L39" i="5"/>
  <c r="M39" i="5"/>
  <c r="N39" i="5"/>
  <c r="F39" i="5"/>
  <c r="G79" i="5"/>
  <c r="G65" i="5" s="1"/>
  <c r="H79" i="5"/>
  <c r="H68" i="5" s="1"/>
  <c r="I79" i="5"/>
  <c r="I62" i="5" s="1"/>
  <c r="J79" i="5"/>
  <c r="J68" i="5" s="1"/>
  <c r="K79" i="5"/>
  <c r="K65" i="5" s="1"/>
  <c r="L79" i="5"/>
  <c r="L68" i="5" s="1"/>
  <c r="M79" i="5"/>
  <c r="M62" i="5" s="1"/>
  <c r="N79" i="5"/>
  <c r="N62" i="5" s="1"/>
  <c r="F79" i="5"/>
  <c r="F62" i="5" s="1"/>
  <c r="P75" i="5"/>
  <c r="T75" i="5" s="1"/>
  <c r="X75" i="5" s="1"/>
  <c r="X10" i="6" s="1"/>
  <c r="Q75" i="5"/>
  <c r="U75" i="5" s="1"/>
  <c r="Y75" i="5" s="1"/>
  <c r="Y10" i="6" s="1"/>
  <c r="R75" i="5"/>
  <c r="V75" i="5" s="1"/>
  <c r="S75" i="5"/>
  <c r="W75" i="5" s="1"/>
  <c r="W10" i="6" s="1"/>
  <c r="M76" i="5"/>
  <c r="N76" i="5"/>
  <c r="J76" i="5"/>
  <c r="P77" i="5"/>
  <c r="P11" i="6" s="1"/>
  <c r="N78" i="5"/>
  <c r="M78" i="5"/>
  <c r="G43" i="5"/>
  <c r="H43" i="5"/>
  <c r="I43" i="5"/>
  <c r="J43" i="5"/>
  <c r="K43" i="5"/>
  <c r="L43" i="5"/>
  <c r="M43" i="5"/>
  <c r="N43" i="5"/>
  <c r="F43" i="5"/>
  <c r="G36" i="5"/>
  <c r="H36" i="5"/>
  <c r="I36" i="5"/>
  <c r="J36" i="5"/>
  <c r="K36" i="5"/>
  <c r="L36" i="5"/>
  <c r="M36" i="5"/>
  <c r="N36" i="5"/>
  <c r="F36" i="5"/>
  <c r="P14" i="5"/>
  <c r="T14" i="5" s="1"/>
  <c r="X14" i="5" s="1"/>
  <c r="X34" i="5" s="1"/>
  <c r="Q14" i="5"/>
  <c r="U14" i="5" s="1"/>
  <c r="Y14" i="5" s="1"/>
  <c r="Y34" i="5" s="1"/>
  <c r="AK34" i="5" s="1"/>
  <c r="R14" i="5"/>
  <c r="V14" i="5" s="1"/>
  <c r="V34" i="5" s="1"/>
  <c r="S14" i="5"/>
  <c r="W14" i="5" s="1"/>
  <c r="W34" i="5" s="1"/>
  <c r="O29" i="5" l="1"/>
  <c r="G29" i="5"/>
  <c r="F29" i="5"/>
  <c r="N29" i="5"/>
  <c r="M29" i="5"/>
  <c r="L29" i="5"/>
  <c r="H29" i="5"/>
  <c r="I29" i="5"/>
  <c r="K29" i="5"/>
  <c r="J29" i="5"/>
  <c r="R10" i="6"/>
  <c r="P34" i="5"/>
  <c r="P35" i="5" s="1"/>
  <c r="AI37" i="5"/>
  <c r="Y36" i="6"/>
  <c r="U28" i="6"/>
  <c r="Y28" i="6" s="1"/>
  <c r="T28" i="6"/>
  <c r="Y32" i="6"/>
  <c r="T32" i="6"/>
  <c r="W32" i="6"/>
  <c r="V32" i="6"/>
  <c r="S10" i="6"/>
  <c r="K12" i="6"/>
  <c r="Q10" i="6"/>
  <c r="M12" i="6"/>
  <c r="AK75" i="5"/>
  <c r="J12" i="6"/>
  <c r="P10" i="6"/>
  <c r="L12" i="6"/>
  <c r="F12" i="6"/>
  <c r="I12" i="6"/>
  <c r="O10" i="6"/>
  <c r="H12" i="6"/>
  <c r="V10" i="6"/>
  <c r="AK14" i="5"/>
  <c r="G12" i="6"/>
  <c r="U10" i="6"/>
  <c r="AJ14" i="5"/>
  <c r="N12" i="6"/>
  <c r="T10" i="6"/>
  <c r="AI14" i="5"/>
  <c r="AI44" i="5"/>
  <c r="AJ75" i="5"/>
  <c r="AI75" i="5"/>
  <c r="T44" i="5"/>
  <c r="X44" i="5" s="1"/>
  <c r="V44" i="5"/>
  <c r="S44" i="5"/>
  <c r="Y44" i="5"/>
  <c r="I68" i="5"/>
  <c r="I65" i="5"/>
  <c r="H65" i="5"/>
  <c r="U34" i="5"/>
  <c r="Y35" i="5" s="1"/>
  <c r="T34" i="5"/>
  <c r="G62" i="5"/>
  <c r="S34" i="5"/>
  <c r="W39" i="5"/>
  <c r="Q34" i="5"/>
  <c r="Q35" i="5" s="1"/>
  <c r="V37" i="5"/>
  <c r="V39" i="5" s="1"/>
  <c r="R34" i="5"/>
  <c r="T37" i="5"/>
  <c r="X37" i="5" s="1"/>
  <c r="X39" i="5" s="1"/>
  <c r="O39" i="5"/>
  <c r="Y37" i="5"/>
  <c r="H62" i="5"/>
  <c r="K68" i="5"/>
  <c r="J65" i="5"/>
  <c r="J62" i="5"/>
  <c r="M68" i="5"/>
  <c r="L65" i="5"/>
  <c r="K62" i="5"/>
  <c r="F68" i="5"/>
  <c r="N68" i="5"/>
  <c r="M65" i="5"/>
  <c r="L62" i="5"/>
  <c r="G68" i="5"/>
  <c r="F65" i="5"/>
  <c r="N65" i="5"/>
  <c r="Q77" i="5"/>
  <c r="N15" i="5"/>
  <c r="M15" i="5"/>
  <c r="L15" i="5"/>
  <c r="K15" i="5"/>
  <c r="J15" i="5"/>
  <c r="N18" i="5"/>
  <c r="M18" i="5"/>
  <c r="L18" i="5"/>
  <c r="K18" i="5"/>
  <c r="J18" i="5"/>
  <c r="N38" i="5"/>
  <c r="M38" i="5"/>
  <c r="L38" i="5"/>
  <c r="K38" i="5"/>
  <c r="J38" i="5"/>
  <c r="N42" i="5"/>
  <c r="M42" i="5"/>
  <c r="L42" i="5"/>
  <c r="K42" i="5"/>
  <c r="J42" i="5"/>
  <c r="N45" i="5"/>
  <c r="M45" i="5"/>
  <c r="L45" i="5"/>
  <c r="K45" i="5"/>
  <c r="J45" i="5"/>
  <c r="G9" i="9"/>
  <c r="N52" i="10"/>
  <c r="M47" i="10"/>
  <c r="N46" i="10"/>
  <c r="N47" i="10" s="1"/>
  <c r="N40" i="10"/>
  <c r="M40" i="10"/>
  <c r="M42" i="10" s="1"/>
  <c r="N39" i="10"/>
  <c r="N42" i="10" s="1"/>
  <c r="N36" i="10"/>
  <c r="N37" i="10" s="1"/>
  <c r="M36" i="10"/>
  <c r="M37" i="10" s="1"/>
  <c r="N21" i="10"/>
  <c r="N28" i="10" s="1"/>
  <c r="M21" i="10"/>
  <c r="M28" i="10" s="1"/>
  <c r="I21" i="10"/>
  <c r="I28" i="10" s="1"/>
  <c r="N15" i="10"/>
  <c r="M15" i="10"/>
  <c r="I15" i="10"/>
  <c r="N10" i="10"/>
  <c r="N17" i="10" s="1"/>
  <c r="M10" i="10"/>
  <c r="I10" i="10"/>
  <c r="AG8" i="10"/>
  <c r="AH8" i="10" s="1"/>
  <c r="AI8" i="10" s="1"/>
  <c r="AJ8" i="10" s="1"/>
  <c r="AK8" i="10" s="1"/>
  <c r="AL8" i="10" s="1"/>
  <c r="AM8" i="10" s="1"/>
  <c r="AN8" i="10" s="1"/>
  <c r="AO8" i="10" s="1"/>
  <c r="AP8" i="10" s="1"/>
  <c r="AQ8" i="10" s="1"/>
  <c r="I8" i="10"/>
  <c r="M8" i="10" s="1"/>
  <c r="Q8" i="10" s="1"/>
  <c r="U8" i="10" s="1"/>
  <c r="Y8" i="10" s="1"/>
  <c r="H8" i="10"/>
  <c r="L8" i="10" s="1"/>
  <c r="P8" i="10" s="1"/>
  <c r="T8" i="10" s="1"/>
  <c r="X8" i="10" s="1"/>
  <c r="G8" i="10"/>
  <c r="K8" i="10" s="1"/>
  <c r="O8" i="10" s="1"/>
  <c r="S8" i="10" s="1"/>
  <c r="W8" i="10" s="1"/>
  <c r="F8" i="10"/>
  <c r="J8" i="10" s="1"/>
  <c r="N8" i="10" s="1"/>
  <c r="R8" i="10" s="1"/>
  <c r="V8" i="10" s="1"/>
  <c r="M47" i="9"/>
  <c r="N46" i="9"/>
  <c r="N47" i="9" s="1"/>
  <c r="N40" i="9"/>
  <c r="M40" i="9"/>
  <c r="M42" i="9" s="1"/>
  <c r="N39" i="9"/>
  <c r="N36" i="9"/>
  <c r="N37" i="9" s="1"/>
  <c r="M36" i="9"/>
  <c r="M37" i="9" s="1"/>
  <c r="N21" i="9"/>
  <c r="N28" i="9" s="1"/>
  <c r="M21" i="9"/>
  <c r="M28" i="9" s="1"/>
  <c r="I21" i="9"/>
  <c r="I28" i="9" s="1"/>
  <c r="N15" i="9"/>
  <c r="M15" i="9"/>
  <c r="I15" i="9"/>
  <c r="N10" i="9"/>
  <c r="M10" i="9"/>
  <c r="I10" i="9"/>
  <c r="AG8" i="9"/>
  <c r="AH8" i="9" s="1"/>
  <c r="AI8" i="9" s="1"/>
  <c r="AJ8" i="9" s="1"/>
  <c r="AK8" i="9" s="1"/>
  <c r="AL8" i="9" s="1"/>
  <c r="AM8" i="9" s="1"/>
  <c r="AN8" i="9" s="1"/>
  <c r="AO8" i="9" s="1"/>
  <c r="AP8" i="9" s="1"/>
  <c r="AQ8" i="9" s="1"/>
  <c r="I8" i="9"/>
  <c r="M8" i="9" s="1"/>
  <c r="Q8" i="9" s="1"/>
  <c r="U8" i="9" s="1"/>
  <c r="Y8" i="9" s="1"/>
  <c r="H8" i="9"/>
  <c r="L8" i="9" s="1"/>
  <c r="P8" i="9" s="1"/>
  <c r="T8" i="9" s="1"/>
  <c r="X8" i="9" s="1"/>
  <c r="G8" i="9"/>
  <c r="K8" i="9" s="1"/>
  <c r="O8" i="9" s="1"/>
  <c r="S8" i="9" s="1"/>
  <c r="W8" i="9" s="1"/>
  <c r="F8" i="9"/>
  <c r="J8" i="9" s="1"/>
  <c r="N8" i="9" s="1"/>
  <c r="R8" i="9" s="1"/>
  <c r="V8" i="9" s="1"/>
  <c r="AH61" i="6"/>
  <c r="AG61" i="6"/>
  <c r="N61" i="6"/>
  <c r="M61" i="6"/>
  <c r="O55" i="6"/>
  <c r="P55" i="6" s="1"/>
  <c r="O47" i="6"/>
  <c r="P47" i="6" s="1"/>
  <c r="Q47" i="6" s="1"/>
  <c r="R47" i="6" s="1"/>
  <c r="S47" i="6" s="1"/>
  <c r="T47" i="6" s="1"/>
  <c r="U47" i="6" s="1"/>
  <c r="V47" i="6" s="1"/>
  <c r="W47" i="6" s="1"/>
  <c r="X47" i="6" s="1"/>
  <c r="Y47" i="6" s="1"/>
  <c r="AH40" i="6"/>
  <c r="AG40" i="6"/>
  <c r="N40" i="6"/>
  <c r="M40" i="6"/>
  <c r="L40" i="6"/>
  <c r="K40" i="6"/>
  <c r="J40" i="6"/>
  <c r="I40" i="6"/>
  <c r="H40" i="6"/>
  <c r="G40" i="6"/>
  <c r="F40" i="6"/>
  <c r="AI36" i="6"/>
  <c r="AJ36" i="6" s="1"/>
  <c r="AK36" i="6" s="1"/>
  <c r="AL36" i="6" s="1"/>
  <c r="AM36" i="6" s="1"/>
  <c r="AN36" i="6" s="1"/>
  <c r="AO36" i="6" s="1"/>
  <c r="AP36" i="6" s="1"/>
  <c r="AQ36" i="6" s="1"/>
  <c r="AI32" i="6"/>
  <c r="AJ32" i="6" s="1"/>
  <c r="AK32" i="6" s="1"/>
  <c r="AL32" i="6" s="1"/>
  <c r="AM32" i="6" s="1"/>
  <c r="AN32" i="6" s="1"/>
  <c r="AO32" i="6" s="1"/>
  <c r="AP32" i="6" s="1"/>
  <c r="AQ32" i="6" s="1"/>
  <c r="AI28" i="6"/>
  <c r="AJ28" i="6" s="1"/>
  <c r="AK28" i="6" s="1"/>
  <c r="I63" i="6"/>
  <c r="H63" i="6"/>
  <c r="G63" i="6"/>
  <c r="AH14" i="6"/>
  <c r="AH23" i="6" s="1"/>
  <c r="AF14" i="6"/>
  <c r="AG8" i="6"/>
  <c r="AH8" i="6" s="1"/>
  <c r="AI8" i="6" s="1"/>
  <c r="AJ8" i="6" s="1"/>
  <c r="AK8" i="6" s="1"/>
  <c r="AL8" i="6" s="1"/>
  <c r="AM8" i="6" s="1"/>
  <c r="AN8" i="6" s="1"/>
  <c r="AO8" i="6" s="1"/>
  <c r="AP8" i="6" s="1"/>
  <c r="AQ8" i="6" s="1"/>
  <c r="I8" i="6"/>
  <c r="M8" i="6" s="1"/>
  <c r="Q8" i="6" s="1"/>
  <c r="U8" i="6" s="1"/>
  <c r="Y8" i="6" s="1"/>
  <c r="H8" i="6"/>
  <c r="L8" i="6" s="1"/>
  <c r="P8" i="6" s="1"/>
  <c r="T8" i="6" s="1"/>
  <c r="X8" i="6" s="1"/>
  <c r="G8" i="6"/>
  <c r="K8" i="6" s="1"/>
  <c r="O8" i="6" s="1"/>
  <c r="S8" i="6" s="1"/>
  <c r="W8" i="6" s="1"/>
  <c r="F8" i="6"/>
  <c r="J8" i="6" s="1"/>
  <c r="N8" i="6" s="1"/>
  <c r="R8" i="6" s="1"/>
  <c r="V8" i="6" s="1"/>
  <c r="AH82" i="5"/>
  <c r="AF82" i="5"/>
  <c r="H20" i="5"/>
  <c r="G20" i="5"/>
  <c r="AG12" i="5"/>
  <c r="AH12" i="5" s="1"/>
  <c r="AI12" i="5" s="1"/>
  <c r="AJ12" i="5" s="1"/>
  <c r="AK12" i="5" s="1"/>
  <c r="AL12" i="5" s="1"/>
  <c r="AM12" i="5" s="1"/>
  <c r="AN12" i="5" s="1"/>
  <c r="AO12" i="5" s="1"/>
  <c r="AP12" i="5" s="1"/>
  <c r="AQ12" i="5" s="1"/>
  <c r="I12" i="5"/>
  <c r="M12" i="5" s="1"/>
  <c r="Q12" i="5" s="1"/>
  <c r="U12" i="5" s="1"/>
  <c r="Y12" i="5" s="1"/>
  <c r="H12" i="5"/>
  <c r="L12" i="5" s="1"/>
  <c r="P12" i="5" s="1"/>
  <c r="T12" i="5" s="1"/>
  <c r="X12" i="5" s="1"/>
  <c r="G12" i="5"/>
  <c r="K12" i="5" s="1"/>
  <c r="O12" i="5" s="1"/>
  <c r="S12" i="5" s="1"/>
  <c r="W12" i="5" s="1"/>
  <c r="F12" i="5"/>
  <c r="J12" i="5" s="1"/>
  <c r="N12" i="5" s="1"/>
  <c r="R12" i="5" s="1"/>
  <c r="V12" i="5" s="1"/>
  <c r="M4" i="1"/>
  <c r="M7" i="1" s="1"/>
  <c r="I17" i="10" l="1"/>
  <c r="M17" i="10"/>
  <c r="N49" i="10"/>
  <c r="N41" i="6"/>
  <c r="M41" i="6"/>
  <c r="G44" i="6"/>
  <c r="G42" i="6"/>
  <c r="K41" i="6"/>
  <c r="H44" i="6"/>
  <c r="H48" i="6" s="1"/>
  <c r="H42" i="6"/>
  <c r="I44" i="6"/>
  <c r="I48" i="6" s="1"/>
  <c r="I42" i="6"/>
  <c r="L41" i="6"/>
  <c r="S39" i="5"/>
  <c r="S35" i="5"/>
  <c r="W35" i="5"/>
  <c r="T35" i="5"/>
  <c r="R39" i="5"/>
  <c r="V35" i="5"/>
  <c r="R35" i="5"/>
  <c r="P39" i="5"/>
  <c r="U35" i="5"/>
  <c r="X35" i="5"/>
  <c r="L14" i="6"/>
  <c r="L37" i="6" s="1"/>
  <c r="J14" i="6"/>
  <c r="M14" i="6"/>
  <c r="J41" i="6"/>
  <c r="K14" i="6"/>
  <c r="X28" i="6"/>
  <c r="X32" i="6"/>
  <c r="R40" i="6"/>
  <c r="R41" i="6" s="1"/>
  <c r="R77" i="5"/>
  <c r="R11" i="6" s="1"/>
  <c r="Q11" i="6"/>
  <c r="Y39" i="5"/>
  <c r="AK37" i="5"/>
  <c r="U39" i="5"/>
  <c r="AJ34" i="5"/>
  <c r="AI77" i="5"/>
  <c r="Q39" i="5"/>
  <c r="AI34" i="5"/>
  <c r="AK44" i="5"/>
  <c r="W44" i="5"/>
  <c r="T39" i="5"/>
  <c r="H22" i="5"/>
  <c r="O40" i="6"/>
  <c r="O41" i="6" s="1"/>
  <c r="AI40" i="6"/>
  <c r="I17" i="9"/>
  <c r="N42" i="9"/>
  <c r="N49" i="9" s="1"/>
  <c r="M17" i="9"/>
  <c r="M49" i="10"/>
  <c r="AH10" i="10"/>
  <c r="M49" i="9"/>
  <c r="N17" i="9"/>
  <c r="AH10" i="9"/>
  <c r="F14" i="6"/>
  <c r="AG12" i="6"/>
  <c r="AL28" i="6"/>
  <c r="AK40" i="6"/>
  <c r="P40" i="6"/>
  <c r="Q40" i="6"/>
  <c r="Q41" i="6" s="1"/>
  <c r="N14" i="6"/>
  <c r="AH44" i="6"/>
  <c r="AH48" i="6" s="1"/>
  <c r="AH63" i="6"/>
  <c r="Q55" i="6"/>
  <c r="AJ40" i="6"/>
  <c r="G48" i="6"/>
  <c r="G50" i="6" s="1"/>
  <c r="G53" i="6" s="1"/>
  <c r="L29" i="6" l="1"/>
  <c r="L19" i="6"/>
  <c r="L57" i="6"/>
  <c r="L23" i="6"/>
  <c r="L63" i="6" s="1"/>
  <c r="M29" i="6"/>
  <c r="M23" i="6"/>
  <c r="M44" i="6" s="1"/>
  <c r="M33" i="6"/>
  <c r="L15" i="6"/>
  <c r="L33" i="6"/>
  <c r="J33" i="6"/>
  <c r="J19" i="6"/>
  <c r="J29" i="6"/>
  <c r="L42" i="6"/>
  <c r="P41" i="6"/>
  <c r="K19" i="6"/>
  <c r="M37" i="6"/>
  <c r="K23" i="6"/>
  <c r="K57" i="6"/>
  <c r="J37" i="6"/>
  <c r="K15" i="6"/>
  <c r="M15" i="6"/>
  <c r="K33" i="6"/>
  <c r="L16" i="6"/>
  <c r="M19" i="6"/>
  <c r="M16" i="6"/>
  <c r="K29" i="6"/>
  <c r="J16" i="6"/>
  <c r="M57" i="6"/>
  <c r="J23" i="6"/>
  <c r="K16" i="6"/>
  <c r="K37" i="6"/>
  <c r="F29" i="6"/>
  <c r="F37" i="6"/>
  <c r="F33" i="6"/>
  <c r="N33" i="6"/>
  <c r="N37" i="6"/>
  <c r="N29" i="6"/>
  <c r="J15" i="6"/>
  <c r="G16" i="6"/>
  <c r="N19" i="6"/>
  <c r="N16" i="6"/>
  <c r="S77" i="5"/>
  <c r="S40" i="6"/>
  <c r="S41" i="6" s="1"/>
  <c r="AI55" i="6"/>
  <c r="AJ55" i="6" s="1"/>
  <c r="AK55" i="6" s="1"/>
  <c r="AL55" i="6" s="1"/>
  <c r="AM55" i="6" s="1"/>
  <c r="AN55" i="6" s="1"/>
  <c r="AO55" i="6" s="1"/>
  <c r="AP55" i="6" s="1"/>
  <c r="AQ55" i="6" s="1"/>
  <c r="R55" i="6"/>
  <c r="S55" i="6" s="1"/>
  <c r="T55" i="6" s="1"/>
  <c r="U55" i="6" s="1"/>
  <c r="V55" i="6" s="1"/>
  <c r="W55" i="6" s="1"/>
  <c r="X55" i="6" s="1"/>
  <c r="Y55" i="6" s="1"/>
  <c r="N15" i="6"/>
  <c r="F23" i="6"/>
  <c r="F42" i="6" s="1"/>
  <c r="F19" i="6"/>
  <c r="N23" i="6"/>
  <c r="I9" i="9"/>
  <c r="H9" i="9"/>
  <c r="AH9" i="9"/>
  <c r="Q9" i="9"/>
  <c r="P9" i="9"/>
  <c r="O9" i="9"/>
  <c r="N57" i="6"/>
  <c r="I64" i="6"/>
  <c r="I50" i="6"/>
  <c r="I53" i="6" s="1"/>
  <c r="AH64" i="6"/>
  <c r="AH50" i="6"/>
  <c r="AH53" i="6" s="1"/>
  <c r="AG14" i="6"/>
  <c r="J57" i="6"/>
  <c r="H64" i="6"/>
  <c r="H50" i="6"/>
  <c r="H53" i="6" s="1"/>
  <c r="AM28" i="6"/>
  <c r="AL40" i="6"/>
  <c r="L44" i="6" l="1"/>
  <c r="L45" i="6" s="1"/>
  <c r="L24" i="6"/>
  <c r="L25" i="6"/>
  <c r="M24" i="6"/>
  <c r="M25" i="6"/>
  <c r="M63" i="6"/>
  <c r="L48" i="6"/>
  <c r="L50" i="6" s="1"/>
  <c r="M42" i="6"/>
  <c r="M45" i="6"/>
  <c r="M48" i="6"/>
  <c r="M50" i="6" s="1"/>
  <c r="M51" i="6" s="1"/>
  <c r="K44" i="6"/>
  <c r="K45" i="6" s="1"/>
  <c r="K42" i="6"/>
  <c r="K63" i="6"/>
  <c r="N44" i="6"/>
  <c r="N42" i="6"/>
  <c r="J44" i="6"/>
  <c r="J48" i="6" s="1"/>
  <c r="J64" i="6" s="1"/>
  <c r="J42" i="6"/>
  <c r="J63" i="6"/>
  <c r="K48" i="6"/>
  <c r="K64" i="6" s="1"/>
  <c r="K24" i="6"/>
  <c r="K25" i="6"/>
  <c r="J25" i="6"/>
  <c r="F25" i="6"/>
  <c r="F44" i="6"/>
  <c r="J24" i="6"/>
  <c r="N25" i="6"/>
  <c r="N24" i="6"/>
  <c r="S11" i="6"/>
  <c r="T77" i="5"/>
  <c r="T40" i="6"/>
  <c r="AI17" i="5"/>
  <c r="O10" i="10"/>
  <c r="P10" i="10" s="1"/>
  <c r="M30" i="10"/>
  <c r="F9" i="9"/>
  <c r="M9" i="9"/>
  <c r="J9" i="9"/>
  <c r="O10" i="9"/>
  <c r="P10" i="9" s="1"/>
  <c r="Q10" i="9" s="1"/>
  <c r="AI10" i="9" s="1"/>
  <c r="L9" i="9"/>
  <c r="F63" i="6"/>
  <c r="N63" i="6"/>
  <c r="AN28" i="6"/>
  <c r="AM40" i="6"/>
  <c r="AH57" i="6"/>
  <c r="AG23" i="6"/>
  <c r="L64" i="6" l="1"/>
  <c r="M64" i="6"/>
  <c r="N45" i="6"/>
  <c r="K50" i="6"/>
  <c r="K53" i="6" s="1"/>
  <c r="N48" i="6"/>
  <c r="N50" i="6" s="1"/>
  <c r="J50" i="6"/>
  <c r="J53" i="6" s="1"/>
  <c r="T41" i="6"/>
  <c r="F48" i="6"/>
  <c r="F50" i="6" s="1"/>
  <c r="F53" i="6" s="1"/>
  <c r="J45" i="6"/>
  <c r="L53" i="6"/>
  <c r="L51" i="6"/>
  <c r="T11" i="6"/>
  <c r="U77" i="5"/>
  <c r="U40" i="6"/>
  <c r="U41" i="6" s="1"/>
  <c r="Q10" i="10"/>
  <c r="AI10" i="10" s="1"/>
  <c r="N9" i="9"/>
  <c r="M30" i="9"/>
  <c r="K9" i="9"/>
  <c r="AN40" i="6"/>
  <c r="AO28" i="6"/>
  <c r="AG44" i="6"/>
  <c r="AG48" i="6" s="1"/>
  <c r="AG63" i="6"/>
  <c r="M53" i="6"/>
  <c r="K51" i="6" l="1"/>
  <c r="N51" i="6"/>
  <c r="N64" i="6"/>
  <c r="J51" i="6"/>
  <c r="AJ77" i="5"/>
  <c r="V77" i="5"/>
  <c r="U11" i="6"/>
  <c r="V40" i="6"/>
  <c r="V41" i="6" s="1"/>
  <c r="N30" i="10"/>
  <c r="AI9" i="9"/>
  <c r="N30" i="9"/>
  <c r="AG9" i="9"/>
  <c r="AG64" i="6"/>
  <c r="AG50" i="6"/>
  <c r="AG53" i="6" s="1"/>
  <c r="N53" i="6"/>
  <c r="AO40" i="6"/>
  <c r="AP28" i="6"/>
  <c r="AJ47" i="6"/>
  <c r="V11" i="6" l="1"/>
  <c r="W77" i="5"/>
  <c r="W40" i="6"/>
  <c r="W41" i="6" s="1"/>
  <c r="AJ9" i="9"/>
  <c r="AQ28" i="6"/>
  <c r="AQ40" i="6" s="1"/>
  <c r="AP40" i="6"/>
  <c r="W11" i="6" l="1"/>
  <c r="X77" i="5"/>
  <c r="X40" i="6"/>
  <c r="Y40" i="6"/>
  <c r="Y41" i="6" s="1"/>
  <c r="AJ17" i="5"/>
  <c r="AJ10" i="9"/>
  <c r="X41" i="6" l="1"/>
  <c r="X11" i="6"/>
  <c r="Y77" i="5"/>
  <c r="AK47" i="6"/>
  <c r="AK77" i="5" l="1"/>
  <c r="Y11" i="6"/>
  <c r="AJ10" i="10"/>
  <c r="AK9" i="9" l="1"/>
  <c r="AK17" i="5" l="1"/>
  <c r="AK10" i="9"/>
  <c r="AL47" i="6" l="1"/>
  <c r="AK10" i="10" l="1"/>
  <c r="AL9" i="9"/>
  <c r="AL10" i="9" l="1"/>
  <c r="AM47" i="6" l="1"/>
  <c r="AL10" i="10" l="1"/>
  <c r="AM9" i="9"/>
  <c r="AM10" i="9" l="1"/>
  <c r="AM10" i="10" l="1"/>
  <c r="AN47" i="6"/>
  <c r="AN9" i="9" l="1"/>
  <c r="AN10" i="9" l="1"/>
  <c r="AN10" i="10" l="1"/>
  <c r="AO47" i="6"/>
  <c r="AO9" i="9" l="1"/>
  <c r="AO10" i="10" l="1"/>
  <c r="AO10" i="9"/>
  <c r="AP47" i="6"/>
  <c r="AP10" i="10" l="1"/>
  <c r="AP9" i="9"/>
  <c r="AQ47" i="6"/>
  <c r="AP10" i="9" l="1"/>
  <c r="AV11" i="10" l="1"/>
  <c r="AV12" i="10" s="1"/>
  <c r="AQ10" i="10"/>
  <c r="AQ9" i="9"/>
  <c r="AR9" i="9" l="1"/>
  <c r="AS9" i="9" s="1"/>
  <c r="AT9" i="9" s="1"/>
  <c r="AU9" i="9" s="1"/>
  <c r="AV9" i="9" s="1"/>
  <c r="AW9" i="9" s="1"/>
  <c r="AX9" i="9" s="1"/>
  <c r="AY9" i="9" s="1"/>
  <c r="AZ9" i="9" s="1"/>
  <c r="BA9" i="9" s="1"/>
  <c r="BB9" i="9" s="1"/>
  <c r="BC9" i="9" s="1"/>
  <c r="BD9" i="9" s="1"/>
  <c r="BE9" i="9" s="1"/>
  <c r="BF9" i="9" s="1"/>
  <c r="BG9" i="9" s="1"/>
  <c r="BH9" i="9" s="1"/>
  <c r="BI9" i="9" s="1"/>
  <c r="BJ9" i="9" s="1"/>
  <c r="BK9" i="9" s="1"/>
  <c r="BL9" i="9" s="1"/>
  <c r="BM9" i="9" s="1"/>
  <c r="BN9" i="9" s="1"/>
  <c r="BO9" i="9" s="1"/>
  <c r="BP9" i="9" s="1"/>
  <c r="BQ9" i="9" s="1"/>
  <c r="BR9" i="9" s="1"/>
  <c r="BS9" i="9" s="1"/>
  <c r="BT9" i="9" s="1"/>
  <c r="BU9" i="9" s="1"/>
  <c r="BV9" i="9" s="1"/>
  <c r="BW9" i="9" s="1"/>
  <c r="BX9" i="9" s="1"/>
  <c r="BY9" i="9" s="1"/>
  <c r="BZ9" i="9" s="1"/>
  <c r="CA9" i="9" s="1"/>
  <c r="CB9" i="9" s="1"/>
  <c r="CC9" i="9" s="1"/>
  <c r="CD9" i="9" s="1"/>
  <c r="CE9" i="9" s="1"/>
  <c r="CF9" i="9" s="1"/>
  <c r="CG9" i="9" s="1"/>
  <c r="CH9" i="9" s="1"/>
  <c r="CI9" i="9" s="1"/>
  <c r="CJ9" i="9" s="1"/>
  <c r="CK9" i="9" s="1"/>
  <c r="CL9" i="9" s="1"/>
  <c r="CM9" i="9" s="1"/>
  <c r="CN9" i="9" s="1"/>
  <c r="CO9" i="9" s="1"/>
  <c r="CP9" i="9" s="1"/>
  <c r="CQ9" i="9" s="1"/>
  <c r="CR9" i="9" s="1"/>
  <c r="CS9" i="9" s="1"/>
  <c r="CT9" i="9" s="1"/>
  <c r="CU9" i="9" s="1"/>
  <c r="AV11" i="9" s="1"/>
  <c r="AV12" i="9" s="1"/>
  <c r="AQ10" i="9"/>
  <c r="N82" i="5" l="1"/>
  <c r="N55" i="5"/>
  <c r="N71" i="5"/>
  <c r="N20" i="5" l="1"/>
  <c r="N50" i="5"/>
  <c r="R50" i="5" l="1"/>
  <c r="R79" i="5" l="1"/>
  <c r="V50" i="5"/>
  <c r="R70" i="5" l="1"/>
  <c r="R72" i="5" s="1"/>
  <c r="R12" i="6"/>
  <c r="R14" i="6" s="1"/>
  <c r="R67" i="5"/>
  <c r="R64" i="5"/>
  <c r="V79" i="5"/>
  <c r="V64" i="5" s="1"/>
  <c r="R55" i="5"/>
  <c r="R82" i="5"/>
  <c r="R80" i="5"/>
  <c r="R61" i="5" l="1"/>
  <c r="R62" i="5" s="1"/>
  <c r="R37" i="6"/>
  <c r="R29" i="6"/>
  <c r="R33" i="6"/>
  <c r="V67" i="5"/>
  <c r="V12" i="6"/>
  <c r="V14" i="6" s="1"/>
  <c r="R18" i="6"/>
  <c r="R15" i="6"/>
  <c r="R20" i="5"/>
  <c r="R21" i="5" s="1"/>
  <c r="R83" i="5"/>
  <c r="V70" i="5"/>
  <c r="V55" i="5"/>
  <c r="V80" i="5"/>
  <c r="V82" i="5"/>
  <c r="R56" i="5"/>
  <c r="V29" i="6" l="1"/>
  <c r="V37" i="6"/>
  <c r="V33" i="6"/>
  <c r="V61" i="5"/>
  <c r="V62" i="5" s="1"/>
  <c r="V72" i="5"/>
  <c r="V18" i="6"/>
  <c r="V15" i="6"/>
  <c r="V20" i="5"/>
  <c r="V21" i="5" s="1"/>
  <c r="V83" i="5"/>
  <c r="V56" i="5"/>
  <c r="G55" i="5"/>
  <c r="K82" i="5"/>
  <c r="G50" i="5"/>
  <c r="I82" i="5"/>
  <c r="I20" i="5" s="1"/>
  <c r="I22" i="5" s="1"/>
  <c r="M55" i="5"/>
  <c r="N57" i="5" s="1"/>
  <c r="L82" i="5"/>
  <c r="I50" i="5"/>
  <c r="G71" i="5"/>
  <c r="K71" i="5"/>
  <c r="K80" i="5"/>
  <c r="H55" i="5"/>
  <c r="H71" i="5"/>
  <c r="M71" i="5"/>
  <c r="J50" i="5"/>
  <c r="K55" i="5"/>
  <c r="L55" i="5"/>
  <c r="L50" i="5"/>
  <c r="P50" i="5" s="1"/>
  <c r="P79" i="5" s="1"/>
  <c r="P12" i="6" s="1"/>
  <c r="K50" i="5"/>
  <c r="M82" i="5"/>
  <c r="M50" i="5"/>
  <c r="Q50" i="5" s="1"/>
  <c r="Q79" i="5" s="1"/>
  <c r="Q12" i="6" s="1"/>
  <c r="Q14" i="6" l="1"/>
  <c r="P14" i="6"/>
  <c r="AG50" i="5"/>
  <c r="L20" i="5"/>
  <c r="L21" i="5" s="1"/>
  <c r="L83" i="5"/>
  <c r="M20" i="5"/>
  <c r="N22" i="5" s="1"/>
  <c r="M83" i="5"/>
  <c r="K20" i="5"/>
  <c r="K21" i="5" s="1"/>
  <c r="K83" i="5"/>
  <c r="AI50" i="5"/>
  <c r="AH50" i="5"/>
  <c r="Q64" i="5"/>
  <c r="Q70" i="5"/>
  <c r="Q72" i="5" s="1"/>
  <c r="Q67" i="5"/>
  <c r="P67" i="5"/>
  <c r="P70" i="5"/>
  <c r="P72" i="5" s="1"/>
  <c r="P64" i="5"/>
  <c r="T50" i="5"/>
  <c r="T79" i="5" s="1"/>
  <c r="T12" i="6" s="1"/>
  <c r="T14" i="6" s="1"/>
  <c r="K56" i="5"/>
  <c r="L52" i="5"/>
  <c r="S50" i="5"/>
  <c r="K51" i="5"/>
  <c r="U50" i="5"/>
  <c r="V52" i="5" s="1"/>
  <c r="R52" i="5"/>
  <c r="Q52" i="5"/>
  <c r="N52" i="5"/>
  <c r="O83" i="5"/>
  <c r="O80" i="5"/>
  <c r="Q82" i="5"/>
  <c r="Q83" i="5" s="1"/>
  <c r="Q55" i="5"/>
  <c r="Q80" i="5"/>
  <c r="N51" i="5"/>
  <c r="K52" i="5"/>
  <c r="M51" i="5"/>
  <c r="J52" i="5"/>
  <c r="H57" i="5"/>
  <c r="M57" i="5"/>
  <c r="L57" i="5"/>
  <c r="L56" i="5"/>
  <c r="L71" i="5"/>
  <c r="O52" i="5"/>
  <c r="P52" i="5"/>
  <c r="H50" i="5"/>
  <c r="I52" i="5" s="1"/>
  <c r="J71" i="5"/>
  <c r="I71" i="5"/>
  <c r="I55" i="5"/>
  <c r="J55" i="5"/>
  <c r="AG55" i="5" s="1"/>
  <c r="L80" i="5"/>
  <c r="M52" i="5"/>
  <c r="N80" i="5"/>
  <c r="J82" i="5"/>
  <c r="M80" i="5"/>
  <c r="Q15" i="6" l="1"/>
  <c r="Q18" i="6"/>
  <c r="Q57" i="6"/>
  <c r="R16" i="6"/>
  <c r="Q33" i="6"/>
  <c r="P57" i="6"/>
  <c r="Q37" i="6"/>
  <c r="P37" i="6"/>
  <c r="Q29" i="6"/>
  <c r="P18" i="6"/>
  <c r="L22" i="5"/>
  <c r="L23" i="5" s="1"/>
  <c r="M21" i="5"/>
  <c r="M22" i="5"/>
  <c r="M23" i="5" s="1"/>
  <c r="Q16" i="6"/>
  <c r="P29" i="6"/>
  <c r="P15" i="6"/>
  <c r="P33" i="6"/>
  <c r="T37" i="6"/>
  <c r="T29" i="6"/>
  <c r="T33" i="6"/>
  <c r="J20" i="5"/>
  <c r="AG20" i="5" s="1"/>
  <c r="N83" i="5"/>
  <c r="T15" i="6"/>
  <c r="T18" i="6"/>
  <c r="AI79" i="5"/>
  <c r="AI82" i="5" s="1"/>
  <c r="O12" i="6"/>
  <c r="Q20" i="5"/>
  <c r="R22" i="5" s="1"/>
  <c r="R23" i="5" s="1"/>
  <c r="AJ50" i="5"/>
  <c r="X50" i="5"/>
  <c r="X79" i="5" s="1"/>
  <c r="Q61" i="5"/>
  <c r="Q62" i="5" s="1"/>
  <c r="T55" i="5"/>
  <c r="T67" i="5"/>
  <c r="T70" i="5"/>
  <c r="T72" i="5" s="1"/>
  <c r="T64" i="5"/>
  <c r="T80" i="5"/>
  <c r="T52" i="5"/>
  <c r="T53" i="5" s="1"/>
  <c r="P61" i="5"/>
  <c r="P62" i="5" s="1"/>
  <c r="T82" i="5"/>
  <c r="O70" i="5"/>
  <c r="O64" i="5"/>
  <c r="O67" i="5"/>
  <c r="N53" i="5"/>
  <c r="Q53" i="5"/>
  <c r="P53" i="5"/>
  <c r="L58" i="5"/>
  <c r="Y50" i="5"/>
  <c r="Y79" i="5" s="1"/>
  <c r="Y12" i="6" s="1"/>
  <c r="Y14" i="6" s="1"/>
  <c r="U79" i="5"/>
  <c r="U12" i="6" s="1"/>
  <c r="U14" i="6" s="1"/>
  <c r="S52" i="5"/>
  <c r="S53" i="5" s="1"/>
  <c r="S79" i="5"/>
  <c r="W50" i="5"/>
  <c r="V53" i="5"/>
  <c r="U52" i="5"/>
  <c r="U53" i="5" s="1"/>
  <c r="R53" i="5"/>
  <c r="J57" i="5"/>
  <c r="N58" i="5" s="1"/>
  <c r="M56" i="5"/>
  <c r="O20" i="5"/>
  <c r="H52" i="5"/>
  <c r="L53" i="5" s="1"/>
  <c r="M53" i="5"/>
  <c r="Q56" i="5"/>
  <c r="R57" i="5"/>
  <c r="R58" i="5" s="1"/>
  <c r="P80" i="5"/>
  <c r="P55" i="5"/>
  <c r="P57" i="5" s="1"/>
  <c r="P58" i="5" s="1"/>
  <c r="P82" i="5"/>
  <c r="P83" i="5" s="1"/>
  <c r="O53" i="5"/>
  <c r="L51" i="5"/>
  <c r="K57" i="5"/>
  <c r="N56" i="5"/>
  <c r="O57" i="5"/>
  <c r="O56" i="5"/>
  <c r="I57" i="5"/>
  <c r="M58" i="5" s="1"/>
  <c r="J22" i="5" l="1"/>
  <c r="N23" i="5" s="1"/>
  <c r="K22" i="5"/>
  <c r="N21" i="5"/>
  <c r="O14" i="6"/>
  <c r="U37" i="6"/>
  <c r="U33" i="6"/>
  <c r="U29" i="6"/>
  <c r="Y29" i="6"/>
  <c r="Y33" i="6"/>
  <c r="Y37" i="6"/>
  <c r="U16" i="6"/>
  <c r="V16" i="6"/>
  <c r="Y18" i="6"/>
  <c r="O72" i="5"/>
  <c r="Y15" i="6"/>
  <c r="U18" i="6"/>
  <c r="U15" i="6"/>
  <c r="X67" i="5"/>
  <c r="X12" i="6"/>
  <c r="X14" i="6" s="1"/>
  <c r="Y16" i="6" s="1"/>
  <c r="O20" i="6"/>
  <c r="AJ79" i="5"/>
  <c r="AJ82" i="5" s="1"/>
  <c r="S12" i="6"/>
  <c r="S14" i="6" s="1"/>
  <c r="T83" i="5"/>
  <c r="T20" i="5"/>
  <c r="Q21" i="5"/>
  <c r="P20" i="5"/>
  <c r="P22" i="5" s="1"/>
  <c r="P23" i="5" s="1"/>
  <c r="AK50" i="5"/>
  <c r="AI67" i="5"/>
  <c r="AH67" i="5"/>
  <c r="AH64" i="5"/>
  <c r="AI64" i="5"/>
  <c r="X70" i="5"/>
  <c r="X72" i="5" s="1"/>
  <c r="AH55" i="5"/>
  <c r="AI70" i="5"/>
  <c r="AH70" i="5"/>
  <c r="T61" i="5"/>
  <c r="T62" i="5" s="1"/>
  <c r="AI55" i="5"/>
  <c r="X64" i="5"/>
  <c r="Y52" i="5"/>
  <c r="Y53" i="5" s="1"/>
  <c r="O61" i="5"/>
  <c r="Y64" i="5"/>
  <c r="Y67" i="5"/>
  <c r="Y70" i="5"/>
  <c r="O22" i="5"/>
  <c r="O23" i="5" s="1"/>
  <c r="U67" i="5"/>
  <c r="U70" i="5"/>
  <c r="U72" i="5" s="1"/>
  <c r="U64" i="5"/>
  <c r="S70" i="5"/>
  <c r="S72" i="5" s="1"/>
  <c r="S67" i="5"/>
  <c r="S64" i="5"/>
  <c r="S82" i="5"/>
  <c r="S83" i="5" s="1"/>
  <c r="S55" i="5"/>
  <c r="S80" i="5"/>
  <c r="W52" i="5"/>
  <c r="W53" i="5" s="1"/>
  <c r="W79" i="5"/>
  <c r="X52" i="5"/>
  <c r="X53" i="5" s="1"/>
  <c r="U82" i="5"/>
  <c r="U83" i="5" s="1"/>
  <c r="U55" i="5"/>
  <c r="U80" i="5"/>
  <c r="Y82" i="5"/>
  <c r="Y80" i="5"/>
  <c r="Y55" i="5"/>
  <c r="O21" i="5"/>
  <c r="O58" i="5"/>
  <c r="Q57" i="5"/>
  <c r="P56" i="5"/>
  <c r="T56" i="5"/>
  <c r="X82" i="5"/>
  <c r="X83" i="5" s="1"/>
  <c r="X80" i="5"/>
  <c r="X55" i="5"/>
  <c r="O15" i="6" l="1"/>
  <c r="O57" i="6"/>
  <c r="Q22" i="5"/>
  <c r="Q23" i="5" s="1"/>
  <c r="O33" i="6"/>
  <c r="O29" i="6"/>
  <c r="O37" i="6"/>
  <c r="P16" i="6"/>
  <c r="O19" i="6"/>
  <c r="AI14" i="6"/>
  <c r="AI57" i="6" s="1"/>
  <c r="O16" i="6"/>
  <c r="X37" i="6"/>
  <c r="X33" i="6"/>
  <c r="X29" i="6"/>
  <c r="S37" i="6"/>
  <c r="S33" i="6"/>
  <c r="S29" i="6"/>
  <c r="S16" i="6"/>
  <c r="T16" i="6"/>
  <c r="AI20" i="5"/>
  <c r="P21" i="5"/>
  <c r="Y72" i="5"/>
  <c r="AH20" i="5"/>
  <c r="Y61" i="5"/>
  <c r="Y62" i="5" s="1"/>
  <c r="X18" i="6"/>
  <c r="X15" i="6"/>
  <c r="S15" i="6"/>
  <c r="S18" i="6"/>
  <c r="AK79" i="5"/>
  <c r="AK82" i="5" s="1"/>
  <c r="AL82" i="5" s="1"/>
  <c r="AM82" i="5" s="1"/>
  <c r="AN82" i="5" s="1"/>
  <c r="AO82" i="5" s="1"/>
  <c r="AP82" i="5" s="1"/>
  <c r="AQ82" i="5" s="1"/>
  <c r="W12" i="6"/>
  <c r="W14" i="6" s="1"/>
  <c r="Y83" i="5"/>
  <c r="X20" i="5"/>
  <c r="X21" i="5" s="1"/>
  <c r="Y20" i="5"/>
  <c r="X61" i="5"/>
  <c r="X62" i="5" s="1"/>
  <c r="U20" i="5"/>
  <c r="U22" i="5" s="1"/>
  <c r="U23" i="5" s="1"/>
  <c r="T21" i="5"/>
  <c r="S20" i="5"/>
  <c r="T22" i="5" s="1"/>
  <c r="T23" i="5" s="1"/>
  <c r="O62" i="5"/>
  <c r="AI61" i="5"/>
  <c r="AH61" i="5"/>
  <c r="AJ64" i="5"/>
  <c r="AJ67" i="5"/>
  <c r="AJ70" i="5"/>
  <c r="AJ55" i="5"/>
  <c r="U61" i="5"/>
  <c r="U62" i="5" s="1"/>
  <c r="S61" i="5"/>
  <c r="W67" i="5"/>
  <c r="AK67" i="5" s="1"/>
  <c r="W64" i="5"/>
  <c r="AK64" i="5" s="1"/>
  <c r="W70" i="5"/>
  <c r="Y56" i="5"/>
  <c r="W55" i="5"/>
  <c r="W82" i="5"/>
  <c r="W83" i="5" s="1"/>
  <c r="W80" i="5"/>
  <c r="S56" i="5"/>
  <c r="S57" i="5"/>
  <c r="S58" i="5" s="1"/>
  <c r="T57" i="5"/>
  <c r="T58" i="5" s="1"/>
  <c r="U57" i="5"/>
  <c r="U58" i="5" s="1"/>
  <c r="V57" i="5"/>
  <c r="V58" i="5" s="1"/>
  <c r="U56" i="5"/>
  <c r="Q58" i="5"/>
  <c r="Y57" i="5"/>
  <c r="X56" i="5"/>
  <c r="F82" i="5"/>
  <c r="F50" i="5"/>
  <c r="AF50" i="5" s="1"/>
  <c r="AJ14" i="6" l="1"/>
  <c r="AJ23" i="6" s="1"/>
  <c r="AI23" i="6"/>
  <c r="AI18" i="6" s="1"/>
  <c r="W16" i="6"/>
  <c r="W37" i="6"/>
  <c r="W29" i="6"/>
  <c r="W33" i="6"/>
  <c r="X16" i="6"/>
  <c r="Y22" i="5"/>
  <c r="Y23" i="5" s="1"/>
  <c r="AK70" i="5"/>
  <c r="W72" i="5"/>
  <c r="AG82" i="5"/>
  <c r="J83" i="5"/>
  <c r="V22" i="5"/>
  <c r="V23" i="5" s="1"/>
  <c r="U21" i="5"/>
  <c r="AJ57" i="6"/>
  <c r="W18" i="6"/>
  <c r="W15" i="6"/>
  <c r="S21" i="5"/>
  <c r="S22" i="5"/>
  <c r="S23" i="5" s="1"/>
  <c r="Y21" i="5"/>
  <c r="AJ20" i="5"/>
  <c r="W20" i="5"/>
  <c r="AK20" i="5" s="1"/>
  <c r="W57" i="5"/>
  <c r="W58" i="5" s="1"/>
  <c r="AK55" i="5"/>
  <c r="S62" i="5"/>
  <c r="AJ61" i="5"/>
  <c r="W56" i="5"/>
  <c r="W61" i="5"/>
  <c r="Y58" i="5"/>
  <c r="X57" i="5"/>
  <c r="X58" i="5" s="1"/>
  <c r="J51" i="5"/>
  <c r="G52" i="5"/>
  <c r="K53" i="5" s="1"/>
  <c r="F71" i="5"/>
  <c r="F55" i="5"/>
  <c r="AF55" i="5" s="1"/>
  <c r="AG79" i="5"/>
  <c r="J80" i="5"/>
  <c r="F20" i="5"/>
  <c r="AF20" i="5" s="1"/>
  <c r="AK14" i="6" l="1"/>
  <c r="AK57" i="6" s="1"/>
  <c r="AI44" i="6"/>
  <c r="AI48" i="6" s="1"/>
  <c r="AI49" i="6" s="1"/>
  <c r="AI64" i="6" s="1"/>
  <c r="AI63" i="6"/>
  <c r="W22" i="5"/>
  <c r="W23" i="5" s="1"/>
  <c r="AJ18" i="6"/>
  <c r="AJ44" i="6"/>
  <c r="AJ48" i="6" s="1"/>
  <c r="AJ63" i="6"/>
  <c r="X22" i="5"/>
  <c r="X23" i="5" s="1"/>
  <c r="W21" i="5"/>
  <c r="W62" i="5"/>
  <c r="AK61" i="5"/>
  <c r="G22" i="5"/>
  <c r="K23" i="5" s="1"/>
  <c r="J21" i="5"/>
  <c r="G57" i="5"/>
  <c r="K58" i="5" s="1"/>
  <c r="J56" i="5"/>
  <c r="O23" i="6"/>
  <c r="AL14" i="6" l="1"/>
  <c r="AM14" i="6" s="1"/>
  <c r="AK23" i="6"/>
  <c r="O44" i="6"/>
  <c r="O45" i="6" s="1"/>
  <c r="O42" i="6"/>
  <c r="O25" i="6"/>
  <c r="O24" i="6"/>
  <c r="AI50" i="6"/>
  <c r="AI53" i="6" s="1"/>
  <c r="AJ49" i="6"/>
  <c r="AJ64" i="6" s="1"/>
  <c r="AL57" i="6"/>
  <c r="AL23" i="6"/>
  <c r="AK18" i="6"/>
  <c r="AK63" i="6"/>
  <c r="AK44" i="6"/>
  <c r="AK48" i="6" s="1"/>
  <c r="O63" i="6"/>
  <c r="O48" i="6"/>
  <c r="AJ50" i="6" l="1"/>
  <c r="AJ53" i="6" s="1"/>
  <c r="AK49" i="6"/>
  <c r="AK64" i="6" s="1"/>
  <c r="AL18" i="6"/>
  <c r="AL63" i="6"/>
  <c r="AL44" i="6"/>
  <c r="AL48" i="6" s="1"/>
  <c r="AN14" i="6"/>
  <c r="AM57" i="6"/>
  <c r="AM23" i="6"/>
  <c r="O49" i="6"/>
  <c r="O64" i="6" s="1"/>
  <c r="AK50" i="6" l="1"/>
  <c r="AK53" i="6" s="1"/>
  <c r="AM18" i="6"/>
  <c r="AM63" i="6"/>
  <c r="AM44" i="6"/>
  <c r="AM48" i="6" s="1"/>
  <c r="AN57" i="6"/>
  <c r="AO14" i="6"/>
  <c r="AN23" i="6"/>
  <c r="AN18" i="6" s="1"/>
  <c r="AL49" i="6"/>
  <c r="AL64" i="6" s="1"/>
  <c r="O50" i="6"/>
  <c r="P20" i="6"/>
  <c r="R20" i="6"/>
  <c r="S20" i="6"/>
  <c r="Q20" i="6"/>
  <c r="O53" i="6" l="1"/>
  <c r="O51" i="6"/>
  <c r="AN44" i="6"/>
  <c r="AN48" i="6" s="1"/>
  <c r="AN63" i="6"/>
  <c r="AO23" i="6"/>
  <c r="AO18" i="6" s="1"/>
  <c r="AP14" i="6"/>
  <c r="AO57" i="6"/>
  <c r="AM49" i="6"/>
  <c r="AM64" i="6" s="1"/>
  <c r="AL50" i="6"/>
  <c r="AL53" i="6" s="1"/>
  <c r="Q23" i="6"/>
  <c r="V20" i="6"/>
  <c r="P23" i="6"/>
  <c r="W20" i="6"/>
  <c r="U20" i="6"/>
  <c r="Y20" i="6"/>
  <c r="R23" i="6"/>
  <c r="R42" i="6" s="1"/>
  <c r="T20" i="6"/>
  <c r="S23" i="6"/>
  <c r="S42" i="6" s="1"/>
  <c r="P44" i="6" l="1"/>
  <c r="P45" i="6" s="1"/>
  <c r="P42" i="6"/>
  <c r="Q44" i="6"/>
  <c r="Q45" i="6" s="1"/>
  <c r="Q42" i="6"/>
  <c r="R24" i="6"/>
  <c r="R44" i="6"/>
  <c r="S24" i="6"/>
  <c r="S44" i="6"/>
  <c r="P25" i="6"/>
  <c r="P24" i="6"/>
  <c r="Q25" i="6"/>
  <c r="Q24" i="6"/>
  <c r="AM50" i="6"/>
  <c r="AM53" i="6" s="1"/>
  <c r="S25" i="6"/>
  <c r="R25" i="6"/>
  <c r="P63" i="6"/>
  <c r="AP57" i="6"/>
  <c r="AP23" i="6"/>
  <c r="AP18" i="6" s="1"/>
  <c r="AQ14" i="6"/>
  <c r="AO63" i="6"/>
  <c r="AO44" i="6"/>
  <c r="AO48" i="6" s="1"/>
  <c r="AN49" i="6"/>
  <c r="AN64" i="6" s="1"/>
  <c r="Q63" i="6"/>
  <c r="Y23" i="6"/>
  <c r="V23" i="6"/>
  <c r="V42" i="6" s="1"/>
  <c r="U23" i="6"/>
  <c r="U42" i="6" s="1"/>
  <c r="W23" i="6"/>
  <c r="W42" i="6" s="1"/>
  <c r="T23" i="6"/>
  <c r="T42" i="6" s="1"/>
  <c r="X20" i="6"/>
  <c r="P48" i="6" l="1"/>
  <c r="P49" i="6" s="1"/>
  <c r="P64" i="6" s="1"/>
  <c r="Q48" i="6"/>
  <c r="Q49" i="6" s="1"/>
  <c r="Q64" i="6" s="1"/>
  <c r="Y44" i="6"/>
  <c r="Y48" i="6" s="1"/>
  <c r="Y42" i="6"/>
  <c r="S48" i="6"/>
  <c r="S49" i="6" s="1"/>
  <c r="S50" i="6" s="1"/>
  <c r="S45" i="6"/>
  <c r="R48" i="6"/>
  <c r="R49" i="6" s="1"/>
  <c r="R50" i="6" s="1"/>
  <c r="R45" i="6"/>
  <c r="T24" i="6"/>
  <c r="T44" i="6"/>
  <c r="W24" i="6"/>
  <c r="W44" i="6"/>
  <c r="U24" i="6"/>
  <c r="U44" i="6"/>
  <c r="V24" i="6"/>
  <c r="V44" i="6"/>
  <c r="Y24" i="6"/>
  <c r="AN50" i="6"/>
  <c r="AN53" i="6" s="1"/>
  <c r="U25" i="6"/>
  <c r="V25" i="6"/>
  <c r="Y25" i="6"/>
  <c r="T25" i="6"/>
  <c r="W25" i="6"/>
  <c r="AO49" i="6"/>
  <c r="AO64" i="6" s="1"/>
  <c r="AP44" i="6"/>
  <c r="AP48" i="6" s="1"/>
  <c r="AP63" i="6"/>
  <c r="AQ57" i="6"/>
  <c r="AQ23" i="6"/>
  <c r="AQ18" i="6" s="1"/>
  <c r="X23" i="6"/>
  <c r="X42" i="6" s="1"/>
  <c r="P50" i="6"/>
  <c r="Q50" i="6" l="1"/>
  <c r="Q53" i="6" s="1"/>
  <c r="AO50" i="6"/>
  <c r="AO53" i="6" s="1"/>
  <c r="W48" i="6"/>
  <c r="W49" i="6" s="1"/>
  <c r="W50" i="6" s="1"/>
  <c r="W53" i="6" s="1"/>
  <c r="W45" i="6"/>
  <c r="V48" i="6"/>
  <c r="V49" i="6" s="1"/>
  <c r="V50" i="6" s="1"/>
  <c r="V53" i="6" s="1"/>
  <c r="V45" i="6"/>
  <c r="U48" i="6"/>
  <c r="U49" i="6" s="1"/>
  <c r="U50" i="6" s="1"/>
  <c r="U53" i="6" s="1"/>
  <c r="U45" i="6"/>
  <c r="Y45" i="6"/>
  <c r="T48" i="6"/>
  <c r="T49" i="6" s="1"/>
  <c r="T50" i="6" s="1"/>
  <c r="T53" i="6" s="1"/>
  <c r="T45" i="6"/>
  <c r="X24" i="6"/>
  <c r="X44" i="6"/>
  <c r="Y49" i="6"/>
  <c r="Y50" i="6" s="1"/>
  <c r="S53" i="6"/>
  <c r="S51" i="6"/>
  <c r="X25" i="6"/>
  <c r="R53" i="6"/>
  <c r="R51" i="6"/>
  <c r="P53" i="6"/>
  <c r="P51" i="6"/>
  <c r="AQ44" i="6"/>
  <c r="AQ48" i="6" s="1"/>
  <c r="AQ63" i="6"/>
  <c r="AP49" i="6"/>
  <c r="AP64" i="6" s="1"/>
  <c r="Q51" i="6" l="1"/>
  <c r="W51" i="6"/>
  <c r="V51" i="6"/>
  <c r="U51" i="6"/>
  <c r="X48" i="6"/>
  <c r="X49" i="6" s="1"/>
  <c r="X50" i="6" s="1"/>
  <c r="X45" i="6"/>
  <c r="Y51" i="6"/>
  <c r="Y53" i="6"/>
  <c r="T51" i="6"/>
  <c r="AP50" i="6"/>
  <c r="AP53" i="6" s="1"/>
  <c r="AQ49" i="6"/>
  <c r="AQ64" i="6" s="1"/>
  <c r="X51" i="6" l="1"/>
  <c r="X53" i="6"/>
  <c r="AQ50" i="6"/>
  <c r="AR50" i="6" s="1"/>
  <c r="AS50" i="6" s="1"/>
  <c r="AT50" i="6" s="1"/>
  <c r="AU50" i="6" s="1"/>
  <c r="AV50" i="6" s="1"/>
  <c r="AW50" i="6" s="1"/>
  <c r="AX50" i="6" s="1"/>
  <c r="AY50" i="6" s="1"/>
  <c r="AZ50" i="6" s="1"/>
  <c r="BA50" i="6" s="1"/>
  <c r="BB50" i="6" s="1"/>
  <c r="BC50" i="6" s="1"/>
  <c r="BD50" i="6" s="1"/>
  <c r="BE50" i="6" s="1"/>
  <c r="BF50" i="6" s="1"/>
  <c r="BG50" i="6" s="1"/>
  <c r="BH50" i="6" s="1"/>
  <c r="BI50" i="6" s="1"/>
  <c r="BJ50" i="6" s="1"/>
  <c r="BK50" i="6" s="1"/>
  <c r="BL50" i="6" s="1"/>
  <c r="BM50" i="6" s="1"/>
  <c r="BN50" i="6" s="1"/>
  <c r="BO50" i="6" s="1"/>
  <c r="BP50" i="6" s="1"/>
  <c r="BQ50" i="6" s="1"/>
  <c r="BR50" i="6" s="1"/>
  <c r="BS50" i="6" s="1"/>
  <c r="BT50" i="6" s="1"/>
  <c r="BU50" i="6" s="1"/>
  <c r="BV50" i="6" s="1"/>
  <c r="BW50" i="6" s="1"/>
  <c r="BX50" i="6" s="1"/>
  <c r="BY50" i="6" s="1"/>
  <c r="BZ50" i="6" s="1"/>
  <c r="CA50" i="6" s="1"/>
  <c r="CB50" i="6" s="1"/>
  <c r="CC50" i="6" s="1"/>
  <c r="CD50" i="6" s="1"/>
  <c r="CE50" i="6" s="1"/>
  <c r="CF50" i="6" s="1"/>
  <c r="CG50" i="6" s="1"/>
  <c r="CH50" i="6" s="1"/>
  <c r="CI50" i="6" s="1"/>
  <c r="CJ50" i="6" s="1"/>
  <c r="CK50" i="6" s="1"/>
  <c r="CL50" i="6" s="1"/>
  <c r="CM50" i="6" s="1"/>
  <c r="CN50" i="6" s="1"/>
  <c r="CO50" i="6" s="1"/>
  <c r="CP50" i="6" s="1"/>
  <c r="CQ50" i="6" s="1"/>
  <c r="CR50" i="6" s="1"/>
  <c r="CS50" i="6" s="1"/>
  <c r="CT50" i="6" s="1"/>
  <c r="CU50" i="6" s="1"/>
  <c r="AV63" i="6" s="1"/>
  <c r="P41" i="5"/>
  <c r="P46" i="5" s="1"/>
  <c r="AQ53" i="6" l="1"/>
  <c r="P43" i="5"/>
  <c r="R41" i="5"/>
  <c r="R43" i="5" s="1"/>
  <c r="T41" i="5"/>
  <c r="T43" i="5" s="1"/>
  <c r="Q41" i="5"/>
  <c r="Q46" i="5" s="1"/>
  <c r="U41" i="5" l="1"/>
  <c r="U46" i="5" s="1"/>
  <c r="T46" i="5"/>
  <c r="V41" i="5"/>
  <c r="X41" i="5"/>
  <c r="Y41" i="5"/>
  <c r="R46" i="5"/>
  <c r="Q43" i="5"/>
  <c r="AI41" i="5"/>
  <c r="AJ41" i="5" l="1"/>
  <c r="U43" i="5"/>
  <c r="X43" i="5"/>
  <c r="X46" i="5"/>
  <c r="V46" i="5"/>
  <c r="V43" i="5"/>
  <c r="Y43" i="5"/>
  <c r="Y46" i="5"/>
  <c r="AK41" i="5"/>
  <c r="S41" i="5"/>
  <c r="S46" i="5" s="1"/>
  <c r="O46" i="5"/>
  <c r="O42" i="5"/>
  <c r="O43" i="5"/>
  <c r="S43" i="5" l="1"/>
  <c r="W41" i="5"/>
  <c r="W46" i="5" l="1"/>
  <c r="W43" i="5"/>
</calcChain>
</file>

<file path=xl/sharedStrings.xml><?xml version="1.0" encoding="utf-8"?>
<sst xmlns="http://schemas.openxmlformats.org/spreadsheetml/2006/main" count="388" uniqueCount="175">
  <si>
    <t xml:space="preserve"> </t>
  </si>
  <si>
    <t>Price</t>
  </si>
  <si>
    <t>Shares</t>
  </si>
  <si>
    <t>MC</t>
  </si>
  <si>
    <t>Cash</t>
  </si>
  <si>
    <t>Debt</t>
  </si>
  <si>
    <t>EV</t>
  </si>
  <si>
    <t>Main</t>
  </si>
  <si>
    <t>Q122</t>
  </si>
  <si>
    <t>Family DAP</t>
  </si>
  <si>
    <t>Family MAP</t>
  </si>
  <si>
    <t>Facebook DAU</t>
  </si>
  <si>
    <t>Facebook MAU</t>
  </si>
  <si>
    <t>Facebook</t>
  </si>
  <si>
    <t>Instagram</t>
  </si>
  <si>
    <t>WhatsApp</t>
  </si>
  <si>
    <t>Horizon</t>
  </si>
  <si>
    <t>Quest</t>
  </si>
  <si>
    <t>Reality Labs</t>
  </si>
  <si>
    <t>Headcount</t>
  </si>
  <si>
    <t>Gross Margin</t>
  </si>
  <si>
    <t>Operating Income</t>
  </si>
  <si>
    <t>Interest Income</t>
  </si>
  <si>
    <t>Pretax Income</t>
  </si>
  <si>
    <t>Taxes</t>
  </si>
  <si>
    <t>Net Income</t>
  </si>
  <si>
    <t>EPS</t>
  </si>
  <si>
    <t>Revenue y/y</t>
  </si>
  <si>
    <t>AR</t>
  </si>
  <si>
    <t>Prepaids</t>
  </si>
  <si>
    <t>PPE</t>
  </si>
  <si>
    <t>Lease ROU</t>
  </si>
  <si>
    <t>Assets</t>
  </si>
  <si>
    <t>Intangibles</t>
  </si>
  <si>
    <t>Other</t>
  </si>
  <si>
    <t>AP</t>
  </si>
  <si>
    <t>Partners Payable</t>
  </si>
  <si>
    <t>Leases</t>
  </si>
  <si>
    <t>AE</t>
  </si>
  <si>
    <t>DR</t>
  </si>
  <si>
    <t>L+SE</t>
  </si>
  <si>
    <t>Retained</t>
  </si>
  <si>
    <t>AOCL</t>
  </si>
  <si>
    <t>PIC</t>
  </si>
  <si>
    <t>OL</t>
  </si>
  <si>
    <t>Model NI</t>
  </si>
  <si>
    <t>Reported NI</t>
  </si>
  <si>
    <t>CFFO</t>
  </si>
  <si>
    <t>D&amp;A</t>
  </si>
  <si>
    <t>SBC</t>
  </si>
  <si>
    <t>DT</t>
  </si>
  <si>
    <t>WC</t>
  </si>
  <si>
    <t>CapEx</t>
  </si>
  <si>
    <t>Investing</t>
  </si>
  <si>
    <t>Acquisitions</t>
  </si>
  <si>
    <t>CFFI</t>
  </si>
  <si>
    <t>SBC Taxes</t>
  </si>
  <si>
    <t>Buybacks</t>
  </si>
  <si>
    <t>CFFF</t>
  </si>
  <si>
    <t>FX</t>
  </si>
  <si>
    <t>CIC</t>
  </si>
  <si>
    <t>Ads</t>
  </si>
  <si>
    <t>Family MARPU</t>
  </si>
  <si>
    <t>Family DARPU</t>
  </si>
  <si>
    <t>CEO: Mark Zuckerburg since 2004</t>
  </si>
  <si>
    <t>COO: Javier Olivian replaces Sheryl Sandberg who resigns 5/28/22</t>
  </si>
  <si>
    <t>2012: IPO</t>
  </si>
  <si>
    <t>2/4/2004: Founded</t>
  </si>
  <si>
    <t>Class A</t>
  </si>
  <si>
    <t>Class B</t>
  </si>
  <si>
    <t>BOD: Andreessen, Alford, Houston, Killefer, Kimmitt, Sandberg, Travis, Xu</t>
  </si>
  <si>
    <t>Menlo Park, CA</t>
  </si>
  <si>
    <t>650-543-4800</t>
  </si>
  <si>
    <t>ROW</t>
  </si>
  <si>
    <t>Ad Pricing y/y</t>
  </si>
  <si>
    <t>Ad Volume y/y</t>
  </si>
  <si>
    <t>Global ARPP</t>
  </si>
  <si>
    <t xml:space="preserve">  2Q MA</t>
  </si>
  <si>
    <t xml:space="preserve">  US/CA</t>
  </si>
  <si>
    <t>IR: Deborah Crawford investor@fb.com</t>
  </si>
  <si>
    <t>USCA Ads</t>
  </si>
  <si>
    <t>EU Ads</t>
  </si>
  <si>
    <t>20% of time Reels</t>
  </si>
  <si>
    <t>50% of time Video</t>
  </si>
  <si>
    <t>APAC Ads</t>
  </si>
  <si>
    <t>Reality y/y</t>
  </si>
  <si>
    <t>CFO: Dave Wehner</t>
  </si>
  <si>
    <t>Tax Rate</t>
  </si>
  <si>
    <t>ROIC</t>
  </si>
  <si>
    <t>NPV</t>
  </si>
  <si>
    <t>Discount</t>
  </si>
  <si>
    <t>Terminal</t>
  </si>
  <si>
    <t>Share</t>
  </si>
  <si>
    <t>Upside</t>
  </si>
  <si>
    <t xml:space="preserve">Meta Platforms, Inc. </t>
  </si>
  <si>
    <t>1Q19</t>
  </si>
  <si>
    <t>2Q19</t>
  </si>
  <si>
    <t>3Q19</t>
  </si>
  <si>
    <t>4Q19</t>
  </si>
  <si>
    <t>1Q20</t>
  </si>
  <si>
    <t>2Q20</t>
  </si>
  <si>
    <t>3Q20</t>
  </si>
  <si>
    <t>4Q20</t>
  </si>
  <si>
    <t>1Q21</t>
  </si>
  <si>
    <t>2Q21</t>
  </si>
  <si>
    <t>3Q21</t>
  </si>
  <si>
    <t>4Q21</t>
  </si>
  <si>
    <t>1Q22</t>
  </si>
  <si>
    <t>2Q22</t>
  </si>
  <si>
    <t>3Q22</t>
  </si>
  <si>
    <t>4Q22</t>
  </si>
  <si>
    <t>1Q23</t>
  </si>
  <si>
    <t>2Q23</t>
  </si>
  <si>
    <t>3Q23</t>
  </si>
  <si>
    <t>4Q23</t>
  </si>
  <si>
    <t>1Q24</t>
  </si>
  <si>
    <t>2Q24</t>
  </si>
  <si>
    <t>3Q24</t>
  </si>
  <si>
    <t>4Q24</t>
  </si>
  <si>
    <t>FY19</t>
  </si>
  <si>
    <t>FY20</t>
  </si>
  <si>
    <t>FY21</t>
  </si>
  <si>
    <t>FY22</t>
  </si>
  <si>
    <t>FY23</t>
  </si>
  <si>
    <t>FY24</t>
  </si>
  <si>
    <t>FY25</t>
  </si>
  <si>
    <t>FY26</t>
  </si>
  <si>
    <t>FY27</t>
  </si>
  <si>
    <t xml:space="preserve">FY28 </t>
  </si>
  <si>
    <t>FY29</t>
  </si>
  <si>
    <t>FY30</t>
  </si>
  <si>
    <t>Technology</t>
  </si>
  <si>
    <t>Total Operating Expenses</t>
  </si>
  <si>
    <t>General &amp; Administrative</t>
  </si>
  <si>
    <t>P&amp;L GAAP</t>
  </si>
  <si>
    <t>Total Revenues</t>
  </si>
  <si>
    <t>Gross Profit</t>
  </si>
  <si>
    <t xml:space="preserve">   % Growth YoY</t>
  </si>
  <si>
    <t>NASDAQ: (META)</t>
  </si>
  <si>
    <t>Meta Platforms, Inc.</t>
  </si>
  <si>
    <t>Summary</t>
  </si>
  <si>
    <t>Drivers</t>
  </si>
  <si>
    <t>BS</t>
  </si>
  <si>
    <t>CFS</t>
  </si>
  <si>
    <t>Legal Disclosure</t>
  </si>
  <si>
    <t>Contact</t>
  </si>
  <si>
    <t>ARPU: Average Revenue Per User</t>
  </si>
  <si>
    <t xml:space="preserve">   % of Family DAP</t>
  </si>
  <si>
    <t xml:space="preserve">Facebook </t>
  </si>
  <si>
    <t xml:space="preserve">   % of Family MAP</t>
  </si>
  <si>
    <t>Reality Labs (Metaverse &amp; Oculus)</t>
  </si>
  <si>
    <t>Total Revenue</t>
  </si>
  <si>
    <t xml:space="preserve">   % of Ads</t>
  </si>
  <si>
    <t>Geographic Revenue Mix</t>
  </si>
  <si>
    <t xml:space="preserve">   % of Total Facebook DAU</t>
  </si>
  <si>
    <t xml:space="preserve">   % of Total Facebook MAU</t>
  </si>
  <si>
    <t>Segments</t>
  </si>
  <si>
    <t>Revenues</t>
  </si>
  <si>
    <t xml:space="preserve">   % of Revenue</t>
  </si>
  <si>
    <t>Operating Expenses</t>
  </si>
  <si>
    <t>Cost of Goods Sold</t>
  </si>
  <si>
    <t xml:space="preserve">   % Growth QoQ</t>
  </si>
  <si>
    <t xml:space="preserve">   % Change YoY</t>
  </si>
  <si>
    <t>Sales &amp; Marketing</t>
  </si>
  <si>
    <t xml:space="preserve">   % of Gross Income</t>
  </si>
  <si>
    <t>Revenue Build</t>
  </si>
  <si>
    <t>Model</t>
  </si>
  <si>
    <t>research@whiteskycapital.com</t>
  </si>
  <si>
    <t>$ in Millions</t>
  </si>
  <si>
    <t>% Growth Y/Y</t>
  </si>
  <si>
    <r>
      <t xml:space="preserve">WhiteSky | </t>
    </r>
    <r>
      <rPr>
        <sz val="12"/>
        <color theme="1"/>
        <rFont val="Avenir Light"/>
        <family val="2"/>
      </rPr>
      <t>RESEARCH</t>
    </r>
  </si>
  <si>
    <r>
      <t xml:space="preserve">WhiteSky  </t>
    </r>
    <r>
      <rPr>
        <sz val="24"/>
        <color theme="1"/>
        <rFont val="Helvetica Light"/>
      </rPr>
      <t>| Research</t>
    </r>
  </si>
  <si>
    <t>QAU</t>
  </si>
  <si>
    <t>ARPU</t>
  </si>
  <si>
    <t xml:space="preserve">This document, and the information contained herein, have been provided to you by WhiteSky Capital Research LLC and its affiliates (“WhiteSky”) solely for informational purposes. This document may not be reproduced or redistributed in whole or in part, in any format, without the express written approval of WhiteSky. Neither the information, nor any opinion contained in this document, constitutes an offer to buy or sell, or a solicitation of an offer to buy or sell, any advisory services, securities, futures, options, or other financial instruments or to participate in any advisory services or trading strategy. Nothing contained in this document constitutes investment, legal or tax advice. You should make your own investigations and evaluations of the information herein. Any decisions based on information contained in this document are the sole responsibility of the reader. Certain statements in this document reflect WhiteSky’s views, estimates, opinions or predictions (which may be based on proprietary models and assumptions, including, in particular, WhiteSky’s views on the current and future market for certain assets), and there is no guarantee that these views, estimates, opinions or predictions are currently accurate or that they will be ultimately realized. To the extent, these assumptions or models are not correct or circumstances change, the actual performance may vary substantially from, and be less than, the estimates included herein. None of WhiteSky nor any of its affiliates, shareholders, partners, members, directors, officers, management, employees, or representatives makes any representation or warranty, express or implied, as to the accuracy or completeness of any of the information or any other information (whether communicated in written or oral form) transmitted or made available to you. Each of the aforementioned parties expressly disclaims any and all liability relating to or resulting from the use of this information. Certain information contained herein (including financial information) has been obtained from published and non-published sources. Such information has not been independently verified by WhiteSky Capital Management and, WhiteSky does not assume responsibility for the accuracy of such information. Affiliates of WhiteSky Research may have owned or may own investments in some of the digital assets and protocols discussed in this document. Except where otherwise indicated, the information in this document is based on matters as they exist as of the date of preparation and not as of any future date, and will not be updated or otherwise revised to reflect information that subsequently becomes available, or circumstances existing or changes occurring after the date hereof. The foregoing does not constitute a "research report" as defined by FINRA Rule 2241 or a "debt research report" as defined by FINRA Rule 2242 and was not prepared by White Sky Capital Management LLC. For all inquiries, please email research@whiteskycapital.com. ©Copyright WhiteSky Research LLC 2022. All rights reserved.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</si>
</sst>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0"/>
      <color theme="1"/>
      <name val="Arial"/>
      <family val="2"/>
    </font>
    <font>
      <sz val="12"/>
      <color theme="1"/>
      <name val="Calibri"/>
      <family val="2"/>
      <scheme val="minor"/>
    </font>
    <font>
      <u/>
      <sz val="10"/>
      <color theme="10"/>
      <name val="Arial"/>
      <family val="2"/>
    </font>
    <font>
      <sz val="10"/>
      <color theme="1"/>
      <name val="Arial"/>
      <family val="2"/>
    </font>
    <font>
      <sz val="10"/>
      <color theme="1"/>
      <name val="Helvetica Light"/>
    </font>
    <font>
      <u/>
      <sz val="10"/>
      <color theme="1"/>
      <name val="Helvetica Light"/>
    </font>
    <font>
      <sz val="12"/>
      <color theme="1"/>
      <name val="Helvetica Light"/>
    </font>
    <font>
      <u/>
      <sz val="12"/>
      <color theme="1"/>
      <name val="Helvetica Light"/>
    </font>
    <font>
      <i/>
      <sz val="12"/>
      <color theme="1"/>
      <name val="Helvetica Light"/>
    </font>
    <font>
      <b/>
      <sz val="12"/>
      <color theme="1"/>
      <name val="Helvetica Light"/>
    </font>
    <font>
      <sz val="14"/>
      <color theme="1"/>
      <name val="Libre Baskerville"/>
    </font>
    <font>
      <b/>
      <i/>
      <sz val="20"/>
      <color theme="1"/>
      <name val="Helvetica Light"/>
    </font>
    <font>
      <sz val="12"/>
      <color theme="1"/>
      <name val="Avenir Light"/>
      <family val="2"/>
    </font>
    <font>
      <b/>
      <u/>
      <sz val="10"/>
      <color theme="1"/>
      <name val="Helvetica Light"/>
    </font>
    <font>
      <sz val="24"/>
      <color theme="1"/>
      <name val="Libre Baskerville"/>
    </font>
    <font>
      <sz val="24"/>
      <color theme="1"/>
      <name val="Helvetica Light"/>
    </font>
    <font>
      <b/>
      <i/>
      <sz val="18"/>
      <color theme="1"/>
      <name val="Helvetica Light"/>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top/>
      <bottom/>
      <diagonal/>
    </border>
    <border>
      <left/>
      <right style="thin">
        <color theme="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87">
    <xf numFmtId="0" fontId="0" fillId="0" borderId="0" xfId="0"/>
    <xf numFmtId="0" fontId="4" fillId="2" borderId="0" xfId="0" applyFont="1" applyFill="1"/>
    <xf numFmtId="0" fontId="4" fillId="2" borderId="0" xfId="0" applyFont="1" applyFill="1" applyAlignment="1">
      <alignment horizontal="right"/>
    </xf>
    <xf numFmtId="0" fontId="5" fillId="2" borderId="0" xfId="1" applyFont="1" applyFill="1"/>
    <xf numFmtId="3" fontId="4" fillId="2" borderId="0" xfId="0" applyNumberFormat="1" applyFont="1" applyFill="1"/>
    <xf numFmtId="0" fontId="6" fillId="2" borderId="0" xfId="0" applyFont="1" applyFill="1"/>
    <xf numFmtId="0" fontId="6" fillId="2" borderId="0" xfId="0" applyFont="1" applyFill="1" applyAlignment="1">
      <alignment horizontal="right"/>
    </xf>
    <xf numFmtId="0" fontId="7" fillId="2" borderId="0" xfId="1" applyFont="1" applyFill="1"/>
    <xf numFmtId="3" fontId="6" fillId="2" borderId="0" xfId="0" applyNumberFormat="1" applyFont="1" applyFill="1"/>
    <xf numFmtId="3" fontId="6" fillId="2" borderId="0" xfId="0" applyNumberFormat="1" applyFont="1" applyFill="1" applyAlignment="1">
      <alignment horizontal="right"/>
    </xf>
    <xf numFmtId="4" fontId="6" fillId="2" borderId="0" xfId="0" applyNumberFormat="1" applyFont="1" applyFill="1" applyAlignment="1">
      <alignment horizontal="right"/>
    </xf>
    <xf numFmtId="3" fontId="8" fillId="2" borderId="0" xfId="0" applyNumberFormat="1" applyFont="1" applyFill="1"/>
    <xf numFmtId="3" fontId="8" fillId="2" borderId="0" xfId="0" applyNumberFormat="1" applyFont="1" applyFill="1" applyAlignment="1">
      <alignment horizontal="right"/>
    </xf>
    <xf numFmtId="4" fontId="8" fillId="2" borderId="0" xfId="0" applyNumberFormat="1" applyFont="1" applyFill="1" applyAlignment="1">
      <alignment horizontal="right"/>
    </xf>
    <xf numFmtId="9" fontId="8" fillId="2" borderId="0" xfId="0" applyNumberFormat="1" applyFont="1" applyFill="1" applyAlignment="1">
      <alignment horizontal="right"/>
    </xf>
    <xf numFmtId="3" fontId="9" fillId="2" borderId="0" xfId="0" applyNumberFormat="1" applyFont="1" applyFill="1"/>
    <xf numFmtId="3" fontId="9" fillId="2" borderId="0" xfId="0" applyNumberFormat="1" applyFont="1" applyFill="1" applyAlignment="1">
      <alignment horizontal="right"/>
    </xf>
    <xf numFmtId="4" fontId="6" fillId="2" borderId="0" xfId="0" applyNumberFormat="1" applyFont="1" applyFill="1"/>
    <xf numFmtId="0" fontId="9" fillId="2" borderId="0" xfId="0" applyFont="1" applyFill="1" applyAlignment="1">
      <alignment horizontal="right"/>
    </xf>
    <xf numFmtId="9" fontId="9" fillId="2" borderId="0" xfId="0" applyNumberFormat="1" applyFont="1" applyFill="1" applyAlignment="1">
      <alignment horizontal="right"/>
    </xf>
    <xf numFmtId="0" fontId="9" fillId="2" borderId="0" xfId="0" applyFont="1" applyFill="1"/>
    <xf numFmtId="9" fontId="9" fillId="2" borderId="0" xfId="0" applyNumberFormat="1" applyFont="1" applyFill="1"/>
    <xf numFmtId="9" fontId="6" fillId="2" borderId="0" xfId="0" applyNumberFormat="1" applyFont="1" applyFill="1" applyAlignment="1">
      <alignment horizontal="right"/>
    </xf>
    <xf numFmtId="9" fontId="6" fillId="2" borderId="0" xfId="0" applyNumberFormat="1" applyFont="1" applyFill="1"/>
    <xf numFmtId="0" fontId="10" fillId="2" borderId="0" xfId="0" applyFont="1" applyFill="1" applyAlignment="1">
      <alignment vertical="center"/>
    </xf>
    <xf numFmtId="0" fontId="11" fillId="2" borderId="0" xfId="0" applyFont="1" applyFill="1"/>
    <xf numFmtId="0" fontId="6" fillId="2" borderId="1" xfId="0" applyFont="1" applyFill="1" applyBorder="1" applyAlignment="1">
      <alignment horizontal="right"/>
    </xf>
    <xf numFmtId="0" fontId="6" fillId="2" borderId="2" xfId="0" applyFont="1" applyFill="1" applyBorder="1" applyAlignment="1">
      <alignment horizontal="right"/>
    </xf>
    <xf numFmtId="0" fontId="6" fillId="2" borderId="3" xfId="0" applyFont="1" applyFill="1" applyBorder="1" applyAlignment="1">
      <alignment horizontal="right"/>
    </xf>
    <xf numFmtId="14" fontId="6" fillId="2" borderId="4" xfId="0" applyNumberFormat="1" applyFont="1" applyFill="1" applyBorder="1" applyAlignment="1">
      <alignment horizontal="right"/>
    </xf>
    <xf numFmtId="14" fontId="6" fillId="2" borderId="5" xfId="0" applyNumberFormat="1" applyFont="1" applyFill="1" applyBorder="1" applyAlignment="1">
      <alignment horizontal="right"/>
    </xf>
    <xf numFmtId="14" fontId="6" fillId="2" borderId="6" xfId="0" applyNumberFormat="1" applyFont="1" applyFill="1" applyBorder="1" applyAlignment="1">
      <alignment horizontal="right"/>
    </xf>
    <xf numFmtId="0" fontId="6" fillId="2" borderId="1" xfId="0" applyFont="1" applyFill="1" applyBorder="1"/>
    <xf numFmtId="0" fontId="6" fillId="2" borderId="2" xfId="0" applyFont="1" applyFill="1" applyBorder="1"/>
    <xf numFmtId="0" fontId="6" fillId="2" borderId="3" xfId="0" applyFont="1" applyFill="1" applyBorder="1"/>
    <xf numFmtId="0" fontId="6" fillId="2" borderId="4" xfId="0" applyFont="1" applyFill="1" applyBorder="1"/>
    <xf numFmtId="0" fontId="6" fillId="2" borderId="5" xfId="0" applyFont="1" applyFill="1" applyBorder="1"/>
    <xf numFmtId="0" fontId="6" fillId="2" borderId="6" xfId="0" applyFont="1" applyFill="1" applyBorder="1"/>
    <xf numFmtId="0" fontId="13" fillId="2" borderId="0" xfId="0" applyFont="1" applyFill="1"/>
    <xf numFmtId="9" fontId="6" fillId="2" borderId="0" xfId="2" applyFont="1" applyFill="1" applyAlignment="1">
      <alignment horizontal="right"/>
    </xf>
    <xf numFmtId="3" fontId="9" fillId="2" borderId="7" xfId="0" applyNumberFormat="1" applyFont="1" applyFill="1" applyBorder="1"/>
    <xf numFmtId="3" fontId="9" fillId="2" borderId="8" xfId="0" applyNumberFormat="1" applyFont="1" applyFill="1" applyBorder="1" applyAlignment="1">
      <alignment horizontal="right"/>
    </xf>
    <xf numFmtId="3" fontId="9" fillId="2" borderId="8" xfId="0" applyNumberFormat="1" applyFont="1" applyFill="1" applyBorder="1"/>
    <xf numFmtId="14" fontId="6" fillId="2" borderId="9" xfId="0" applyNumberFormat="1" applyFont="1" applyFill="1" applyBorder="1" applyAlignment="1">
      <alignment horizontal="right"/>
    </xf>
    <xf numFmtId="14" fontId="6" fillId="2" borderId="0" xfId="0" applyNumberFormat="1" applyFont="1" applyFill="1" applyAlignment="1">
      <alignment horizontal="right"/>
    </xf>
    <xf numFmtId="14" fontId="6" fillId="2" borderId="10" xfId="0" applyNumberFormat="1" applyFont="1" applyFill="1" applyBorder="1" applyAlignment="1">
      <alignment horizontal="right"/>
    </xf>
    <xf numFmtId="0" fontId="6" fillId="2" borderId="9" xfId="0" applyFont="1" applyFill="1" applyBorder="1"/>
    <xf numFmtId="0" fontId="6" fillId="2" borderId="10" xfId="0" applyFont="1" applyFill="1" applyBorder="1"/>
    <xf numFmtId="3" fontId="6" fillId="2" borderId="9" xfId="0" applyNumberFormat="1" applyFont="1" applyFill="1" applyBorder="1" applyAlignment="1">
      <alignment horizontal="right"/>
    </xf>
    <xf numFmtId="9" fontId="6" fillId="2" borderId="0" xfId="2" applyFont="1" applyFill="1" applyBorder="1" applyAlignment="1">
      <alignment horizontal="right"/>
    </xf>
    <xf numFmtId="3" fontId="8" fillId="2" borderId="9" xfId="0" applyNumberFormat="1" applyFont="1" applyFill="1" applyBorder="1" applyAlignment="1">
      <alignment horizontal="right"/>
    </xf>
    <xf numFmtId="3" fontId="9" fillId="2" borderId="9" xfId="0" applyNumberFormat="1" applyFont="1" applyFill="1" applyBorder="1" applyAlignment="1">
      <alignment horizontal="right"/>
    </xf>
    <xf numFmtId="0" fontId="6" fillId="2" borderId="9" xfId="0" applyFont="1" applyFill="1" applyBorder="1" applyAlignment="1">
      <alignment horizontal="right"/>
    </xf>
    <xf numFmtId="0" fontId="9" fillId="2" borderId="9" xfId="0" applyFont="1" applyFill="1" applyBorder="1" applyAlignment="1">
      <alignment horizontal="right"/>
    </xf>
    <xf numFmtId="9" fontId="8" fillId="2" borderId="0" xfId="2" applyFont="1" applyFill="1" applyBorder="1" applyAlignment="1">
      <alignment horizontal="right"/>
    </xf>
    <xf numFmtId="0" fontId="9" fillId="2" borderId="7" xfId="0" applyFont="1" applyFill="1" applyBorder="1"/>
    <xf numFmtId="14" fontId="9" fillId="2" borderId="7" xfId="0" applyNumberFormat="1" applyFont="1" applyFill="1" applyBorder="1" applyAlignment="1">
      <alignment horizontal="right"/>
    </xf>
    <xf numFmtId="14" fontId="9" fillId="2" borderId="8" xfId="0" applyNumberFormat="1" applyFont="1" applyFill="1" applyBorder="1" applyAlignment="1">
      <alignment horizontal="right"/>
    </xf>
    <xf numFmtId="0" fontId="9" fillId="2" borderId="8" xfId="0" applyFont="1" applyFill="1" applyBorder="1"/>
    <xf numFmtId="3" fontId="9" fillId="2" borderId="11" xfId="0" applyNumberFormat="1" applyFont="1" applyFill="1" applyBorder="1"/>
    <xf numFmtId="3" fontId="9" fillId="2" borderId="12" xfId="0" applyNumberFormat="1" applyFont="1" applyFill="1" applyBorder="1" applyAlignment="1">
      <alignment horizontal="right"/>
    </xf>
    <xf numFmtId="3" fontId="9" fillId="2" borderId="12" xfId="0" applyNumberFormat="1" applyFont="1" applyFill="1" applyBorder="1"/>
    <xf numFmtId="3" fontId="6" fillId="2" borderId="11" xfId="0" applyNumberFormat="1" applyFont="1" applyFill="1" applyBorder="1"/>
    <xf numFmtId="3" fontId="6" fillId="2" borderId="12" xfId="0" applyNumberFormat="1" applyFont="1" applyFill="1" applyBorder="1" applyAlignment="1">
      <alignment horizontal="right"/>
    </xf>
    <xf numFmtId="3" fontId="6" fillId="2" borderId="12" xfId="0" applyNumberFormat="1" applyFont="1" applyFill="1" applyBorder="1"/>
    <xf numFmtId="9" fontId="8" fillId="2" borderId="0" xfId="2" applyFont="1" applyFill="1" applyAlignment="1">
      <alignment horizontal="right"/>
    </xf>
    <xf numFmtId="0" fontId="14" fillId="2" borderId="0" xfId="0" applyFont="1" applyFill="1" applyAlignment="1">
      <alignment vertical="center"/>
    </xf>
    <xf numFmtId="0" fontId="2" fillId="2" borderId="0" xfId="1" applyFill="1"/>
    <xf numFmtId="0" fontId="9" fillId="2" borderId="1" xfId="0" applyFont="1" applyFill="1" applyBorder="1"/>
    <xf numFmtId="0" fontId="9" fillId="2" borderId="2" xfId="0" applyFont="1" applyFill="1" applyBorder="1"/>
    <xf numFmtId="0" fontId="9" fillId="2" borderId="3" xfId="0" applyFont="1" applyFill="1" applyBorder="1"/>
    <xf numFmtId="0" fontId="9" fillId="2" borderId="4" xfId="0" applyFont="1" applyFill="1" applyBorder="1"/>
    <xf numFmtId="0" fontId="9" fillId="2" borderId="5" xfId="0" applyFont="1" applyFill="1" applyBorder="1"/>
    <xf numFmtId="0" fontId="9" fillId="2" borderId="6" xfId="0" applyFont="1" applyFill="1" applyBorder="1"/>
    <xf numFmtId="0" fontId="9" fillId="2" borderId="1" xfId="0" applyFont="1" applyFill="1" applyBorder="1" applyAlignment="1">
      <alignment horizontal="right"/>
    </xf>
    <xf numFmtId="0" fontId="9" fillId="2" borderId="2" xfId="0" applyFont="1" applyFill="1" applyBorder="1" applyAlignment="1">
      <alignment horizontal="right"/>
    </xf>
    <xf numFmtId="0" fontId="9" fillId="2" borderId="3" xfId="0" applyFont="1" applyFill="1" applyBorder="1" applyAlignment="1">
      <alignment horizontal="right"/>
    </xf>
    <xf numFmtId="14" fontId="9" fillId="2" borderId="4" xfId="0" applyNumberFormat="1" applyFont="1" applyFill="1" applyBorder="1" applyAlignment="1">
      <alignment horizontal="right"/>
    </xf>
    <xf numFmtId="14" fontId="9" fillId="2" borderId="5" xfId="0" applyNumberFormat="1" applyFont="1" applyFill="1" applyBorder="1" applyAlignment="1">
      <alignment horizontal="right"/>
    </xf>
    <xf numFmtId="14" fontId="9" fillId="2" borderId="6" xfId="0" applyNumberFormat="1" applyFont="1" applyFill="1" applyBorder="1" applyAlignment="1">
      <alignment horizontal="right"/>
    </xf>
    <xf numFmtId="1" fontId="6" fillId="2" borderId="0" xfId="0" applyNumberFormat="1" applyFont="1" applyFill="1" applyAlignment="1">
      <alignment horizontal="right"/>
    </xf>
    <xf numFmtId="1" fontId="6" fillId="2" borderId="9" xfId="0" applyNumberFormat="1" applyFont="1" applyFill="1" applyBorder="1" applyAlignment="1">
      <alignment horizontal="right"/>
    </xf>
    <xf numFmtId="164" fontId="6" fillId="2" borderId="0" xfId="0" applyNumberFormat="1" applyFont="1" applyFill="1" applyAlignment="1">
      <alignment horizontal="right"/>
    </xf>
    <xf numFmtId="4" fontId="9" fillId="2" borderId="0" xfId="0" applyNumberFormat="1" applyFont="1" applyFill="1" applyAlignment="1">
      <alignment horizontal="right"/>
    </xf>
    <xf numFmtId="9" fontId="9" fillId="2" borderId="0" xfId="2" applyFont="1" applyFill="1" applyBorder="1" applyAlignment="1">
      <alignment horizontal="right"/>
    </xf>
    <xf numFmtId="0" fontId="16" fillId="2" borderId="0" xfId="0" applyFont="1" applyFill="1"/>
    <xf numFmtId="0" fontId="4" fillId="2" borderId="0" xfId="0" applyFont="1" applyFill="1" applyAlignment="1">
      <alignment wrapText="1"/>
    </xf>
  </cellXfs>
  <cellStyles count="5">
    <cellStyle name="Hyperlink" xfId="1" builtinId="8"/>
    <cellStyle name="Normal" xfId="0" builtinId="0"/>
    <cellStyle name="Normal 2" xfId="3" xr:uid="{E449EC26-8BB3-6343-99E3-AA20CFCB6391}"/>
    <cellStyle name="Percent" xfId="2" builtinId="5"/>
    <cellStyle name="Percent 2" xfId="4" xr:uid="{91EFA79A-5981-2249-8049-950AC128B99C}"/>
  </cellStyles>
  <dxfs count="3">
    <dxf>
      <font>
        <color rgb="FFBD352B"/>
      </font>
    </dxf>
    <dxf>
      <font>
        <b val="0"/>
        <i val="0"/>
        <color rgb="FFBD352B"/>
      </font>
    </dxf>
    <dxf>
      <font>
        <b val="0"/>
        <i val="0"/>
        <color rgb="FFBD352B"/>
      </font>
    </dxf>
  </dxfs>
  <tableStyles count="0" defaultTableStyle="TableStyleMedium2" defaultPivotStyle="PivotStyleLight16"/>
  <colors>
    <mruColors>
      <color rgb="FFBD35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34</xdr:col>
      <xdr:colOff>28575</xdr:colOff>
      <xdr:row>9</xdr:row>
      <xdr:rowOff>0</xdr:rowOff>
    </xdr:from>
    <xdr:to>
      <xdr:col>34</xdr:col>
      <xdr:colOff>28575</xdr:colOff>
      <xdr:row>110</xdr:row>
      <xdr:rowOff>28575</xdr:rowOff>
    </xdr:to>
    <xdr:cxnSp macro="">
      <xdr:nvCxnSpPr>
        <xdr:cNvPr id="3" name="Straight Connector 2">
          <a:extLst>
            <a:ext uri="{FF2B5EF4-FFF2-40B4-BE49-F238E27FC236}">
              <a16:creationId xmlns:a16="http://schemas.microsoft.com/office/drawing/2014/main" id="{2F0A6228-370C-C946-A448-FD23F086667D}"/>
            </a:ext>
          </a:extLst>
        </xdr:cNvPr>
        <xdr:cNvCxnSpPr/>
      </xdr:nvCxnSpPr>
      <xdr:spPr>
        <a:xfrm>
          <a:off x="25390475" y="1676400"/>
          <a:ext cx="0" cy="11001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98425</xdr:colOff>
      <xdr:row>4</xdr:row>
      <xdr:rowOff>69850</xdr:rowOff>
    </xdr:from>
    <xdr:to>
      <xdr:col>14</xdr:col>
      <xdr:colOff>98425</xdr:colOff>
      <xdr:row>131</xdr:row>
      <xdr:rowOff>69850</xdr:rowOff>
    </xdr:to>
    <xdr:cxnSp macro="">
      <xdr:nvCxnSpPr>
        <xdr:cNvPr id="2" name="Straight Connector 1">
          <a:extLst>
            <a:ext uri="{FF2B5EF4-FFF2-40B4-BE49-F238E27FC236}">
              <a16:creationId xmlns:a16="http://schemas.microsoft.com/office/drawing/2014/main" id="{7ED0503E-6FC9-1E45-8679-D951F762BBA3}"/>
            </a:ext>
          </a:extLst>
        </xdr:cNvPr>
        <xdr:cNvCxnSpPr/>
      </xdr:nvCxnSpPr>
      <xdr:spPr>
        <a:xfrm>
          <a:off x="11922125" y="1746250"/>
          <a:ext cx="0" cy="2316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28575</xdr:colOff>
      <xdr:row>4</xdr:row>
      <xdr:rowOff>0</xdr:rowOff>
    </xdr:from>
    <xdr:to>
      <xdr:col>34</xdr:col>
      <xdr:colOff>28575</xdr:colOff>
      <xdr:row>70</xdr:row>
      <xdr:rowOff>28575</xdr:rowOff>
    </xdr:to>
    <xdr:cxnSp macro="">
      <xdr:nvCxnSpPr>
        <xdr:cNvPr id="3" name="Straight Connector 2">
          <a:extLst>
            <a:ext uri="{FF2B5EF4-FFF2-40B4-BE49-F238E27FC236}">
              <a16:creationId xmlns:a16="http://schemas.microsoft.com/office/drawing/2014/main" id="{1C8EA973-F625-C94A-9C8E-94BA7183F5C5}"/>
            </a:ext>
          </a:extLst>
        </xdr:cNvPr>
        <xdr:cNvCxnSpPr/>
      </xdr:nvCxnSpPr>
      <xdr:spPr>
        <a:xfrm>
          <a:off x="25390475" y="1676400"/>
          <a:ext cx="0" cy="11001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47625</xdr:colOff>
      <xdr:row>5</xdr:row>
      <xdr:rowOff>57150</xdr:rowOff>
    </xdr:from>
    <xdr:to>
      <xdr:col>14</xdr:col>
      <xdr:colOff>47625</xdr:colOff>
      <xdr:row>75</xdr:row>
      <xdr:rowOff>57150</xdr:rowOff>
    </xdr:to>
    <xdr:cxnSp macro="">
      <xdr:nvCxnSpPr>
        <xdr:cNvPr id="2" name="Straight Connector 1">
          <a:extLst>
            <a:ext uri="{FF2B5EF4-FFF2-40B4-BE49-F238E27FC236}">
              <a16:creationId xmlns:a16="http://schemas.microsoft.com/office/drawing/2014/main" id="{AD078C8F-E882-D041-9CA3-E4FDC7051CCA}"/>
            </a:ext>
          </a:extLst>
        </xdr:cNvPr>
        <xdr:cNvCxnSpPr/>
      </xdr:nvCxnSpPr>
      <xdr:spPr>
        <a:xfrm>
          <a:off x="11541125" y="1733550"/>
          <a:ext cx="0" cy="2336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28575</xdr:colOff>
      <xdr:row>5</xdr:row>
      <xdr:rowOff>0</xdr:rowOff>
    </xdr:from>
    <xdr:to>
      <xdr:col>34</xdr:col>
      <xdr:colOff>28575</xdr:colOff>
      <xdr:row>14</xdr:row>
      <xdr:rowOff>28575</xdr:rowOff>
    </xdr:to>
    <xdr:cxnSp macro="">
      <xdr:nvCxnSpPr>
        <xdr:cNvPr id="3" name="Straight Connector 2">
          <a:extLst>
            <a:ext uri="{FF2B5EF4-FFF2-40B4-BE49-F238E27FC236}">
              <a16:creationId xmlns:a16="http://schemas.microsoft.com/office/drawing/2014/main" id="{FAE5AD3C-C7A7-1B45-B5B8-ADE0D99BD5F0}"/>
            </a:ext>
          </a:extLst>
        </xdr:cNvPr>
        <xdr:cNvCxnSpPr/>
      </xdr:nvCxnSpPr>
      <xdr:spPr>
        <a:xfrm>
          <a:off x="25390475" y="1676400"/>
          <a:ext cx="0" cy="11001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47625</xdr:colOff>
      <xdr:row>5</xdr:row>
      <xdr:rowOff>57150</xdr:rowOff>
    </xdr:from>
    <xdr:to>
      <xdr:col>14</xdr:col>
      <xdr:colOff>47625</xdr:colOff>
      <xdr:row>75</xdr:row>
      <xdr:rowOff>57150</xdr:rowOff>
    </xdr:to>
    <xdr:cxnSp macro="">
      <xdr:nvCxnSpPr>
        <xdr:cNvPr id="2" name="Straight Connector 1">
          <a:extLst>
            <a:ext uri="{FF2B5EF4-FFF2-40B4-BE49-F238E27FC236}">
              <a16:creationId xmlns:a16="http://schemas.microsoft.com/office/drawing/2014/main" id="{AB6FA5DD-D11D-1D4B-B7A5-66877D537A9F}"/>
            </a:ext>
          </a:extLst>
        </xdr:cNvPr>
        <xdr:cNvCxnSpPr/>
      </xdr:nvCxnSpPr>
      <xdr:spPr>
        <a:xfrm>
          <a:off x="11541125" y="1733550"/>
          <a:ext cx="0" cy="2336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28575</xdr:colOff>
      <xdr:row>5</xdr:row>
      <xdr:rowOff>0</xdr:rowOff>
    </xdr:from>
    <xdr:to>
      <xdr:col>34</xdr:col>
      <xdr:colOff>28575</xdr:colOff>
      <xdr:row>14</xdr:row>
      <xdr:rowOff>28575</xdr:rowOff>
    </xdr:to>
    <xdr:cxnSp macro="">
      <xdr:nvCxnSpPr>
        <xdr:cNvPr id="3" name="Straight Connector 2">
          <a:extLst>
            <a:ext uri="{FF2B5EF4-FFF2-40B4-BE49-F238E27FC236}">
              <a16:creationId xmlns:a16="http://schemas.microsoft.com/office/drawing/2014/main" id="{DBBBEDE5-95FB-1B43-825C-D61473CE9471}"/>
            </a:ext>
          </a:extLst>
        </xdr:cNvPr>
        <xdr:cNvCxnSpPr/>
      </xdr:nvCxnSpPr>
      <xdr:spPr>
        <a:xfrm>
          <a:off x="25390475" y="1676400"/>
          <a:ext cx="0" cy="11001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research@whiteskycapita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C1E8D-11EF-E34F-9395-0104A5B44396}">
  <dimension ref="B4:B24"/>
  <sheetViews>
    <sheetView topLeftCell="A2" workbookViewId="0">
      <selection activeCell="E31" sqref="E31"/>
    </sheetView>
  </sheetViews>
  <sheetFormatPr baseColWidth="10" defaultRowHeight="13"/>
  <cols>
    <col min="1" max="16384" width="10.83203125" style="1"/>
  </cols>
  <sheetData>
    <row r="4" spans="2:2" ht="31">
      <c r="B4" s="66" t="s">
        <v>171</v>
      </c>
    </row>
    <row r="6" spans="2:2" ht="23">
      <c r="B6" s="85" t="s">
        <v>139</v>
      </c>
    </row>
    <row r="7" spans="2:2" ht="16">
      <c r="B7" s="5" t="s">
        <v>138</v>
      </c>
    </row>
    <row r="11" spans="2:2">
      <c r="B11" s="3" t="s">
        <v>7</v>
      </c>
    </row>
    <row r="12" spans="2:2">
      <c r="B12" s="3" t="s">
        <v>140</v>
      </c>
    </row>
    <row r="13" spans="2:2">
      <c r="B13" s="3" t="s">
        <v>141</v>
      </c>
    </row>
    <row r="14" spans="2:2">
      <c r="B14" s="3" t="s">
        <v>134</v>
      </c>
    </row>
    <row r="15" spans="2:2">
      <c r="B15" s="3" t="s">
        <v>142</v>
      </c>
    </row>
    <row r="16" spans="2:2">
      <c r="B16" s="3" t="s">
        <v>143</v>
      </c>
    </row>
    <row r="17" spans="2:2">
      <c r="B17" s="3" t="s">
        <v>144</v>
      </c>
    </row>
    <row r="23" spans="2:2">
      <c r="B23" s="1" t="s">
        <v>145</v>
      </c>
    </row>
    <row r="24" spans="2:2">
      <c r="B24" s="67" t="s">
        <v>167</v>
      </c>
    </row>
  </sheetData>
  <conditionalFormatting sqref="B4">
    <cfRule type="cellIs" dxfId="2" priority="1" operator="lessThan">
      <formula>0</formula>
    </cfRule>
  </conditionalFormatting>
  <hyperlinks>
    <hyperlink ref="B24" r:id="rId1" xr:uid="{869140F7-9B37-F64C-A1D3-6211349C0045}"/>
    <hyperlink ref="B11" location="Main!A1" display="Main" xr:uid="{E1E2F82B-E86E-A74C-938E-E031148B416A}"/>
    <hyperlink ref="B12" location="Summary!A1" display="Summary" xr:uid="{EEF887CE-7D00-9C49-9826-55E4168FE3B6}"/>
    <hyperlink ref="B13" location="Drivers!A1" display="Drivers" xr:uid="{2A797DB9-A037-284B-A2FC-799910B77265}"/>
    <hyperlink ref="B14" location="'P&amp;L GAAP'!A1" display="P&amp;L GAAP" xr:uid="{EAE4FF66-5C32-294F-A62F-FF72C43DD733}"/>
    <hyperlink ref="B15" location="BS!A1" display="BS" xr:uid="{9EED39A2-3A9C-CC44-9198-CD87A8662D8C}"/>
    <hyperlink ref="B16" location="CFS!A1" display="CFS" xr:uid="{88C42300-4BB2-BE42-8E20-7B21970C6A4C}"/>
    <hyperlink ref="B17" location="'Legal Disclosure'!A1" display="Legal Disclosure" xr:uid="{2B0317E2-3885-5C4B-B433-6E84DEEF54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324B-BEE3-4317-A400-2CB53AA7AD6F}">
  <dimension ref="A1:N28"/>
  <sheetViews>
    <sheetView workbookViewId="0">
      <selection activeCell="L20" sqref="L20"/>
    </sheetView>
  </sheetViews>
  <sheetFormatPr baseColWidth="10" defaultColWidth="8.83203125" defaultRowHeight="13"/>
  <cols>
    <col min="1" max="1" width="8.83203125" style="1"/>
    <col min="2" max="2" width="13" style="1" customWidth="1"/>
    <col min="3" max="16384" width="8.83203125" style="1"/>
  </cols>
  <sheetData>
    <row r="1" spans="1:14">
      <c r="A1" s="1" t="s">
        <v>0</v>
      </c>
    </row>
    <row r="2" spans="1:14">
      <c r="L2" s="1" t="s">
        <v>1</v>
      </c>
      <c r="M2" s="1">
        <v>175.57</v>
      </c>
    </row>
    <row r="3" spans="1:14">
      <c r="B3" s="1" t="s">
        <v>13</v>
      </c>
      <c r="C3" s="1" t="s">
        <v>83</v>
      </c>
      <c r="L3" s="1" t="s">
        <v>2</v>
      </c>
      <c r="M3" s="4">
        <v>2742</v>
      </c>
      <c r="N3" s="2" t="s">
        <v>8</v>
      </c>
    </row>
    <row r="4" spans="1:14">
      <c r="B4" s="1" t="s">
        <v>14</v>
      </c>
      <c r="C4" s="1" t="s">
        <v>82</v>
      </c>
      <c r="L4" s="1" t="s">
        <v>3</v>
      </c>
      <c r="M4" s="4">
        <f>+M3*M2</f>
        <v>481412.94</v>
      </c>
    </row>
    <row r="5" spans="1:14">
      <c r="B5" s="1" t="s">
        <v>15</v>
      </c>
      <c r="L5" s="1" t="s">
        <v>4</v>
      </c>
      <c r="M5" s="4">
        <v>43890</v>
      </c>
      <c r="N5" s="2" t="s">
        <v>8</v>
      </c>
    </row>
    <row r="6" spans="1:14">
      <c r="L6" s="1" t="s">
        <v>5</v>
      </c>
      <c r="M6" s="4">
        <v>0</v>
      </c>
      <c r="N6" s="2" t="s">
        <v>8</v>
      </c>
    </row>
    <row r="7" spans="1:14">
      <c r="L7" s="1" t="s">
        <v>6</v>
      </c>
      <c r="M7" s="4">
        <f>+M4-M5+M6</f>
        <v>437522.94</v>
      </c>
    </row>
    <row r="8" spans="1:14">
      <c r="B8" s="38" t="s">
        <v>18</v>
      </c>
    </row>
    <row r="9" spans="1:14">
      <c r="B9" s="1" t="s">
        <v>16</v>
      </c>
    </row>
    <row r="10" spans="1:14">
      <c r="B10" s="1" t="s">
        <v>17</v>
      </c>
      <c r="L10" s="1" t="s">
        <v>68</v>
      </c>
      <c r="M10" s="4">
        <v>1865.970703</v>
      </c>
    </row>
    <row r="11" spans="1:14">
      <c r="L11" s="1" t="s">
        <v>69</v>
      </c>
      <c r="M11" s="4">
        <v>366.55794300000002</v>
      </c>
    </row>
    <row r="15" spans="1:14">
      <c r="B15" s="1" t="s">
        <v>64</v>
      </c>
    </row>
    <row r="16" spans="1:14">
      <c r="B16" s="1" t="s">
        <v>86</v>
      </c>
    </row>
    <row r="17" spans="2:2">
      <c r="B17" s="1" t="s">
        <v>65</v>
      </c>
    </row>
    <row r="18" spans="2:2">
      <c r="B18" s="1" t="s">
        <v>70</v>
      </c>
    </row>
    <row r="19" spans="2:2">
      <c r="B19" s="1" t="s">
        <v>79</v>
      </c>
    </row>
    <row r="24" spans="2:2">
      <c r="B24" s="1" t="s">
        <v>66</v>
      </c>
    </row>
    <row r="25" spans="2:2">
      <c r="B25" s="1" t="s">
        <v>67</v>
      </c>
    </row>
    <row r="27" spans="2:2">
      <c r="B27" s="1" t="s">
        <v>71</v>
      </c>
    </row>
    <row r="28" spans="2:2">
      <c r="B28" s="1" t="s">
        <v>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EE9D8-D8BE-004D-AFCC-5913D119606F}">
  <dimension ref="A1:AV148"/>
  <sheetViews>
    <sheetView workbookViewId="0">
      <pane xSplit="1" ySplit="12" topLeftCell="D13" activePane="bottomRight" state="frozen"/>
      <selection pane="topRight" activeCell="B1" sqref="B1"/>
      <selection pane="bottomLeft" activeCell="A9" sqref="A9"/>
      <selection pane="bottomRight" activeCell="A6" sqref="A6:XFD6"/>
    </sheetView>
  </sheetViews>
  <sheetFormatPr baseColWidth="10" defaultColWidth="8.83203125" defaultRowHeight="16"/>
  <cols>
    <col min="1" max="1" width="36.1640625" style="5" bestFit="1" customWidth="1"/>
    <col min="2" max="2" width="8" style="52" bestFit="1" customWidth="1"/>
    <col min="3" max="4" width="8" style="6" bestFit="1" customWidth="1"/>
    <col min="5" max="7" width="9.1640625" style="6" bestFit="1" customWidth="1"/>
    <col min="8" max="8" width="8" style="6" bestFit="1" customWidth="1"/>
    <col min="9" max="9" width="9.1640625" style="6" bestFit="1" customWidth="1"/>
    <col min="10" max="12" width="8" style="6" bestFit="1" customWidth="1"/>
    <col min="13" max="13" width="9.1640625" style="6" bestFit="1" customWidth="1"/>
    <col min="14" max="14" width="8.83203125" style="6" bestFit="1" customWidth="1"/>
    <col min="15" max="15" width="11.83203125" style="6" bestFit="1" customWidth="1"/>
    <col min="16" max="16" width="8" style="6" bestFit="1" customWidth="1"/>
    <col min="17" max="17" width="9.1640625" style="6" bestFit="1" customWidth="1"/>
    <col min="18" max="20" width="8" style="6" bestFit="1" customWidth="1"/>
    <col min="21" max="21" width="9.1640625" style="5" bestFit="1" customWidth="1"/>
    <col min="22" max="24" width="8" style="5" bestFit="1" customWidth="1"/>
    <col min="25" max="25" width="9.1640625" style="5" bestFit="1" customWidth="1"/>
    <col min="26" max="27" width="8.83203125" style="5"/>
    <col min="28" max="31" width="9" style="5" bestFit="1" customWidth="1"/>
    <col min="32" max="33" width="7.5" style="5" bestFit="1" customWidth="1"/>
    <col min="34" max="43" width="8.6640625" style="5" bestFit="1" customWidth="1"/>
    <col min="44" max="99" width="9" style="5" bestFit="1" customWidth="1"/>
    <col min="100" max="16384" width="8.83203125" style="5"/>
  </cols>
  <sheetData>
    <row r="1" spans="1:43" ht="58" customHeight="1">
      <c r="A1" s="24" t="s">
        <v>170</v>
      </c>
      <c r="B1" s="6"/>
    </row>
    <row r="2" spans="1:43" ht="26">
      <c r="A2" s="25" t="s">
        <v>94</v>
      </c>
      <c r="B2" s="6"/>
    </row>
    <row r="3" spans="1:43">
      <c r="A3" s="5" t="s">
        <v>138</v>
      </c>
      <c r="B3" s="6"/>
    </row>
    <row r="4" spans="1:43">
      <c r="B4" s="6"/>
    </row>
    <row r="5" spans="1:43">
      <c r="A5" s="7" t="s">
        <v>7</v>
      </c>
      <c r="B5" s="6"/>
    </row>
    <row r="6" spans="1:43">
      <c r="A6" s="7" t="s">
        <v>141</v>
      </c>
      <c r="B6" s="6"/>
    </row>
    <row r="7" spans="1:43">
      <c r="A7" s="7" t="s">
        <v>166</v>
      </c>
      <c r="B7" s="6"/>
    </row>
    <row r="8" spans="1:43">
      <c r="A8" s="7"/>
      <c r="B8" s="6"/>
    </row>
    <row r="9" spans="1:43">
      <c r="A9" s="7"/>
      <c r="B9" s="6"/>
    </row>
    <row r="10" spans="1:43">
      <c r="B10" s="6"/>
    </row>
    <row r="11" spans="1:43">
      <c r="B11" s="26" t="s">
        <v>95</v>
      </c>
      <c r="C11" s="27" t="s">
        <v>96</v>
      </c>
      <c r="D11" s="27" t="s">
        <v>97</v>
      </c>
      <c r="E11" s="27" t="s">
        <v>98</v>
      </c>
      <c r="F11" s="27" t="s">
        <v>99</v>
      </c>
      <c r="G11" s="27" t="s">
        <v>100</v>
      </c>
      <c r="H11" s="27" t="s">
        <v>101</v>
      </c>
      <c r="I11" s="27" t="s">
        <v>102</v>
      </c>
      <c r="J11" s="27" t="s">
        <v>103</v>
      </c>
      <c r="K11" s="27" t="s">
        <v>104</v>
      </c>
      <c r="L11" s="27" t="s">
        <v>105</v>
      </c>
      <c r="M11" s="27" t="s">
        <v>106</v>
      </c>
      <c r="N11" s="27" t="s">
        <v>107</v>
      </c>
      <c r="O11" s="27" t="s">
        <v>108</v>
      </c>
      <c r="P11" s="27" t="s">
        <v>109</v>
      </c>
      <c r="Q11" s="27" t="s">
        <v>110</v>
      </c>
      <c r="R11" s="27" t="s">
        <v>111</v>
      </c>
      <c r="S11" s="27" t="s">
        <v>112</v>
      </c>
      <c r="T11" s="27" t="s">
        <v>113</v>
      </c>
      <c r="U11" s="27" t="s">
        <v>114</v>
      </c>
      <c r="V11" s="27" t="s">
        <v>115</v>
      </c>
      <c r="W11" s="27" t="s">
        <v>116</v>
      </c>
      <c r="X11" s="27" t="s">
        <v>117</v>
      </c>
      <c r="Y11" s="28" t="s">
        <v>118</v>
      </c>
      <c r="AF11" s="32" t="s">
        <v>119</v>
      </c>
      <c r="AG11" s="33" t="s">
        <v>120</v>
      </c>
      <c r="AH11" s="33" t="s">
        <v>121</v>
      </c>
      <c r="AI11" s="33" t="s">
        <v>122</v>
      </c>
      <c r="AJ11" s="33" t="s">
        <v>123</v>
      </c>
      <c r="AK11" s="33" t="s">
        <v>124</v>
      </c>
      <c r="AL11" s="33" t="s">
        <v>125</v>
      </c>
      <c r="AM11" s="33" t="s">
        <v>126</v>
      </c>
      <c r="AN11" s="33" t="s">
        <v>127</v>
      </c>
      <c r="AO11" s="33" t="s">
        <v>128</v>
      </c>
      <c r="AP11" s="33" t="s">
        <v>129</v>
      </c>
      <c r="AQ11" s="34" t="s">
        <v>130</v>
      </c>
    </row>
    <row r="12" spans="1:43">
      <c r="A12" s="5" t="s">
        <v>168</v>
      </c>
      <c r="B12" s="43">
        <v>43555</v>
      </c>
      <c r="C12" s="44">
        <v>43646</v>
      </c>
      <c r="D12" s="44">
        <v>43738</v>
      </c>
      <c r="E12" s="44">
        <v>43830</v>
      </c>
      <c r="F12" s="44">
        <f>B12+366</f>
        <v>43921</v>
      </c>
      <c r="G12" s="44">
        <f t="shared" ref="G12:I12" si="0">C12+366</f>
        <v>44012</v>
      </c>
      <c r="H12" s="44">
        <f t="shared" si="0"/>
        <v>44104</v>
      </c>
      <c r="I12" s="44">
        <f t="shared" si="0"/>
        <v>44196</v>
      </c>
      <c r="J12" s="44">
        <f>F12+365</f>
        <v>44286</v>
      </c>
      <c r="K12" s="44">
        <f t="shared" ref="K12:U12" si="1">G12+365</f>
        <v>44377</v>
      </c>
      <c r="L12" s="44">
        <f t="shared" si="1"/>
        <v>44469</v>
      </c>
      <c r="M12" s="44">
        <f t="shared" si="1"/>
        <v>44561</v>
      </c>
      <c r="N12" s="44">
        <f t="shared" si="1"/>
        <v>44651</v>
      </c>
      <c r="O12" s="44">
        <f t="shared" si="1"/>
        <v>44742</v>
      </c>
      <c r="P12" s="44">
        <f t="shared" si="1"/>
        <v>44834</v>
      </c>
      <c r="Q12" s="44">
        <f t="shared" si="1"/>
        <v>44926</v>
      </c>
      <c r="R12" s="44">
        <f t="shared" si="1"/>
        <v>45016</v>
      </c>
      <c r="S12" s="44">
        <f t="shared" si="1"/>
        <v>45107</v>
      </c>
      <c r="T12" s="44">
        <f t="shared" si="1"/>
        <v>45199</v>
      </c>
      <c r="U12" s="44">
        <f t="shared" si="1"/>
        <v>45291</v>
      </c>
      <c r="V12" s="44">
        <f>R12+366</f>
        <v>45382</v>
      </c>
      <c r="W12" s="44">
        <f t="shared" ref="W12:Y12" si="2">S12+366</f>
        <v>45473</v>
      </c>
      <c r="X12" s="44">
        <f t="shared" si="2"/>
        <v>45565</v>
      </c>
      <c r="Y12" s="45">
        <f t="shared" si="2"/>
        <v>45657</v>
      </c>
      <c r="AF12" s="46">
        <v>2019</v>
      </c>
      <c r="AG12" s="5">
        <f t="shared" ref="AG12:AQ12" si="3">+AF12+1</f>
        <v>2020</v>
      </c>
      <c r="AH12" s="5">
        <f t="shared" si="3"/>
        <v>2021</v>
      </c>
      <c r="AI12" s="5">
        <f t="shared" si="3"/>
        <v>2022</v>
      </c>
      <c r="AJ12" s="5">
        <f t="shared" si="3"/>
        <v>2023</v>
      </c>
      <c r="AK12" s="5">
        <f t="shared" si="3"/>
        <v>2024</v>
      </c>
      <c r="AL12" s="5">
        <f t="shared" si="3"/>
        <v>2025</v>
      </c>
      <c r="AM12" s="5">
        <f t="shared" si="3"/>
        <v>2026</v>
      </c>
      <c r="AN12" s="5">
        <f t="shared" si="3"/>
        <v>2027</v>
      </c>
      <c r="AO12" s="5">
        <f t="shared" si="3"/>
        <v>2028</v>
      </c>
      <c r="AP12" s="5">
        <f t="shared" si="3"/>
        <v>2029</v>
      </c>
      <c r="AQ12" s="47">
        <f t="shared" si="3"/>
        <v>2030</v>
      </c>
    </row>
    <row r="13" spans="1:43" s="58" customFormat="1">
      <c r="A13" s="55" t="s">
        <v>165</v>
      </c>
      <c r="B13" s="56"/>
      <c r="C13" s="57"/>
      <c r="D13" s="57"/>
      <c r="E13" s="57"/>
      <c r="F13" s="57"/>
      <c r="G13" s="57"/>
      <c r="H13" s="57"/>
      <c r="I13" s="57"/>
      <c r="J13" s="57"/>
      <c r="K13" s="57"/>
      <c r="L13" s="57"/>
      <c r="M13" s="57"/>
      <c r="N13" s="57"/>
      <c r="O13" s="57"/>
      <c r="P13" s="57"/>
      <c r="Q13" s="57"/>
      <c r="R13" s="57"/>
      <c r="S13" s="57"/>
      <c r="T13" s="57"/>
      <c r="U13" s="57"/>
      <c r="V13" s="57"/>
      <c r="W13" s="57"/>
      <c r="X13" s="57"/>
      <c r="Y13" s="57"/>
    </row>
    <row r="14" spans="1:43" s="8" customFormat="1">
      <c r="A14" s="8" t="s">
        <v>9</v>
      </c>
      <c r="B14" s="48"/>
      <c r="C14" s="9"/>
      <c r="D14" s="9"/>
      <c r="E14" s="9"/>
      <c r="F14" s="9">
        <v>2360</v>
      </c>
      <c r="G14" s="9">
        <v>2470</v>
      </c>
      <c r="H14" s="9">
        <v>2540</v>
      </c>
      <c r="I14" s="9">
        <v>2600</v>
      </c>
      <c r="J14" s="9">
        <v>2720</v>
      </c>
      <c r="K14" s="9">
        <v>2760</v>
      </c>
      <c r="L14" s="9">
        <v>2810</v>
      </c>
      <c r="M14" s="9">
        <v>2820</v>
      </c>
      <c r="N14" s="9">
        <v>2870</v>
      </c>
      <c r="O14" s="9">
        <v>2880</v>
      </c>
      <c r="P14" s="9">
        <f t="shared" ref="P14:Y14" si="4">L14*(1+P15)</f>
        <v>2781.9</v>
      </c>
      <c r="Q14" s="9">
        <f t="shared" si="4"/>
        <v>2791.8</v>
      </c>
      <c r="R14" s="9">
        <f t="shared" si="4"/>
        <v>2870</v>
      </c>
      <c r="S14" s="9">
        <f t="shared" si="4"/>
        <v>2880</v>
      </c>
      <c r="T14" s="9">
        <f t="shared" si="4"/>
        <v>2781.9</v>
      </c>
      <c r="U14" s="9">
        <f t="shared" si="4"/>
        <v>2791.8</v>
      </c>
      <c r="V14" s="9">
        <f t="shared" si="4"/>
        <v>2898.7</v>
      </c>
      <c r="W14" s="9">
        <f t="shared" si="4"/>
        <v>2908.8</v>
      </c>
      <c r="X14" s="9">
        <f t="shared" si="4"/>
        <v>2809.7190000000001</v>
      </c>
      <c r="Y14" s="9">
        <f t="shared" si="4"/>
        <v>2819.7180000000003</v>
      </c>
      <c r="AF14" s="8">
        <f>E14</f>
        <v>0</v>
      </c>
      <c r="AG14" s="8">
        <f>I14</f>
        <v>2600</v>
      </c>
      <c r="AH14" s="8">
        <f>M14</f>
        <v>2820</v>
      </c>
      <c r="AI14" s="8">
        <f>Q14</f>
        <v>2791.8</v>
      </c>
      <c r="AJ14" s="8">
        <f>U14</f>
        <v>2791.8</v>
      </c>
      <c r="AK14" s="8">
        <f>Y14</f>
        <v>2819.7180000000003</v>
      </c>
    </row>
    <row r="15" spans="1:43" s="11" customFormat="1">
      <c r="A15" s="11" t="s">
        <v>169</v>
      </c>
      <c r="B15" s="50"/>
      <c r="C15" s="12"/>
      <c r="D15" s="12"/>
      <c r="E15" s="12"/>
      <c r="F15" s="13"/>
      <c r="G15" s="13"/>
      <c r="H15" s="13"/>
      <c r="I15" s="13"/>
      <c r="J15" s="54">
        <f>J14/F14-1</f>
        <v>0.15254237288135597</v>
      </c>
      <c r="K15" s="54">
        <f t="shared" ref="K15" si="5">K14/G14-1</f>
        <v>0.1174089068825912</v>
      </c>
      <c r="L15" s="54">
        <f t="shared" ref="L15" si="6">L14/H14-1</f>
        <v>0.10629921259842523</v>
      </c>
      <c r="M15" s="54">
        <f t="shared" ref="M15" si="7">M14/I14-1</f>
        <v>8.4615384615384537E-2</v>
      </c>
      <c r="N15" s="54">
        <f t="shared" ref="N15:O15" si="8">N14/J14-1</f>
        <v>5.5147058823529438E-2</v>
      </c>
      <c r="O15" s="54">
        <f t="shared" si="8"/>
        <v>4.3478260869565188E-2</v>
      </c>
      <c r="P15" s="54">
        <v>-0.01</v>
      </c>
      <c r="Q15" s="54">
        <v>-0.01</v>
      </c>
      <c r="R15" s="54">
        <v>0</v>
      </c>
      <c r="S15" s="54">
        <v>0</v>
      </c>
      <c r="T15" s="54">
        <v>0</v>
      </c>
      <c r="U15" s="54">
        <v>0</v>
      </c>
      <c r="V15" s="54">
        <v>0.01</v>
      </c>
      <c r="W15" s="54">
        <v>0.01</v>
      </c>
      <c r="X15" s="54">
        <v>0.01</v>
      </c>
      <c r="Y15" s="54">
        <v>0.01</v>
      </c>
    </row>
    <row r="16" spans="1:43" s="8" customFormat="1">
      <c r="A16" s="11"/>
      <c r="B16" s="48"/>
      <c r="C16" s="9"/>
      <c r="D16" s="9"/>
      <c r="E16" s="9"/>
      <c r="F16" s="10"/>
      <c r="G16" s="10"/>
      <c r="H16" s="10"/>
      <c r="I16" s="10"/>
      <c r="J16" s="49"/>
      <c r="K16" s="49"/>
      <c r="L16" s="49"/>
      <c r="M16" s="49"/>
      <c r="N16" s="49"/>
      <c r="O16" s="9"/>
      <c r="P16" s="9"/>
      <c r="Q16" s="9"/>
      <c r="R16" s="9"/>
      <c r="S16" s="9"/>
      <c r="T16" s="9"/>
    </row>
    <row r="17" spans="1:37" s="8" customFormat="1">
      <c r="A17" s="8" t="s">
        <v>10</v>
      </c>
      <c r="B17" s="48"/>
      <c r="C17" s="9"/>
      <c r="D17" s="9"/>
      <c r="E17" s="9"/>
      <c r="F17" s="9">
        <v>2990</v>
      </c>
      <c r="G17" s="9">
        <v>3140</v>
      </c>
      <c r="H17" s="9">
        <v>3210</v>
      </c>
      <c r="I17" s="9">
        <v>3300</v>
      </c>
      <c r="J17" s="9">
        <v>3450</v>
      </c>
      <c r="K17" s="9">
        <v>3510</v>
      </c>
      <c r="L17" s="9">
        <v>3580</v>
      </c>
      <c r="M17" s="9">
        <v>3590</v>
      </c>
      <c r="N17" s="9">
        <v>3640</v>
      </c>
      <c r="O17" s="9">
        <v>3650</v>
      </c>
      <c r="P17" s="9">
        <f>L17*(1+P18)</f>
        <v>3544.2</v>
      </c>
      <c r="Q17" s="9">
        <f t="shared" ref="Q17:Y17" si="9">M17*(1+Q18)</f>
        <v>3554.1</v>
      </c>
      <c r="R17" s="9">
        <f t="shared" si="9"/>
        <v>3640</v>
      </c>
      <c r="S17" s="9">
        <f t="shared" si="9"/>
        <v>3650</v>
      </c>
      <c r="T17" s="9">
        <f t="shared" si="9"/>
        <v>3544.2</v>
      </c>
      <c r="U17" s="9">
        <f t="shared" si="9"/>
        <v>3554.1</v>
      </c>
      <c r="V17" s="9">
        <f t="shared" si="9"/>
        <v>3676.4</v>
      </c>
      <c r="W17" s="9">
        <f t="shared" si="9"/>
        <v>3686.5</v>
      </c>
      <c r="X17" s="9">
        <f t="shared" si="9"/>
        <v>3579.6419999999998</v>
      </c>
      <c r="Y17" s="9">
        <f t="shared" si="9"/>
        <v>3589.6410000000001</v>
      </c>
      <c r="AF17" s="8">
        <f>E17</f>
        <v>0</v>
      </c>
      <c r="AG17" s="8">
        <f>I17</f>
        <v>3300</v>
      </c>
      <c r="AH17" s="8">
        <f>M17</f>
        <v>3590</v>
      </c>
      <c r="AI17" s="8">
        <f>Q17</f>
        <v>3554.1</v>
      </c>
      <c r="AJ17" s="8">
        <f>U17</f>
        <v>3554.1</v>
      </c>
      <c r="AK17" s="8">
        <f>Y17</f>
        <v>3589.6410000000001</v>
      </c>
    </row>
    <row r="18" spans="1:37" s="11" customFormat="1">
      <c r="A18" s="11" t="s">
        <v>169</v>
      </c>
      <c r="B18" s="50"/>
      <c r="C18" s="12"/>
      <c r="D18" s="12"/>
      <c r="E18" s="12"/>
      <c r="F18" s="13"/>
      <c r="G18" s="13"/>
      <c r="H18" s="13"/>
      <c r="I18" s="13"/>
      <c r="J18" s="54">
        <f>J17/F17-1</f>
        <v>0.15384615384615374</v>
      </c>
      <c r="K18" s="54">
        <f t="shared" ref="K18" si="10">K17/G17-1</f>
        <v>0.11783439490445868</v>
      </c>
      <c r="L18" s="54">
        <f t="shared" ref="L18" si="11">L17/H17-1</f>
        <v>0.11526479750778806</v>
      </c>
      <c r="M18" s="54">
        <f t="shared" ref="M18" si="12">M17/I17-1</f>
        <v>8.787878787878789E-2</v>
      </c>
      <c r="N18" s="54">
        <f t="shared" ref="N18:O18" si="13">N17/J17-1</f>
        <v>5.507246376811592E-2</v>
      </c>
      <c r="O18" s="54">
        <f t="shared" si="13"/>
        <v>3.9886039886039892E-2</v>
      </c>
      <c r="P18" s="54">
        <v>-0.01</v>
      </c>
      <c r="Q18" s="54">
        <v>-0.01</v>
      </c>
      <c r="R18" s="54">
        <v>0</v>
      </c>
      <c r="S18" s="54">
        <v>0</v>
      </c>
      <c r="T18" s="54">
        <v>0</v>
      </c>
      <c r="U18" s="54">
        <v>0</v>
      </c>
      <c r="V18" s="54">
        <v>0.01</v>
      </c>
      <c r="W18" s="54">
        <v>0.01</v>
      </c>
      <c r="X18" s="54">
        <v>0.01</v>
      </c>
      <c r="Y18" s="54">
        <v>0.01</v>
      </c>
    </row>
    <row r="19" spans="1:37" s="8" customFormat="1">
      <c r="A19" s="11"/>
      <c r="B19" s="48"/>
      <c r="C19" s="9"/>
      <c r="D19" s="9"/>
      <c r="E19" s="9"/>
      <c r="F19" s="10"/>
      <c r="G19" s="10"/>
      <c r="H19" s="10"/>
      <c r="I19" s="10"/>
      <c r="J19" s="49"/>
      <c r="K19" s="49"/>
      <c r="L19" s="49"/>
      <c r="M19" s="49"/>
      <c r="N19" s="49"/>
      <c r="O19" s="49"/>
      <c r="P19" s="49"/>
      <c r="Q19" s="49"/>
      <c r="R19" s="49"/>
      <c r="S19" s="49"/>
      <c r="T19" s="49"/>
      <c r="U19" s="49"/>
      <c r="V19" s="49"/>
      <c r="W19" s="49"/>
      <c r="X19" s="49"/>
      <c r="Y19" s="49"/>
    </row>
    <row r="20" spans="1:37" s="8" customFormat="1">
      <c r="A20" s="8" t="s">
        <v>76</v>
      </c>
      <c r="B20" s="48"/>
      <c r="C20" s="9"/>
      <c r="D20" s="9"/>
      <c r="E20" s="9"/>
      <c r="F20" s="10">
        <f t="shared" ref="F20:Y20" si="14">+F82/F17</f>
        <v>5.9321070234113709</v>
      </c>
      <c r="G20" s="10">
        <f t="shared" si="14"/>
        <v>5.9512738853503189</v>
      </c>
      <c r="H20" s="10">
        <f t="shared" si="14"/>
        <v>6.6884735202492216</v>
      </c>
      <c r="I20" s="10">
        <f t="shared" si="14"/>
        <v>8.5066666666666659</v>
      </c>
      <c r="J20" s="10">
        <f t="shared" si="14"/>
        <v>7.5857971014492751</v>
      </c>
      <c r="K20" s="10">
        <f t="shared" si="14"/>
        <v>8.2840455840455842</v>
      </c>
      <c r="L20" s="10">
        <f t="shared" si="14"/>
        <v>8.1033519553072626</v>
      </c>
      <c r="M20" s="10">
        <f t="shared" si="14"/>
        <v>9.3791086350974933</v>
      </c>
      <c r="N20" s="10">
        <f t="shared" si="14"/>
        <v>7.6670329670329673</v>
      </c>
      <c r="O20" s="10">
        <f t="shared" si="14"/>
        <v>7.8964383561643832</v>
      </c>
      <c r="P20" s="10">
        <f t="shared" si="14"/>
        <v>7.6805987246769369</v>
      </c>
      <c r="Q20" s="10">
        <f t="shared" si="14"/>
        <v>8.8078499479474406</v>
      </c>
      <c r="R20" s="10">
        <f t="shared" si="14"/>
        <v>7.3777637362637369</v>
      </c>
      <c r="S20" s="10">
        <f t="shared" si="14"/>
        <v>7.6650520547945202</v>
      </c>
      <c r="T20" s="10">
        <f t="shared" si="14"/>
        <v>7.4554964900400655</v>
      </c>
      <c r="U20" s="10">
        <f t="shared" si="14"/>
        <v>8.5487381095073296</v>
      </c>
      <c r="V20" s="10">
        <f t="shared" si="14"/>
        <v>7.1601138020890005</v>
      </c>
      <c r="W20" s="10">
        <f t="shared" si="14"/>
        <v>7.4387899004475786</v>
      </c>
      <c r="X20" s="10">
        <f t="shared" si="14"/>
        <v>7.2353929570616273</v>
      </c>
      <c r="Y20" s="10">
        <f t="shared" si="14"/>
        <v>8.2957086493232897</v>
      </c>
      <c r="AF20" s="8">
        <f>SUM(F20:I20)</f>
        <v>27.07852109567758</v>
      </c>
      <c r="AG20" s="8">
        <f>SUM(J20:M20)</f>
        <v>33.352303275899615</v>
      </c>
      <c r="AH20" s="8">
        <f>SUM(N20:Q20)</f>
        <v>32.051919995821727</v>
      </c>
      <c r="AI20" s="8">
        <f>SUM(N20:Q20)</f>
        <v>32.051919995821727</v>
      </c>
      <c r="AJ20" s="8">
        <f>SUM(R20:U20)</f>
        <v>31.047050390605651</v>
      </c>
      <c r="AK20" s="8">
        <f>SUM(V20:Y20)</f>
        <v>30.130005308921497</v>
      </c>
    </row>
    <row r="21" spans="1:37" s="11" customFormat="1">
      <c r="A21" s="11" t="s">
        <v>169</v>
      </c>
      <c r="B21" s="50"/>
      <c r="C21" s="12"/>
      <c r="D21" s="12"/>
      <c r="E21" s="12"/>
      <c r="F21" s="13"/>
      <c r="G21" s="13"/>
      <c r="H21" s="13"/>
      <c r="I21" s="13"/>
      <c r="J21" s="54">
        <f t="shared" ref="J21:Y21" si="15">J20/F20-1</f>
        <v>0.27876942737403931</v>
      </c>
      <c r="K21" s="54">
        <f t="shared" si="15"/>
        <v>0.39197854839744917</v>
      </c>
      <c r="L21" s="54">
        <f t="shared" si="15"/>
        <v>0.21153981260066668</v>
      </c>
      <c r="M21" s="54">
        <f t="shared" si="15"/>
        <v>0.10255979252713487</v>
      </c>
      <c r="N21" s="54">
        <f t="shared" si="15"/>
        <v>1.0708942580097691E-2</v>
      </c>
      <c r="O21" s="54">
        <f t="shared" si="15"/>
        <v>-4.6789605869347439E-2</v>
      </c>
      <c r="P21" s="54">
        <f t="shared" si="15"/>
        <v>-5.2170167723425198E-2</v>
      </c>
      <c r="Q21" s="54">
        <f t="shared" si="15"/>
        <v>-6.0907566952828507E-2</v>
      </c>
      <c r="R21" s="54">
        <f t="shared" si="15"/>
        <v>-3.7728966604557823E-2</v>
      </c>
      <c r="S21" s="54">
        <f t="shared" si="15"/>
        <v>-2.9302616057178543E-2</v>
      </c>
      <c r="T21" s="54">
        <f t="shared" si="15"/>
        <v>-2.9307901988635643E-2</v>
      </c>
      <c r="U21" s="54">
        <f t="shared" si="15"/>
        <v>-2.9418284822221974E-2</v>
      </c>
      <c r="V21" s="54">
        <f t="shared" si="15"/>
        <v>-2.9500800236381575E-2</v>
      </c>
      <c r="W21" s="54">
        <f t="shared" si="15"/>
        <v>-2.9518671592766776E-2</v>
      </c>
      <c r="X21" s="54">
        <f t="shared" si="15"/>
        <v>-2.952231729603505E-2</v>
      </c>
      <c r="Y21" s="54">
        <f t="shared" si="15"/>
        <v>-2.9598457332859152E-2</v>
      </c>
    </row>
    <row r="22" spans="1:37" s="8" customFormat="1">
      <c r="A22" s="8" t="s">
        <v>77</v>
      </c>
      <c r="B22" s="48"/>
      <c r="C22" s="9"/>
      <c r="D22" s="9"/>
      <c r="E22" s="9"/>
      <c r="F22" s="10"/>
      <c r="G22" s="10">
        <f t="shared" ref="G22:N22" si="16">AVERAGE(F20:G20)</f>
        <v>5.9416904543808453</v>
      </c>
      <c r="H22" s="10">
        <f t="shared" si="16"/>
        <v>6.3198737027997698</v>
      </c>
      <c r="I22" s="10">
        <f t="shared" si="16"/>
        <v>7.5975700934579438</v>
      </c>
      <c r="J22" s="10">
        <f t="shared" si="16"/>
        <v>8.0462318840579705</v>
      </c>
      <c r="K22" s="10">
        <f t="shared" si="16"/>
        <v>7.9349213427474297</v>
      </c>
      <c r="L22" s="10">
        <f t="shared" si="16"/>
        <v>8.1936987696764234</v>
      </c>
      <c r="M22" s="10">
        <f t="shared" si="16"/>
        <v>8.7412302952023779</v>
      </c>
      <c r="N22" s="10">
        <f t="shared" si="16"/>
        <v>8.5230708010652307</v>
      </c>
      <c r="O22" s="10">
        <f t="shared" ref="O22:Y22" si="17">AVERAGE(N20:O20)</f>
        <v>7.7817356615986757</v>
      </c>
      <c r="P22" s="10">
        <f t="shared" si="17"/>
        <v>7.7885185404206601</v>
      </c>
      <c r="Q22" s="10">
        <f t="shared" si="17"/>
        <v>8.2442243363121896</v>
      </c>
      <c r="R22" s="10">
        <f t="shared" si="17"/>
        <v>8.0928068421055883</v>
      </c>
      <c r="S22" s="10">
        <f t="shared" si="17"/>
        <v>7.5214078955291281</v>
      </c>
      <c r="T22" s="10">
        <f t="shared" si="17"/>
        <v>7.5602742724172929</v>
      </c>
      <c r="U22" s="10">
        <f t="shared" si="17"/>
        <v>8.0021172997736976</v>
      </c>
      <c r="V22" s="10">
        <f t="shared" si="17"/>
        <v>7.854425955798165</v>
      </c>
      <c r="W22" s="10">
        <f t="shared" si="17"/>
        <v>7.2994518512682891</v>
      </c>
      <c r="X22" s="10">
        <f t="shared" si="17"/>
        <v>7.3370914287546025</v>
      </c>
      <c r="Y22" s="10">
        <f t="shared" si="17"/>
        <v>7.7655508031924585</v>
      </c>
    </row>
    <row r="23" spans="1:37" s="11" customFormat="1">
      <c r="A23" s="11" t="s">
        <v>169</v>
      </c>
      <c r="B23" s="50"/>
      <c r="C23" s="12"/>
      <c r="D23" s="12"/>
      <c r="E23" s="12"/>
      <c r="F23" s="13"/>
      <c r="G23" s="13"/>
      <c r="H23" s="13"/>
      <c r="I23" s="13"/>
      <c r="J23" s="14"/>
      <c r="K23" s="14">
        <f>K22/G22-1</f>
        <v>0.33546528612862403</v>
      </c>
      <c r="L23" s="14">
        <f>L22/H22-1</f>
        <v>0.29649723317200616</v>
      </c>
      <c r="M23" s="14">
        <f>M22/I22-1</f>
        <v>0.15052973354325583</v>
      </c>
      <c r="N23" s="14">
        <f>N22/J22-1</f>
        <v>5.9262388143700218E-2</v>
      </c>
      <c r="O23" s="14">
        <f t="shared" ref="O23:Y23" si="18">O22/K22-1</f>
        <v>-1.9305255154011935E-2</v>
      </c>
      <c r="P23" s="14">
        <f t="shared" si="18"/>
        <v>-4.9450222743758987E-2</v>
      </c>
      <c r="Q23" s="14">
        <f t="shared" si="18"/>
        <v>-5.6857666724896783E-2</v>
      </c>
      <c r="R23" s="14">
        <f t="shared" si="18"/>
        <v>-5.0482269712679995E-2</v>
      </c>
      <c r="S23" s="14">
        <f t="shared" si="18"/>
        <v>-3.3453689175567014E-2</v>
      </c>
      <c r="T23" s="14">
        <f t="shared" si="18"/>
        <v>-2.9305222401260322E-2</v>
      </c>
      <c r="U23" s="14">
        <f t="shared" si="18"/>
        <v>-2.9366866628327548E-2</v>
      </c>
      <c r="V23" s="14">
        <f t="shared" si="18"/>
        <v>-2.9455897188496505E-2</v>
      </c>
      <c r="W23" s="14">
        <f t="shared" si="18"/>
        <v>-2.9509906568526145E-2</v>
      </c>
      <c r="X23" s="14">
        <f t="shared" si="18"/>
        <v>-2.9520469181514297E-2</v>
      </c>
      <c r="Y23" s="14">
        <f t="shared" si="18"/>
        <v>-2.9562987859216849E-2</v>
      </c>
    </row>
    <row r="24" spans="1:37" s="11" customFormat="1">
      <c r="B24" s="50"/>
      <c r="C24" s="12"/>
      <c r="D24" s="12"/>
      <c r="E24" s="12"/>
      <c r="F24" s="13"/>
      <c r="G24" s="13"/>
      <c r="H24" s="13"/>
      <c r="I24" s="13"/>
      <c r="J24" s="14"/>
      <c r="K24" s="14"/>
      <c r="L24" s="14"/>
      <c r="M24" s="14"/>
      <c r="N24" s="14"/>
      <c r="O24" s="14"/>
      <c r="P24" s="14"/>
      <c r="Q24" s="14"/>
      <c r="R24" s="14"/>
      <c r="S24" s="14"/>
      <c r="T24" s="14"/>
      <c r="U24" s="14"/>
      <c r="V24" s="14"/>
      <c r="W24" s="14"/>
      <c r="X24" s="14"/>
      <c r="Y24" s="14"/>
    </row>
    <row r="25" spans="1:37" s="15" customFormat="1">
      <c r="A25" s="15" t="s">
        <v>14</v>
      </c>
      <c r="B25" s="51"/>
      <c r="C25" s="16"/>
      <c r="D25" s="16"/>
      <c r="E25" s="16"/>
      <c r="F25" s="83"/>
      <c r="G25" s="83"/>
      <c r="H25" s="83"/>
      <c r="I25" s="83"/>
      <c r="J25" s="19"/>
      <c r="K25" s="19"/>
      <c r="L25" s="19"/>
      <c r="M25" s="19"/>
      <c r="N25" s="19"/>
      <c r="O25" s="19"/>
      <c r="P25" s="19"/>
      <c r="Q25" s="19"/>
      <c r="R25" s="19"/>
      <c r="S25" s="19"/>
      <c r="T25" s="19"/>
      <c r="U25" s="19"/>
      <c r="V25" s="19"/>
      <c r="W25" s="19"/>
      <c r="X25" s="19"/>
      <c r="Y25" s="19"/>
    </row>
    <row r="26" spans="1:37" s="8" customFormat="1">
      <c r="A26" s="8" t="s">
        <v>172</v>
      </c>
      <c r="B26" s="81">
        <v>1160</v>
      </c>
      <c r="C26" s="80">
        <v>1210</v>
      </c>
      <c r="D26" s="80">
        <v>1255</v>
      </c>
      <c r="E26" s="80">
        <v>1300</v>
      </c>
      <c r="F26" s="80">
        <v>1365</v>
      </c>
      <c r="G26" s="80">
        <v>1520</v>
      </c>
      <c r="H26" s="80">
        <v>1630</v>
      </c>
      <c r="I26" s="80">
        <v>1755</v>
      </c>
      <c r="J26" s="80">
        <v>1825</v>
      </c>
      <c r="K26" s="80">
        <v>1890</v>
      </c>
      <c r="L26" s="80">
        <v>2010</v>
      </c>
      <c r="M26" s="80">
        <v>2145</v>
      </c>
      <c r="N26" s="80">
        <v>2205</v>
      </c>
      <c r="O26" s="80">
        <v>2270</v>
      </c>
      <c r="P26" s="80">
        <f>L26*1.1</f>
        <v>2211</v>
      </c>
      <c r="Q26" s="80">
        <f t="shared" ref="Q26:Y26" si="19">M26*1.1</f>
        <v>2359.5</v>
      </c>
      <c r="R26" s="80">
        <f t="shared" si="19"/>
        <v>2425.5</v>
      </c>
      <c r="S26" s="80">
        <f t="shared" si="19"/>
        <v>2497</v>
      </c>
      <c r="T26" s="80">
        <f t="shared" si="19"/>
        <v>2432.1000000000004</v>
      </c>
      <c r="U26" s="80">
        <f t="shared" si="19"/>
        <v>2595.4500000000003</v>
      </c>
      <c r="V26" s="80">
        <f t="shared" si="19"/>
        <v>2668.05</v>
      </c>
      <c r="W26" s="80">
        <f t="shared" si="19"/>
        <v>2746.7000000000003</v>
      </c>
      <c r="X26" s="80">
        <f t="shared" si="19"/>
        <v>2675.3100000000004</v>
      </c>
      <c r="Y26" s="80">
        <f t="shared" si="19"/>
        <v>2854.9950000000003</v>
      </c>
    </row>
    <row r="27" spans="1:37" s="8" customFormat="1">
      <c r="A27" s="11" t="s">
        <v>169</v>
      </c>
      <c r="B27" s="80"/>
      <c r="C27" s="80"/>
      <c r="D27" s="80"/>
      <c r="E27" s="80"/>
      <c r="F27" s="39">
        <f>F26/B26-1</f>
        <v>0.17672413793103448</v>
      </c>
      <c r="G27" s="39">
        <f t="shared" ref="G27:O27" si="20">G26/C26-1</f>
        <v>0.25619834710743805</v>
      </c>
      <c r="H27" s="39">
        <f t="shared" si="20"/>
        <v>0.29880478087649398</v>
      </c>
      <c r="I27" s="39">
        <f t="shared" si="20"/>
        <v>0.35000000000000009</v>
      </c>
      <c r="J27" s="39">
        <f t="shared" si="20"/>
        <v>0.33699633699633691</v>
      </c>
      <c r="K27" s="39">
        <f t="shared" si="20"/>
        <v>0.24342105263157898</v>
      </c>
      <c r="L27" s="39">
        <f t="shared" si="20"/>
        <v>0.23312883435582821</v>
      </c>
      <c r="M27" s="39">
        <f t="shared" si="20"/>
        <v>0.22222222222222232</v>
      </c>
      <c r="N27" s="39">
        <f t="shared" si="20"/>
        <v>0.20821917808219181</v>
      </c>
      <c r="O27" s="39">
        <f t="shared" si="20"/>
        <v>0.20105820105820116</v>
      </c>
      <c r="P27" s="80"/>
      <c r="Q27" s="80"/>
      <c r="R27" s="80"/>
      <c r="S27" s="80"/>
      <c r="T27" s="80"/>
      <c r="U27" s="80"/>
      <c r="V27" s="80"/>
      <c r="W27" s="80"/>
      <c r="X27" s="80"/>
      <c r="Y27" s="80"/>
    </row>
    <row r="28" spans="1:37" s="8" customFormat="1">
      <c r="A28" s="8" t="s">
        <v>173</v>
      </c>
      <c r="B28" s="82">
        <f>B30/B26</f>
        <v>3.4456896551724139</v>
      </c>
      <c r="C28" s="82">
        <f t="shared" ref="C28:O28" si="21">C30/C26</f>
        <v>3.6851239669421489</v>
      </c>
      <c r="D28" s="82">
        <f t="shared" si="21"/>
        <v>3.9569721115537848</v>
      </c>
      <c r="E28" s="82">
        <f t="shared" si="21"/>
        <v>4.6276923076923078</v>
      </c>
      <c r="F28" s="82">
        <f t="shared" si="21"/>
        <v>3.937728937728938</v>
      </c>
      <c r="G28" s="82">
        <f t="shared" si="21"/>
        <v>3.8809210526315789</v>
      </c>
      <c r="H28" s="82">
        <f t="shared" si="21"/>
        <v>4.1932515337423313</v>
      </c>
      <c r="I28" s="82">
        <f t="shared" si="21"/>
        <v>4.9754985754985759</v>
      </c>
      <c r="J28" s="82">
        <f t="shared" si="21"/>
        <v>5.1441095890410962</v>
      </c>
      <c r="K28" s="82">
        <f t="shared" si="21"/>
        <v>6.306878306878307</v>
      </c>
      <c r="L28" s="82">
        <f t="shared" si="21"/>
        <v>6.062686567164179</v>
      </c>
      <c r="M28" s="82">
        <f t="shared" si="21"/>
        <v>6.5920745920745922</v>
      </c>
      <c r="N28" s="82">
        <f t="shared" si="21"/>
        <v>5.4421768707482991</v>
      </c>
      <c r="O28" s="82">
        <f t="shared" si="21"/>
        <v>5.665638766519824</v>
      </c>
      <c r="P28" s="80"/>
      <c r="Q28" s="80"/>
      <c r="R28" s="80"/>
      <c r="S28" s="80"/>
      <c r="T28" s="80"/>
      <c r="U28" s="80"/>
      <c r="V28" s="80"/>
      <c r="W28" s="80"/>
      <c r="X28" s="80"/>
      <c r="Y28" s="80"/>
    </row>
    <row r="29" spans="1:37" s="8" customFormat="1">
      <c r="A29" s="11" t="s">
        <v>169</v>
      </c>
      <c r="B29" s="82"/>
      <c r="C29" s="82"/>
      <c r="D29" s="82"/>
      <c r="E29" s="82"/>
      <c r="F29" s="49">
        <f>F28/B28-1</f>
        <v>0.14279849080949902</v>
      </c>
      <c r="G29" s="49">
        <f t="shared" ref="G29:O29" si="22">G28/C28-1</f>
        <v>5.3131750097378472E-2</v>
      </c>
      <c r="H29" s="49">
        <f t="shared" si="22"/>
        <v>5.9712177778217024E-2</v>
      </c>
      <c r="I29" s="49">
        <f t="shared" si="22"/>
        <v>7.5157604412923629E-2</v>
      </c>
      <c r="J29" s="49">
        <f t="shared" si="22"/>
        <v>0.30636457470532008</v>
      </c>
      <c r="K29" s="49">
        <f t="shared" si="22"/>
        <v>0.62509832623411188</v>
      </c>
      <c r="L29" s="49">
        <f t="shared" si="22"/>
        <v>0.44581991287163292</v>
      </c>
      <c r="M29" s="49">
        <f t="shared" si="22"/>
        <v>0.32490734185649428</v>
      </c>
      <c r="N29" s="49">
        <f t="shared" si="22"/>
        <v>5.7943415968858769E-2</v>
      </c>
      <c r="O29" s="49">
        <f t="shared" si="22"/>
        <v>-0.10167304792596754</v>
      </c>
      <c r="P29" s="80"/>
      <c r="Q29" s="80"/>
      <c r="R29" s="80"/>
      <c r="S29" s="80"/>
      <c r="T29" s="80"/>
      <c r="U29" s="80"/>
      <c r="V29" s="80"/>
      <c r="W29" s="80"/>
      <c r="X29" s="80"/>
      <c r="Y29" s="80"/>
    </row>
    <row r="30" spans="1:37">
      <c r="A30" s="5" t="s">
        <v>151</v>
      </c>
      <c r="B30" s="52">
        <v>3997</v>
      </c>
      <c r="C30" s="6">
        <v>4459</v>
      </c>
      <c r="D30" s="6">
        <v>4966</v>
      </c>
      <c r="E30" s="6">
        <v>6016</v>
      </c>
      <c r="F30" s="6">
        <v>5375</v>
      </c>
      <c r="G30" s="6">
        <v>5899</v>
      </c>
      <c r="H30" s="6">
        <v>6835</v>
      </c>
      <c r="I30" s="6">
        <v>8732</v>
      </c>
      <c r="J30" s="6">
        <v>9388</v>
      </c>
      <c r="K30" s="6">
        <v>11920</v>
      </c>
      <c r="L30" s="6">
        <v>12186</v>
      </c>
      <c r="M30" s="6">
        <v>14140</v>
      </c>
      <c r="N30" s="6">
        <v>12000</v>
      </c>
      <c r="O30" s="6">
        <v>12861</v>
      </c>
      <c r="P30" s="6">
        <f>L30*(1+P31)</f>
        <v>11698.56</v>
      </c>
      <c r="Q30" s="6">
        <f t="shared" ref="Q30:S30" si="23">M30*(1+Q31)</f>
        <v>13574.4</v>
      </c>
      <c r="R30" s="6">
        <f t="shared" si="23"/>
        <v>11520</v>
      </c>
      <c r="S30" s="6">
        <f t="shared" si="23"/>
        <v>12861</v>
      </c>
      <c r="T30" s="6">
        <f t="shared" ref="T30" si="24">P30*(1+T31)</f>
        <v>11698.56</v>
      </c>
      <c r="U30" s="6">
        <f t="shared" ref="U30" si="25">Q30*(1+U31)</f>
        <v>13574.4</v>
      </c>
      <c r="V30" s="6">
        <f t="shared" ref="V30" si="26">R30*(1+V31)</f>
        <v>11520</v>
      </c>
      <c r="W30" s="6">
        <f t="shared" ref="W30" si="27">S30*(1+W31)</f>
        <v>12861</v>
      </c>
      <c r="X30" s="6">
        <f t="shared" ref="X30" si="28">T30*(1+X31)</f>
        <v>11698.56</v>
      </c>
      <c r="Y30" s="80">
        <f t="shared" ref="Y30" si="29">U30*(1+Y31)</f>
        <v>13574.4</v>
      </c>
    </row>
    <row r="31" spans="1:37">
      <c r="A31" s="11" t="s">
        <v>169</v>
      </c>
      <c r="F31" s="39">
        <f>F30/B30-1</f>
        <v>0.34475856892669499</v>
      </c>
      <c r="G31" s="39">
        <f t="shared" ref="G31:O31" si="30">G30/C30-1</f>
        <v>0.32294236375869034</v>
      </c>
      <c r="H31" s="39">
        <f t="shared" si="30"/>
        <v>0.37635924285138955</v>
      </c>
      <c r="I31" s="39">
        <f t="shared" si="30"/>
        <v>0.45146276595744683</v>
      </c>
      <c r="J31" s="39">
        <f t="shared" si="30"/>
        <v>0.74660465116279062</v>
      </c>
      <c r="K31" s="39">
        <f t="shared" si="30"/>
        <v>1.0206814714358368</v>
      </c>
      <c r="L31" s="39">
        <f t="shared" si="30"/>
        <v>0.7828822238478419</v>
      </c>
      <c r="M31" s="39">
        <f t="shared" si="30"/>
        <v>0.61933119560238215</v>
      </c>
      <c r="N31" s="39">
        <f t="shared" si="30"/>
        <v>0.27822752449936083</v>
      </c>
      <c r="O31" s="39">
        <f t="shared" si="30"/>
        <v>7.894295302013421E-2</v>
      </c>
      <c r="P31" s="22">
        <v>-0.04</v>
      </c>
      <c r="Q31" s="22">
        <v>-0.04</v>
      </c>
      <c r="R31" s="22">
        <v>-0.04</v>
      </c>
      <c r="S31" s="39">
        <v>0</v>
      </c>
      <c r="T31" s="39">
        <v>0</v>
      </c>
      <c r="U31" s="39">
        <v>0</v>
      </c>
      <c r="V31" s="39">
        <v>0</v>
      </c>
      <c r="W31" s="39">
        <v>0</v>
      </c>
      <c r="X31" s="39">
        <v>0</v>
      </c>
      <c r="Y31" s="39">
        <v>0</v>
      </c>
    </row>
    <row r="32" spans="1:37" s="11" customFormat="1">
      <c r="B32" s="50"/>
      <c r="C32" s="12"/>
      <c r="D32" s="12"/>
      <c r="E32" s="12"/>
      <c r="F32" s="13"/>
      <c r="G32" s="13"/>
      <c r="H32" s="13"/>
      <c r="I32" s="13"/>
      <c r="J32" s="14"/>
      <c r="K32" s="14"/>
      <c r="L32" s="14"/>
      <c r="M32" s="14"/>
      <c r="N32" s="14"/>
      <c r="O32" s="12"/>
      <c r="P32" s="12"/>
      <c r="Q32" s="12"/>
      <c r="R32" s="12"/>
      <c r="S32" s="12"/>
      <c r="T32" s="12"/>
    </row>
    <row r="33" spans="1:37" s="15" customFormat="1">
      <c r="A33" s="15" t="s">
        <v>148</v>
      </c>
      <c r="B33" s="16"/>
      <c r="C33" s="16"/>
      <c r="D33" s="16"/>
      <c r="E33" s="16"/>
      <c r="F33" s="83"/>
      <c r="G33" s="83"/>
      <c r="H33" s="83"/>
      <c r="I33" s="83"/>
      <c r="J33" s="84"/>
      <c r="K33" s="84"/>
      <c r="L33" s="84"/>
      <c r="M33" s="84"/>
      <c r="N33" s="84"/>
      <c r="O33" s="16"/>
      <c r="P33" s="16"/>
      <c r="Q33" s="16"/>
      <c r="R33" s="16"/>
      <c r="S33" s="16"/>
      <c r="T33" s="16"/>
    </row>
    <row r="34" spans="1:37" s="8" customFormat="1">
      <c r="A34" s="8" t="s">
        <v>11</v>
      </c>
      <c r="B34" s="48"/>
      <c r="C34" s="9"/>
      <c r="D34" s="9"/>
      <c r="E34" s="9"/>
      <c r="F34" s="9">
        <v>1734</v>
      </c>
      <c r="G34" s="9">
        <v>1785</v>
      </c>
      <c r="H34" s="9">
        <v>1820</v>
      </c>
      <c r="I34" s="9">
        <v>1845</v>
      </c>
      <c r="J34" s="9">
        <v>1878</v>
      </c>
      <c r="K34" s="9">
        <v>1908</v>
      </c>
      <c r="L34" s="9">
        <v>1930</v>
      </c>
      <c r="M34" s="9">
        <v>1929</v>
      </c>
      <c r="N34" s="9">
        <v>1960</v>
      </c>
      <c r="O34" s="9">
        <v>1970</v>
      </c>
      <c r="P34" s="9">
        <f t="shared" ref="P34:Y34" si="31">P36*P$14</f>
        <v>1891.6920000000002</v>
      </c>
      <c r="Q34" s="9">
        <f t="shared" si="31"/>
        <v>1898.4240000000002</v>
      </c>
      <c r="R34" s="9">
        <f t="shared" si="31"/>
        <v>1951.6000000000001</v>
      </c>
      <c r="S34" s="9">
        <f t="shared" si="31"/>
        <v>1958.4</v>
      </c>
      <c r="T34" s="9">
        <f t="shared" si="31"/>
        <v>1891.6920000000002</v>
      </c>
      <c r="U34" s="9">
        <f t="shared" si="31"/>
        <v>1898.4240000000002</v>
      </c>
      <c r="V34" s="9">
        <f t="shared" si="31"/>
        <v>1971.116</v>
      </c>
      <c r="W34" s="9">
        <f t="shared" si="31"/>
        <v>1977.9840000000004</v>
      </c>
      <c r="X34" s="9">
        <f t="shared" si="31"/>
        <v>1910.6089200000001</v>
      </c>
      <c r="Y34" s="9">
        <f t="shared" si="31"/>
        <v>1917.4082400000004</v>
      </c>
      <c r="AF34" s="8">
        <f>E34</f>
        <v>0</v>
      </c>
      <c r="AG34" s="8">
        <f>I34</f>
        <v>1845</v>
      </c>
      <c r="AH34" s="8">
        <f>M34</f>
        <v>1929</v>
      </c>
      <c r="AI34" s="8">
        <f>Q34</f>
        <v>1898.4240000000002</v>
      </c>
      <c r="AJ34" s="8">
        <f>U34</f>
        <v>1898.4240000000002</v>
      </c>
      <c r="AK34" s="8">
        <f>Y34</f>
        <v>1917.4082400000004</v>
      </c>
    </row>
    <row r="35" spans="1:37" s="11" customFormat="1">
      <c r="A35" s="11" t="s">
        <v>137</v>
      </c>
      <c r="B35" s="50"/>
      <c r="C35" s="12"/>
      <c r="D35" s="12"/>
      <c r="E35" s="12"/>
      <c r="F35" s="13"/>
      <c r="G35" s="13"/>
      <c r="H35" s="13"/>
      <c r="I35" s="13"/>
      <c r="J35" s="54">
        <f>J34/F34-1</f>
        <v>8.3044982698961878E-2</v>
      </c>
      <c r="K35" s="54">
        <f t="shared" ref="K35" si="32">K34/G34-1</f>
        <v>6.8907563025210061E-2</v>
      </c>
      <c r="L35" s="54">
        <f t="shared" ref="L35" si="33">L34/H34-1</f>
        <v>6.0439560439560447E-2</v>
      </c>
      <c r="M35" s="54">
        <f t="shared" ref="M35" si="34">M34/I34-1</f>
        <v>4.5528455284552738E-2</v>
      </c>
      <c r="N35" s="54">
        <f t="shared" ref="N35" si="35">N34/J34-1</f>
        <v>4.3663471778487839E-2</v>
      </c>
      <c r="O35" s="54">
        <f t="shared" ref="O35" si="36">O34/K34-1</f>
        <v>3.2494758909853205E-2</v>
      </c>
      <c r="P35" s="54">
        <f t="shared" ref="P35" si="37">P34/L34-1</f>
        <v>-1.9848704663212313E-2</v>
      </c>
      <c r="Q35" s="54">
        <f t="shared" ref="Q35" si="38">Q34/M34-1</f>
        <v>-1.5850699844478844E-2</v>
      </c>
      <c r="R35" s="54">
        <f t="shared" ref="R35" si="39">R34/N34-1</f>
        <v>-4.2857142857142261E-3</v>
      </c>
      <c r="S35" s="54">
        <f t="shared" ref="S35" si="40">S34/O34-1</f>
        <v>-5.8883248730964288E-3</v>
      </c>
      <c r="T35" s="54">
        <f t="shared" ref="T35" si="41">T34/P34-1</f>
        <v>0</v>
      </c>
      <c r="U35" s="54">
        <f t="shared" ref="U35" si="42">U34/Q34-1</f>
        <v>0</v>
      </c>
      <c r="V35" s="54">
        <f t="shared" ref="V35" si="43">V34/R34-1</f>
        <v>1.0000000000000009E-2</v>
      </c>
      <c r="W35" s="54">
        <f t="shared" ref="W35" si="44">W34/S34-1</f>
        <v>1.0000000000000231E-2</v>
      </c>
      <c r="X35" s="54">
        <f t="shared" ref="X35" si="45">X34/T34-1</f>
        <v>1.0000000000000009E-2</v>
      </c>
      <c r="Y35" s="54">
        <f t="shared" ref="Y35" si="46">Y34/U34-1</f>
        <v>1.0000000000000009E-2</v>
      </c>
    </row>
    <row r="36" spans="1:37" s="11" customFormat="1">
      <c r="A36" s="11" t="s">
        <v>147</v>
      </c>
      <c r="B36" s="50"/>
      <c r="C36" s="12"/>
      <c r="D36" s="12"/>
      <c r="E36" s="12"/>
      <c r="F36" s="54">
        <f t="shared" ref="F36:N36" si="47">F34/F14</f>
        <v>0.73474576271186443</v>
      </c>
      <c r="G36" s="54">
        <f t="shared" si="47"/>
        <v>0.72267206477732793</v>
      </c>
      <c r="H36" s="54">
        <f t="shared" si="47"/>
        <v>0.71653543307086609</v>
      </c>
      <c r="I36" s="54">
        <f t="shared" si="47"/>
        <v>0.70961538461538465</v>
      </c>
      <c r="J36" s="54">
        <f t="shared" si="47"/>
        <v>0.69044117647058822</v>
      </c>
      <c r="K36" s="54">
        <f t="shared" si="47"/>
        <v>0.69130434782608696</v>
      </c>
      <c r="L36" s="54">
        <f t="shared" si="47"/>
        <v>0.68683274021352314</v>
      </c>
      <c r="M36" s="54">
        <f t="shared" si="47"/>
        <v>0.68404255319148932</v>
      </c>
      <c r="N36" s="54">
        <f t="shared" si="47"/>
        <v>0.68292682926829273</v>
      </c>
      <c r="O36" s="54">
        <v>0.68</v>
      </c>
      <c r="P36" s="54">
        <v>0.68</v>
      </c>
      <c r="Q36" s="54">
        <v>0.68</v>
      </c>
      <c r="R36" s="54">
        <v>0.68</v>
      </c>
      <c r="S36" s="54">
        <v>0.68</v>
      </c>
      <c r="T36" s="54">
        <v>0.68</v>
      </c>
      <c r="U36" s="54">
        <v>0.68</v>
      </c>
      <c r="V36" s="54">
        <v>0.68</v>
      </c>
      <c r="W36" s="54">
        <v>0.68</v>
      </c>
      <c r="X36" s="54">
        <v>0.68</v>
      </c>
      <c r="Y36" s="54">
        <v>0.68</v>
      </c>
    </row>
    <row r="37" spans="1:37" s="8" customFormat="1">
      <c r="A37" s="8" t="s">
        <v>78</v>
      </c>
      <c r="B37" s="48"/>
      <c r="C37" s="9"/>
      <c r="D37" s="9"/>
      <c r="E37" s="9"/>
      <c r="F37" s="9">
        <v>195</v>
      </c>
      <c r="G37" s="9">
        <v>198</v>
      </c>
      <c r="H37" s="9">
        <v>196</v>
      </c>
      <c r="I37" s="9">
        <v>195</v>
      </c>
      <c r="J37" s="9">
        <v>195</v>
      </c>
      <c r="K37" s="9">
        <v>195</v>
      </c>
      <c r="L37" s="9">
        <v>196</v>
      </c>
      <c r="M37" s="9">
        <v>195</v>
      </c>
      <c r="N37" s="9">
        <v>196</v>
      </c>
      <c r="O37" s="9">
        <f>K37*(1+O38)</f>
        <v>191.1</v>
      </c>
      <c r="P37" s="9">
        <f t="shared" ref="P37:Y37" si="48">L37*(1+P38)</f>
        <v>192.07999999999998</v>
      </c>
      <c r="Q37" s="9">
        <f t="shared" si="48"/>
        <v>191.1</v>
      </c>
      <c r="R37" s="9">
        <f t="shared" si="48"/>
        <v>194.04</v>
      </c>
      <c r="S37" s="9">
        <f t="shared" si="48"/>
        <v>189.18899999999999</v>
      </c>
      <c r="T37" s="9">
        <f t="shared" si="48"/>
        <v>190.15919999999997</v>
      </c>
      <c r="U37" s="9">
        <f t="shared" si="48"/>
        <v>189.18899999999999</v>
      </c>
      <c r="V37" s="9">
        <f t="shared" si="48"/>
        <v>192.09959999999998</v>
      </c>
      <c r="W37" s="9">
        <f t="shared" si="48"/>
        <v>187.29711</v>
      </c>
      <c r="X37" s="9">
        <f t="shared" si="48"/>
        <v>188.25760799999998</v>
      </c>
      <c r="Y37" s="9">
        <f t="shared" si="48"/>
        <v>187.29711</v>
      </c>
      <c r="AF37" s="8">
        <f>E37</f>
        <v>0</v>
      </c>
      <c r="AG37" s="8">
        <f>I37</f>
        <v>195</v>
      </c>
      <c r="AH37" s="8">
        <f>M37</f>
        <v>195</v>
      </c>
      <c r="AI37" s="8">
        <f>Q37</f>
        <v>191.1</v>
      </c>
      <c r="AJ37" s="8">
        <f>U37</f>
        <v>189.18899999999999</v>
      </c>
      <c r="AK37" s="8">
        <f>Y37</f>
        <v>187.29711</v>
      </c>
    </row>
    <row r="38" spans="1:37" s="11" customFormat="1">
      <c r="A38" s="11" t="s">
        <v>137</v>
      </c>
      <c r="B38" s="50"/>
      <c r="C38" s="12"/>
      <c r="D38" s="12"/>
      <c r="E38" s="12"/>
      <c r="F38" s="13"/>
      <c r="G38" s="13"/>
      <c r="H38" s="13"/>
      <c r="I38" s="13"/>
      <c r="J38" s="54">
        <f>J37/F37-1</f>
        <v>0</v>
      </c>
      <c r="K38" s="54">
        <f t="shared" ref="K38" si="49">K37/G37-1</f>
        <v>-1.5151515151515138E-2</v>
      </c>
      <c r="L38" s="54">
        <f t="shared" ref="L38" si="50">L37/H37-1</f>
        <v>0</v>
      </c>
      <c r="M38" s="54">
        <f t="shared" ref="M38" si="51">M37/I37-1</f>
        <v>0</v>
      </c>
      <c r="N38" s="54">
        <f t="shared" ref="N38" si="52">N37/J37-1</f>
        <v>5.12820512820511E-3</v>
      </c>
      <c r="O38" s="54">
        <v>-0.02</v>
      </c>
      <c r="P38" s="54">
        <v>-0.02</v>
      </c>
      <c r="Q38" s="54">
        <v>-0.02</v>
      </c>
      <c r="R38" s="54">
        <v>-0.01</v>
      </c>
      <c r="S38" s="54">
        <v>-0.01</v>
      </c>
      <c r="T38" s="54">
        <v>-0.01</v>
      </c>
      <c r="U38" s="54">
        <v>-0.01</v>
      </c>
      <c r="V38" s="54">
        <v>-0.01</v>
      </c>
      <c r="W38" s="54">
        <v>-0.01</v>
      </c>
      <c r="X38" s="54">
        <v>-0.01</v>
      </c>
      <c r="Y38" s="54">
        <v>-0.01</v>
      </c>
    </row>
    <row r="39" spans="1:37" s="11" customFormat="1">
      <c r="A39" s="11" t="s">
        <v>154</v>
      </c>
      <c r="B39" s="50"/>
      <c r="C39" s="12"/>
      <c r="D39" s="12"/>
      <c r="E39" s="12"/>
      <c r="F39" s="54">
        <f t="shared" ref="F39:Y39" si="53">F$37/F$34</f>
        <v>0.11245674740484429</v>
      </c>
      <c r="G39" s="54">
        <f t="shared" si="53"/>
        <v>0.11092436974789915</v>
      </c>
      <c r="H39" s="54">
        <f t="shared" si="53"/>
        <v>0.1076923076923077</v>
      </c>
      <c r="I39" s="54">
        <f t="shared" si="53"/>
        <v>0.10569105691056911</v>
      </c>
      <c r="J39" s="54">
        <f t="shared" si="53"/>
        <v>0.10383386581469649</v>
      </c>
      <c r="K39" s="54">
        <f t="shared" si="53"/>
        <v>0.10220125786163523</v>
      </c>
      <c r="L39" s="54">
        <f t="shared" si="53"/>
        <v>0.10155440414507771</v>
      </c>
      <c r="M39" s="54">
        <f t="shared" si="53"/>
        <v>0.10108864696734059</v>
      </c>
      <c r="N39" s="54">
        <f t="shared" si="53"/>
        <v>0.1</v>
      </c>
      <c r="O39" s="54">
        <f t="shared" si="53"/>
        <v>9.7005076142131982E-2</v>
      </c>
      <c r="P39" s="54">
        <f t="shared" si="53"/>
        <v>0.10153872829192065</v>
      </c>
      <c r="Q39" s="54">
        <f t="shared" si="53"/>
        <v>0.10066244421688726</v>
      </c>
      <c r="R39" s="54">
        <f t="shared" si="53"/>
        <v>9.9426111908177892E-2</v>
      </c>
      <c r="S39" s="54">
        <f t="shared" si="53"/>
        <v>9.6603860294117633E-2</v>
      </c>
      <c r="T39" s="54">
        <f t="shared" si="53"/>
        <v>0.10052334100900144</v>
      </c>
      <c r="U39" s="54">
        <f t="shared" si="53"/>
        <v>9.9655819774718379E-2</v>
      </c>
      <c r="V39" s="54">
        <f t="shared" si="53"/>
        <v>9.7457278009006054E-2</v>
      </c>
      <c r="W39" s="54">
        <f t="shared" si="53"/>
        <v>9.4690912565521243E-2</v>
      </c>
      <c r="X39" s="54">
        <f t="shared" si="53"/>
        <v>9.8532779800902401E-2</v>
      </c>
      <c r="Y39" s="54">
        <f t="shared" si="53"/>
        <v>9.7682437204921979E-2</v>
      </c>
    </row>
    <row r="40" spans="1:37" s="11" customFormat="1">
      <c r="B40" s="50"/>
      <c r="C40" s="12"/>
      <c r="D40" s="12"/>
      <c r="E40" s="12"/>
      <c r="F40" s="54"/>
      <c r="G40" s="54"/>
      <c r="H40" s="54"/>
      <c r="I40" s="54"/>
      <c r="J40" s="54"/>
      <c r="K40" s="54"/>
      <c r="L40" s="54"/>
      <c r="M40" s="54"/>
      <c r="N40" s="54"/>
      <c r="O40" s="54"/>
      <c r="P40" s="54"/>
      <c r="Q40" s="54"/>
      <c r="R40" s="54"/>
      <c r="S40" s="54"/>
      <c r="T40" s="54"/>
      <c r="U40" s="54"/>
      <c r="V40" s="54"/>
      <c r="W40" s="54"/>
      <c r="X40" s="54"/>
      <c r="Y40" s="54"/>
    </row>
    <row r="41" spans="1:37" s="8" customFormat="1">
      <c r="A41" s="8" t="s">
        <v>12</v>
      </c>
      <c r="B41" s="48"/>
      <c r="C41" s="9"/>
      <c r="D41" s="9"/>
      <c r="E41" s="9"/>
      <c r="F41" s="9">
        <v>2603</v>
      </c>
      <c r="G41" s="9">
        <v>2701</v>
      </c>
      <c r="H41" s="9">
        <v>2740</v>
      </c>
      <c r="I41" s="9">
        <v>2797</v>
      </c>
      <c r="J41" s="9">
        <v>2853</v>
      </c>
      <c r="K41" s="9">
        <v>2895</v>
      </c>
      <c r="L41" s="9">
        <v>2910</v>
      </c>
      <c r="M41" s="9">
        <v>2912</v>
      </c>
      <c r="N41" s="9">
        <v>2936</v>
      </c>
      <c r="O41" s="9">
        <v>2930</v>
      </c>
      <c r="P41" s="9">
        <f t="shared" ref="P41:Y41" si="54">L41*(1+P42)</f>
        <v>2910</v>
      </c>
      <c r="Q41" s="9">
        <f t="shared" si="54"/>
        <v>2912</v>
      </c>
      <c r="R41" s="9">
        <f t="shared" si="54"/>
        <v>2936</v>
      </c>
      <c r="S41" s="9">
        <f t="shared" si="54"/>
        <v>2930</v>
      </c>
      <c r="T41" s="9">
        <f t="shared" si="54"/>
        <v>2910</v>
      </c>
      <c r="U41" s="9">
        <f t="shared" si="54"/>
        <v>2912</v>
      </c>
      <c r="V41" s="9">
        <f t="shared" si="54"/>
        <v>2936</v>
      </c>
      <c r="W41" s="9">
        <f t="shared" si="54"/>
        <v>2930</v>
      </c>
      <c r="X41" s="9">
        <f t="shared" si="54"/>
        <v>2910</v>
      </c>
      <c r="Y41" s="9">
        <f t="shared" si="54"/>
        <v>2912</v>
      </c>
      <c r="AF41" s="8">
        <f>E41</f>
        <v>0</v>
      </c>
      <c r="AG41" s="8">
        <f>I41</f>
        <v>2797</v>
      </c>
      <c r="AH41" s="8">
        <f>M41</f>
        <v>2912</v>
      </c>
      <c r="AI41" s="8">
        <f>Q41</f>
        <v>2912</v>
      </c>
      <c r="AJ41" s="8">
        <f>U41</f>
        <v>2912</v>
      </c>
      <c r="AK41" s="8">
        <f>Y41</f>
        <v>2912</v>
      </c>
    </row>
    <row r="42" spans="1:37" s="11" customFormat="1">
      <c r="A42" s="11" t="s">
        <v>137</v>
      </c>
      <c r="B42" s="50"/>
      <c r="C42" s="12"/>
      <c r="D42" s="12"/>
      <c r="E42" s="12"/>
      <c r="F42" s="13"/>
      <c r="G42" s="13"/>
      <c r="H42" s="13"/>
      <c r="I42" s="13"/>
      <c r="J42" s="54">
        <f>J41/F41-1</f>
        <v>9.6043027276219828E-2</v>
      </c>
      <c r="K42" s="54">
        <f t="shared" ref="K42" si="55">K41/G41-1</f>
        <v>7.1825249907441657E-2</v>
      </c>
      <c r="L42" s="54">
        <f t="shared" ref="L42" si="56">L41/H41-1</f>
        <v>6.2043795620438047E-2</v>
      </c>
      <c r="M42" s="54">
        <f t="shared" ref="M42" si="57">M41/I41-1</f>
        <v>4.1115480872363275E-2</v>
      </c>
      <c r="N42" s="54">
        <f t="shared" ref="N42" si="58">N41/J41-1</f>
        <v>2.9092183666316052E-2</v>
      </c>
      <c r="O42" s="54">
        <f t="shared" ref="O42" si="59">O41/K41-1</f>
        <v>1.2089810017271052E-2</v>
      </c>
      <c r="P42" s="54">
        <v>0</v>
      </c>
      <c r="Q42" s="54">
        <v>0</v>
      </c>
      <c r="R42" s="54">
        <v>0</v>
      </c>
      <c r="S42" s="54">
        <v>0</v>
      </c>
      <c r="T42" s="54">
        <v>0</v>
      </c>
      <c r="U42" s="54">
        <v>0</v>
      </c>
      <c r="V42" s="54">
        <v>0</v>
      </c>
      <c r="W42" s="54">
        <v>0</v>
      </c>
      <c r="X42" s="54">
        <v>0</v>
      </c>
      <c r="Y42" s="54">
        <v>0</v>
      </c>
    </row>
    <row r="43" spans="1:37" s="11" customFormat="1">
      <c r="A43" s="11" t="s">
        <v>149</v>
      </c>
      <c r="B43" s="50"/>
      <c r="C43" s="12"/>
      <c r="D43" s="12"/>
      <c r="E43" s="12"/>
      <c r="F43" s="54">
        <f t="shared" ref="F43:Y43" si="60">F41/F17</f>
        <v>0.87056856187290965</v>
      </c>
      <c r="G43" s="54">
        <f t="shared" si="60"/>
        <v>0.86019108280254775</v>
      </c>
      <c r="H43" s="54">
        <f t="shared" si="60"/>
        <v>0.85358255451713394</v>
      </c>
      <c r="I43" s="54">
        <f t="shared" si="60"/>
        <v>0.84757575757575754</v>
      </c>
      <c r="J43" s="54">
        <f t="shared" si="60"/>
        <v>0.82695652173913048</v>
      </c>
      <c r="K43" s="54">
        <f t="shared" si="60"/>
        <v>0.82478632478632474</v>
      </c>
      <c r="L43" s="54">
        <f t="shared" si="60"/>
        <v>0.81284916201117319</v>
      </c>
      <c r="M43" s="54">
        <f t="shared" si="60"/>
        <v>0.81114206128133703</v>
      </c>
      <c r="N43" s="54">
        <f t="shared" si="60"/>
        <v>0.80659340659340661</v>
      </c>
      <c r="O43" s="54">
        <f t="shared" si="60"/>
        <v>0.80273972602739729</v>
      </c>
      <c r="P43" s="54">
        <f t="shared" si="60"/>
        <v>0.82105975960724564</v>
      </c>
      <c r="Q43" s="54">
        <f t="shared" si="60"/>
        <v>0.81933541543569399</v>
      </c>
      <c r="R43" s="54">
        <f t="shared" si="60"/>
        <v>0.80659340659340661</v>
      </c>
      <c r="S43" s="54">
        <f t="shared" si="60"/>
        <v>0.80273972602739729</v>
      </c>
      <c r="T43" s="54">
        <f t="shared" si="60"/>
        <v>0.82105975960724564</v>
      </c>
      <c r="U43" s="54">
        <f t="shared" si="60"/>
        <v>0.81933541543569399</v>
      </c>
      <c r="V43" s="54">
        <f t="shared" si="60"/>
        <v>0.79860733326079858</v>
      </c>
      <c r="W43" s="54">
        <f t="shared" si="60"/>
        <v>0.79479180794791804</v>
      </c>
      <c r="X43" s="54">
        <f t="shared" si="60"/>
        <v>0.81293045505667894</v>
      </c>
      <c r="Y43" s="54">
        <f t="shared" si="60"/>
        <v>0.81122318359969703</v>
      </c>
    </row>
    <row r="44" spans="1:37" s="8" customFormat="1">
      <c r="A44" s="8" t="s">
        <v>78</v>
      </c>
      <c r="B44" s="48"/>
      <c r="C44" s="9"/>
      <c r="D44" s="9"/>
      <c r="E44" s="9"/>
      <c r="F44" s="9">
        <v>253</v>
      </c>
      <c r="G44" s="9">
        <v>256</v>
      </c>
      <c r="H44" s="9">
        <v>255</v>
      </c>
      <c r="I44" s="9">
        <v>258</v>
      </c>
      <c r="J44" s="9">
        <v>259</v>
      </c>
      <c r="K44" s="9">
        <v>259</v>
      </c>
      <c r="L44" s="9">
        <v>261</v>
      </c>
      <c r="M44" s="9">
        <v>262</v>
      </c>
      <c r="N44" s="9">
        <v>263</v>
      </c>
      <c r="O44" s="9">
        <f>K44*(1+O45)</f>
        <v>253.82</v>
      </c>
      <c r="P44" s="9">
        <f t="shared" ref="P44:Y44" si="61">L44*(1+P45)</f>
        <v>255.78</v>
      </c>
      <c r="Q44" s="9">
        <f t="shared" si="61"/>
        <v>256.76</v>
      </c>
      <c r="R44" s="9">
        <f t="shared" si="61"/>
        <v>260.37</v>
      </c>
      <c r="S44" s="9">
        <f t="shared" si="61"/>
        <v>251.2818</v>
      </c>
      <c r="T44" s="9">
        <f t="shared" si="61"/>
        <v>253.22219999999999</v>
      </c>
      <c r="U44" s="9">
        <f t="shared" si="61"/>
        <v>254.19239999999999</v>
      </c>
      <c r="V44" s="9">
        <f t="shared" si="61"/>
        <v>257.7663</v>
      </c>
      <c r="W44" s="9">
        <f t="shared" si="61"/>
        <v>248.76898199999999</v>
      </c>
      <c r="X44" s="9">
        <f t="shared" si="61"/>
        <v>250.689978</v>
      </c>
      <c r="Y44" s="9">
        <f t="shared" si="61"/>
        <v>251.650476</v>
      </c>
      <c r="AF44" s="8">
        <f>E44</f>
        <v>0</v>
      </c>
      <c r="AG44" s="8">
        <f>I44</f>
        <v>258</v>
      </c>
      <c r="AH44" s="8">
        <f>M44</f>
        <v>262</v>
      </c>
      <c r="AI44" s="8">
        <f>Q44</f>
        <v>256.76</v>
      </c>
      <c r="AJ44" s="8">
        <f>U44</f>
        <v>254.19239999999999</v>
      </c>
      <c r="AK44" s="8">
        <f>Y44</f>
        <v>251.650476</v>
      </c>
    </row>
    <row r="45" spans="1:37" s="11" customFormat="1">
      <c r="A45" s="11" t="s">
        <v>137</v>
      </c>
      <c r="B45" s="50"/>
      <c r="C45" s="12"/>
      <c r="D45" s="12"/>
      <c r="E45" s="12"/>
      <c r="F45" s="13"/>
      <c r="G45" s="13"/>
      <c r="H45" s="13"/>
      <c r="I45" s="13"/>
      <c r="J45" s="54">
        <f>J44/F44-1</f>
        <v>2.3715415019762931E-2</v>
      </c>
      <c r="K45" s="54">
        <f t="shared" ref="K45" si="62">K44/G44-1</f>
        <v>1.171875E-2</v>
      </c>
      <c r="L45" s="54">
        <f t="shared" ref="L45" si="63">L44/H44-1</f>
        <v>2.3529411764705799E-2</v>
      </c>
      <c r="M45" s="54">
        <f t="shared" ref="M45" si="64">M44/I44-1</f>
        <v>1.5503875968992276E-2</v>
      </c>
      <c r="N45" s="54">
        <f t="shared" ref="N45" si="65">N44/J44-1</f>
        <v>1.5444015444015413E-2</v>
      </c>
      <c r="O45" s="54">
        <v>-0.02</v>
      </c>
      <c r="P45" s="54">
        <v>-0.02</v>
      </c>
      <c r="Q45" s="54">
        <v>-0.02</v>
      </c>
      <c r="R45" s="54">
        <v>-0.01</v>
      </c>
      <c r="S45" s="54">
        <v>-0.01</v>
      </c>
      <c r="T45" s="54">
        <v>-0.01</v>
      </c>
      <c r="U45" s="54">
        <v>-0.01</v>
      </c>
      <c r="V45" s="54">
        <v>-0.01</v>
      </c>
      <c r="W45" s="54">
        <v>-0.01</v>
      </c>
      <c r="X45" s="54">
        <v>-0.01</v>
      </c>
      <c r="Y45" s="54">
        <v>-0.01</v>
      </c>
    </row>
    <row r="46" spans="1:37" s="11" customFormat="1">
      <c r="A46" s="11" t="s">
        <v>155</v>
      </c>
      <c r="B46" s="50"/>
      <c r="C46" s="12"/>
      <c r="D46" s="12"/>
      <c r="E46" s="12"/>
      <c r="F46" s="54">
        <f>F$44/F41</f>
        <v>9.7195543603534384E-2</v>
      </c>
      <c r="G46" s="54">
        <f t="shared" ref="G46:Y46" si="66">G$44/G41</f>
        <v>9.4779711218067386E-2</v>
      </c>
      <c r="H46" s="54">
        <f t="shared" si="66"/>
        <v>9.3065693430656932E-2</v>
      </c>
      <c r="I46" s="54">
        <f t="shared" si="66"/>
        <v>9.2241687522345364E-2</v>
      </c>
      <c r="J46" s="54">
        <f t="shared" si="66"/>
        <v>9.0781633368384157E-2</v>
      </c>
      <c r="K46" s="54">
        <f t="shared" si="66"/>
        <v>8.9464594127806565E-2</v>
      </c>
      <c r="L46" s="54">
        <f t="shared" si="66"/>
        <v>8.9690721649484537E-2</v>
      </c>
      <c r="M46" s="54">
        <f t="shared" si="66"/>
        <v>8.9972527472527472E-2</v>
      </c>
      <c r="N46" s="54">
        <f t="shared" si="66"/>
        <v>8.9577656675749323E-2</v>
      </c>
      <c r="O46" s="54">
        <f t="shared" si="66"/>
        <v>8.6627986348122868E-2</v>
      </c>
      <c r="P46" s="54">
        <f t="shared" si="66"/>
        <v>8.7896907216494846E-2</v>
      </c>
      <c r="Q46" s="54">
        <f t="shared" si="66"/>
        <v>8.8173076923076923E-2</v>
      </c>
      <c r="R46" s="54">
        <f t="shared" si="66"/>
        <v>8.8681880108991834E-2</v>
      </c>
      <c r="S46" s="54">
        <f t="shared" si="66"/>
        <v>8.5761706484641639E-2</v>
      </c>
      <c r="T46" s="54">
        <f t="shared" si="66"/>
        <v>8.7017938144329898E-2</v>
      </c>
      <c r="U46" s="54">
        <f t="shared" si="66"/>
        <v>8.729134615384615E-2</v>
      </c>
      <c r="V46" s="54">
        <f t="shared" si="66"/>
        <v>8.7795061307901906E-2</v>
      </c>
      <c r="W46" s="54">
        <f t="shared" si="66"/>
        <v>8.4904089419795215E-2</v>
      </c>
      <c r="X46" s="54">
        <f t="shared" si="66"/>
        <v>8.6147758762886592E-2</v>
      </c>
      <c r="Y46" s="54">
        <f t="shared" si="66"/>
        <v>8.6418432692307687E-2</v>
      </c>
    </row>
    <row r="47" spans="1:37" s="11" customFormat="1">
      <c r="B47" s="50"/>
      <c r="C47" s="12"/>
      <c r="D47" s="12"/>
      <c r="E47" s="12"/>
      <c r="F47" s="54"/>
      <c r="G47" s="54"/>
      <c r="H47" s="54"/>
      <c r="I47" s="54"/>
      <c r="J47" s="54"/>
      <c r="K47" s="54"/>
      <c r="L47" s="54"/>
      <c r="M47" s="54"/>
      <c r="N47" s="54"/>
      <c r="O47" s="54"/>
      <c r="P47" s="54"/>
      <c r="Q47" s="54"/>
      <c r="R47" s="54"/>
      <c r="S47" s="54"/>
      <c r="T47" s="54"/>
      <c r="U47" s="54"/>
      <c r="V47" s="54"/>
      <c r="W47" s="54"/>
      <c r="X47" s="54"/>
      <c r="Y47" s="54"/>
    </row>
    <row r="48" spans="1:37" s="8" customFormat="1">
      <c r="A48" s="11"/>
      <c r="B48" s="48"/>
      <c r="C48" s="9"/>
      <c r="D48" s="9"/>
      <c r="E48" s="9"/>
      <c r="F48" s="10"/>
      <c r="G48" s="10"/>
      <c r="H48" s="10"/>
      <c r="I48" s="10"/>
      <c r="J48" s="49"/>
      <c r="K48" s="49"/>
      <c r="L48" s="49"/>
      <c r="M48" s="49"/>
      <c r="N48" s="49"/>
      <c r="O48" s="9"/>
      <c r="P48" s="9"/>
      <c r="Q48" s="9"/>
      <c r="R48" s="9"/>
      <c r="S48" s="9"/>
      <c r="T48" s="9"/>
    </row>
    <row r="49" spans="1:37" s="15" customFormat="1">
      <c r="A49" s="15" t="s">
        <v>146</v>
      </c>
      <c r="B49" s="16"/>
      <c r="C49" s="16"/>
      <c r="D49" s="16"/>
      <c r="E49" s="16"/>
      <c r="F49" s="83"/>
      <c r="G49" s="83"/>
      <c r="H49" s="83"/>
      <c r="I49" s="83"/>
      <c r="J49" s="19"/>
      <c r="K49" s="19"/>
      <c r="L49" s="19"/>
      <c r="M49" s="19"/>
      <c r="N49" s="19"/>
      <c r="O49" s="16"/>
      <c r="P49" s="16"/>
      <c r="Q49" s="16"/>
      <c r="R49" s="16"/>
      <c r="S49" s="16"/>
      <c r="T49" s="16"/>
    </row>
    <row r="50" spans="1:37" s="8" customFormat="1">
      <c r="A50" s="8" t="s">
        <v>62</v>
      </c>
      <c r="B50" s="48"/>
      <c r="C50" s="9"/>
      <c r="D50" s="9"/>
      <c r="E50" s="9"/>
      <c r="F50" s="10">
        <f t="shared" ref="F50:O50" si="67">+F79/F17</f>
        <v>5.8327759197324411</v>
      </c>
      <c r="G50" s="10">
        <f t="shared" si="67"/>
        <v>5.834713375796178</v>
      </c>
      <c r="H50" s="10">
        <f t="shared" si="67"/>
        <v>6.6109034267912774</v>
      </c>
      <c r="I50" s="10">
        <f t="shared" si="67"/>
        <v>8.2384848484848483</v>
      </c>
      <c r="J50" s="10">
        <f t="shared" si="67"/>
        <v>7.373623188405797</v>
      </c>
      <c r="K50" s="10">
        <f t="shared" si="67"/>
        <v>8.1424501424501425</v>
      </c>
      <c r="L50" s="10">
        <f t="shared" si="67"/>
        <v>7.8983240223463689</v>
      </c>
      <c r="M50" s="10">
        <f t="shared" si="67"/>
        <v>9.0916434540389979</v>
      </c>
      <c r="N50" s="10">
        <f t="shared" si="67"/>
        <v>7.4170329670329673</v>
      </c>
      <c r="O50" s="10">
        <f t="shared" si="67"/>
        <v>7.7128767123287671</v>
      </c>
      <c r="P50" s="10">
        <f t="shared" ref="P50:Y50" si="68">L50*(1+P51)</f>
        <v>7.5034078212290503</v>
      </c>
      <c r="Q50" s="10">
        <f t="shared" si="68"/>
        <v>8.6370612813370471</v>
      </c>
      <c r="R50" s="10">
        <f t="shared" si="68"/>
        <v>7.194521978021978</v>
      </c>
      <c r="S50" s="10">
        <f t="shared" si="68"/>
        <v>7.4814904109589042</v>
      </c>
      <c r="T50" s="10">
        <f t="shared" si="68"/>
        <v>7.2783055865921789</v>
      </c>
      <c r="U50" s="10">
        <f t="shared" si="68"/>
        <v>8.3779494428969361</v>
      </c>
      <c r="V50" s="10">
        <f t="shared" si="68"/>
        <v>6.9786863186813184</v>
      </c>
      <c r="W50" s="10">
        <f t="shared" si="68"/>
        <v>7.2570456986301366</v>
      </c>
      <c r="X50" s="10">
        <f t="shared" si="68"/>
        <v>7.0599564189944131</v>
      </c>
      <c r="Y50" s="10">
        <f t="shared" si="68"/>
        <v>8.1266109596100282</v>
      </c>
      <c r="AF50" s="8">
        <f>SUM(F50:I50)</f>
        <v>26.516877570804745</v>
      </c>
      <c r="AG50" s="8">
        <f>SUM(J50:M50)</f>
        <v>32.506040807241305</v>
      </c>
      <c r="AH50" s="8">
        <f>SUM(N50:Q50)</f>
        <v>31.270378781927832</v>
      </c>
      <c r="AI50" s="8">
        <f>SUM(N50:Q50)</f>
        <v>31.270378781927832</v>
      </c>
      <c r="AJ50" s="8">
        <f>SUM(R50:U50)</f>
        <v>30.332267418469996</v>
      </c>
      <c r="AK50" s="8">
        <f>SUM(V50:Y50)</f>
        <v>29.4222993959159</v>
      </c>
    </row>
    <row r="51" spans="1:37" s="11" customFormat="1">
      <c r="A51" s="11" t="s">
        <v>137</v>
      </c>
      <c r="B51" s="50"/>
      <c r="C51" s="12"/>
      <c r="D51" s="12"/>
      <c r="E51" s="12"/>
      <c r="F51" s="13"/>
      <c r="G51" s="13"/>
      <c r="H51" s="13"/>
      <c r="I51" s="13"/>
      <c r="J51" s="54">
        <f>J50/F50-1</f>
        <v>0.26417048929663611</v>
      </c>
      <c r="K51" s="54">
        <f t="shared" ref="K51" si="69">K50/G50-1</f>
        <v>0.39551844589779206</v>
      </c>
      <c r="L51" s="54">
        <f t="shared" ref="L51" si="70">L50/H50-1</f>
        <v>0.19474200611337089</v>
      </c>
      <c r="M51" s="54">
        <f t="shared" ref="M51" si="71">M50/I50-1</f>
        <v>0.10355770766648376</v>
      </c>
      <c r="N51" s="54">
        <f t="shared" ref="N51" si="72">N50/J50-1</f>
        <v>5.8871707324870126E-3</v>
      </c>
      <c r="O51" s="54">
        <v>-0.1</v>
      </c>
      <c r="P51" s="54">
        <v>-0.05</v>
      </c>
      <c r="Q51" s="54">
        <v>-0.05</v>
      </c>
      <c r="R51" s="54">
        <v>-0.03</v>
      </c>
      <c r="S51" s="54">
        <v>-0.03</v>
      </c>
      <c r="T51" s="54">
        <v>-0.03</v>
      </c>
      <c r="U51" s="54">
        <v>-0.03</v>
      </c>
      <c r="V51" s="54">
        <v>-0.03</v>
      </c>
      <c r="W51" s="54">
        <v>-0.03</v>
      </c>
      <c r="X51" s="54">
        <v>-0.03</v>
      </c>
      <c r="Y51" s="54">
        <v>-0.03</v>
      </c>
    </row>
    <row r="52" spans="1:37" s="8" customFormat="1">
      <c r="A52" s="8" t="s">
        <v>77</v>
      </c>
      <c r="B52" s="48"/>
      <c r="C52" s="9"/>
      <c r="D52" s="9"/>
      <c r="E52" s="9"/>
      <c r="F52" s="10"/>
      <c r="G52" s="10">
        <f t="shared" ref="G52" si="73">AVERAGE(F50:G50)</f>
        <v>5.8337446477643091</v>
      </c>
      <c r="H52" s="10">
        <f t="shared" ref="H52" si="74">AVERAGE(G50:H50)</f>
        <v>6.2228084012937277</v>
      </c>
      <c r="I52" s="10">
        <f t="shared" ref="I52" si="75">AVERAGE(H50:I50)</f>
        <v>7.4246941376380633</v>
      </c>
      <c r="J52" s="10">
        <f t="shared" ref="J52" si="76">AVERAGE(I50:J50)</f>
        <v>7.8060540184453231</v>
      </c>
      <c r="K52" s="10">
        <f t="shared" ref="K52" si="77">AVERAGE(J50:K50)</f>
        <v>7.7580366654279693</v>
      </c>
      <c r="L52" s="10">
        <f t="shared" ref="L52" si="78">AVERAGE(K50:L50)</f>
        <v>8.0203870823982548</v>
      </c>
      <c r="M52" s="10">
        <f t="shared" ref="M52" si="79">AVERAGE(L50:M50)</f>
        <v>8.4949837381926834</v>
      </c>
      <c r="N52" s="10">
        <f>AVERAGE(M50:N50)</f>
        <v>8.2543382105359822</v>
      </c>
      <c r="O52" s="10">
        <f t="shared" ref="O52:Y52" si="80">AVERAGE(N50:O50)</f>
        <v>7.5649548396808672</v>
      </c>
      <c r="P52" s="10">
        <f t="shared" si="80"/>
        <v>7.6081422667789091</v>
      </c>
      <c r="Q52" s="10">
        <f t="shared" si="80"/>
        <v>8.0702345512830487</v>
      </c>
      <c r="R52" s="10">
        <f t="shared" si="80"/>
        <v>7.9157916296795126</v>
      </c>
      <c r="S52" s="10">
        <f t="shared" si="80"/>
        <v>7.3380061944904416</v>
      </c>
      <c r="T52" s="10">
        <f t="shared" si="80"/>
        <v>7.379897998775542</v>
      </c>
      <c r="U52" s="10">
        <f t="shared" si="80"/>
        <v>7.8281275147445575</v>
      </c>
      <c r="V52" s="10">
        <f t="shared" si="80"/>
        <v>7.6783178807891268</v>
      </c>
      <c r="W52" s="10">
        <f t="shared" si="80"/>
        <v>7.1178660086557279</v>
      </c>
      <c r="X52" s="10">
        <f t="shared" si="80"/>
        <v>7.1585010588122753</v>
      </c>
      <c r="Y52" s="10">
        <f t="shared" si="80"/>
        <v>7.5932836893022202</v>
      </c>
    </row>
    <row r="53" spans="1:37" s="11" customFormat="1">
      <c r="A53" s="11" t="s">
        <v>137</v>
      </c>
      <c r="B53" s="50"/>
      <c r="C53" s="12"/>
      <c r="D53" s="12"/>
      <c r="E53" s="12"/>
      <c r="F53" s="13"/>
      <c r="G53" s="12"/>
      <c r="H53" s="12"/>
      <c r="I53" s="12"/>
      <c r="J53" s="12"/>
      <c r="K53" s="14">
        <f t="shared" ref="K53" si="81">K52/G52-1</f>
        <v>0.32985537315232238</v>
      </c>
      <c r="L53" s="14">
        <f t="shared" ref="L53" si="82">L52/H52-1</f>
        <v>0.28886936013180309</v>
      </c>
      <c r="M53" s="14">
        <f t="shared" ref="M53" si="83">M52/I52-1</f>
        <v>0.14415268571522599</v>
      </c>
      <c r="N53" s="14">
        <f>N52/J52-1</f>
        <v>5.7427759407171042E-2</v>
      </c>
      <c r="O53" s="14">
        <f t="shared" ref="O53:Y53" si="84">O52/K52-1</f>
        <v>-2.4887975408459995E-2</v>
      </c>
      <c r="P53" s="14">
        <f t="shared" si="84"/>
        <v>-5.1399615926775999E-2</v>
      </c>
      <c r="Q53" s="14">
        <f t="shared" si="84"/>
        <v>-5.0000000000000044E-2</v>
      </c>
      <c r="R53" s="14">
        <f t="shared" si="84"/>
        <v>-4.1014382040263753E-2</v>
      </c>
      <c r="S53" s="14">
        <f t="shared" si="84"/>
        <v>-2.9999999999999916E-2</v>
      </c>
      <c r="T53" s="14">
        <f t="shared" si="84"/>
        <v>-3.0000000000000027E-2</v>
      </c>
      <c r="U53" s="14">
        <f t="shared" si="84"/>
        <v>-2.9999999999999916E-2</v>
      </c>
      <c r="V53" s="14">
        <f t="shared" si="84"/>
        <v>-3.0000000000000027E-2</v>
      </c>
      <c r="W53" s="14">
        <f t="shared" si="84"/>
        <v>-3.0000000000000027E-2</v>
      </c>
      <c r="X53" s="14">
        <f t="shared" si="84"/>
        <v>-3.0000000000000027E-2</v>
      </c>
      <c r="Y53" s="14">
        <f t="shared" si="84"/>
        <v>-3.0000000000000027E-2</v>
      </c>
    </row>
    <row r="54" spans="1:37" s="8" customFormat="1">
      <c r="A54" s="11"/>
      <c r="B54" s="48"/>
      <c r="C54" s="9"/>
      <c r="D54" s="9"/>
      <c r="E54" s="9"/>
      <c r="F54" s="10"/>
      <c r="G54" s="10"/>
      <c r="H54" s="10"/>
      <c r="I54" s="10"/>
      <c r="J54" s="49"/>
      <c r="K54" s="49"/>
      <c r="L54" s="49"/>
      <c r="M54" s="49"/>
      <c r="N54" s="49"/>
      <c r="O54" s="9"/>
      <c r="P54" s="9"/>
      <c r="Q54" s="9"/>
      <c r="R54" s="9"/>
      <c r="S54" s="9"/>
      <c r="T54" s="9"/>
    </row>
    <row r="55" spans="1:37" s="8" customFormat="1">
      <c r="A55" s="8" t="s">
        <v>63</v>
      </c>
      <c r="B55" s="48"/>
      <c r="C55" s="9"/>
      <c r="D55" s="9"/>
      <c r="E55" s="9"/>
      <c r="F55" s="10">
        <f t="shared" ref="F55:N55" si="85">+F79/F14</f>
        <v>7.3898305084745761</v>
      </c>
      <c r="G55" s="10">
        <f t="shared" si="85"/>
        <v>7.4174089068825912</v>
      </c>
      <c r="H55" s="10">
        <f t="shared" si="85"/>
        <v>8.3547244094488189</v>
      </c>
      <c r="I55" s="10">
        <f t="shared" si="85"/>
        <v>10.456538461538461</v>
      </c>
      <c r="J55" s="10">
        <f t="shared" si="85"/>
        <v>9.3525735294117656</v>
      </c>
      <c r="K55" s="10">
        <f t="shared" si="85"/>
        <v>10.355072463768115</v>
      </c>
      <c r="L55" s="10">
        <f t="shared" si="85"/>
        <v>10.062633451957295</v>
      </c>
      <c r="M55" s="10">
        <f t="shared" si="85"/>
        <v>11.574113475177304</v>
      </c>
      <c r="N55" s="10">
        <f t="shared" si="85"/>
        <v>9.4069686411149824</v>
      </c>
      <c r="O55" s="10">
        <f t="shared" ref="O55:Y55" si="86">O79/O14</f>
        <v>9.7750000000000004</v>
      </c>
      <c r="P55" s="10">
        <f t="shared" si="86"/>
        <v>9.5595017793594295</v>
      </c>
      <c r="Q55" s="10">
        <f t="shared" si="86"/>
        <v>10.995407801418438</v>
      </c>
      <c r="R55" s="10">
        <f t="shared" si="86"/>
        <v>9.1247595818815341</v>
      </c>
      <c r="S55" s="10">
        <f t="shared" si="86"/>
        <v>9.4817499999999999</v>
      </c>
      <c r="T55" s="10">
        <f t="shared" si="86"/>
        <v>9.2727167259786469</v>
      </c>
      <c r="U55" s="10">
        <f t="shared" si="86"/>
        <v>10.665545567375885</v>
      </c>
      <c r="V55" s="10">
        <f t="shared" si="86"/>
        <v>8.8510167944250888</v>
      </c>
      <c r="W55" s="10">
        <f t="shared" si="86"/>
        <v>9.1972974999999995</v>
      </c>
      <c r="X55" s="10">
        <f t="shared" si="86"/>
        <v>8.9945352241992875</v>
      </c>
      <c r="Y55" s="10">
        <f t="shared" si="86"/>
        <v>10.345579200354608</v>
      </c>
      <c r="AF55" s="8">
        <f>SUM(F55:I55)</f>
        <v>33.618502286344452</v>
      </c>
      <c r="AG55" s="8">
        <f>SUM(J55:M55)</f>
        <v>41.344392920314483</v>
      </c>
      <c r="AH55" s="8">
        <f>SUM(N55:Q55)</f>
        <v>39.736878221892852</v>
      </c>
      <c r="AI55" s="8">
        <f>SUM(N55:Q55)</f>
        <v>39.736878221892852</v>
      </c>
      <c r="AJ55" s="8">
        <f>SUM(R55:U55)</f>
        <v>38.544771875236066</v>
      </c>
      <c r="AK55" s="8">
        <f>SUM(V55:Y55)</f>
        <v>37.388428718978986</v>
      </c>
    </row>
    <row r="56" spans="1:37" s="11" customFormat="1">
      <c r="A56" s="11" t="s">
        <v>137</v>
      </c>
      <c r="B56" s="50"/>
      <c r="C56" s="12"/>
      <c r="D56" s="12"/>
      <c r="E56" s="12"/>
      <c r="F56" s="13"/>
      <c r="G56" s="13"/>
      <c r="H56" s="13"/>
      <c r="I56" s="13"/>
      <c r="J56" s="54">
        <f>J55/F55-1</f>
        <v>0.26560054641122521</v>
      </c>
      <c r="K56" s="54">
        <f t="shared" ref="K56:N56" si="87">K55/G55-1</f>
        <v>0.39604983273332484</v>
      </c>
      <c r="L56" s="54">
        <f t="shared" si="87"/>
        <v>0.20442434230109452</v>
      </c>
      <c r="M56" s="54">
        <f t="shared" si="87"/>
        <v>0.10687810480968829</v>
      </c>
      <c r="N56" s="54">
        <f t="shared" si="87"/>
        <v>5.8160581718129656E-3</v>
      </c>
      <c r="O56" s="54">
        <f>O55/K55-1</f>
        <v>-5.6018194541637367E-2</v>
      </c>
      <c r="P56" s="54">
        <f t="shared" ref="P56:Y56" si="88">P55/L55-1</f>
        <v>-5.0000000000000044E-2</v>
      </c>
      <c r="Q56" s="54">
        <f t="shared" si="88"/>
        <v>-5.0000000000000155E-2</v>
      </c>
      <c r="R56" s="54">
        <f t="shared" si="88"/>
        <v>-2.9999999999999916E-2</v>
      </c>
      <c r="S56" s="54">
        <f t="shared" si="88"/>
        <v>-3.0000000000000027E-2</v>
      </c>
      <c r="T56" s="54">
        <f t="shared" si="88"/>
        <v>-2.9999999999999916E-2</v>
      </c>
      <c r="U56" s="54">
        <f t="shared" si="88"/>
        <v>-2.9999999999999916E-2</v>
      </c>
      <c r="V56" s="54">
        <f t="shared" si="88"/>
        <v>-2.9999999999999916E-2</v>
      </c>
      <c r="W56" s="54">
        <f t="shared" si="88"/>
        <v>-3.0000000000000027E-2</v>
      </c>
      <c r="X56" s="54">
        <f t="shared" si="88"/>
        <v>-3.0000000000000027E-2</v>
      </c>
      <c r="Y56" s="54">
        <f t="shared" si="88"/>
        <v>-3.0000000000000027E-2</v>
      </c>
    </row>
    <row r="57" spans="1:37" s="8" customFormat="1">
      <c r="A57" s="8" t="s">
        <v>77</v>
      </c>
      <c r="B57" s="48"/>
      <c r="C57" s="9"/>
      <c r="D57" s="9"/>
      <c r="E57" s="9"/>
      <c r="F57" s="10"/>
      <c r="G57" s="10">
        <f t="shared" ref="G57:M57" si="89">AVERAGE(F55:G55)</f>
        <v>7.4036197076785832</v>
      </c>
      <c r="H57" s="10">
        <f t="shared" si="89"/>
        <v>7.8860666581657046</v>
      </c>
      <c r="I57" s="10">
        <f t="shared" si="89"/>
        <v>9.405631435493639</v>
      </c>
      <c r="J57" s="10">
        <f t="shared" si="89"/>
        <v>9.9045559954751141</v>
      </c>
      <c r="K57" s="10">
        <f t="shared" si="89"/>
        <v>9.8538229965899404</v>
      </c>
      <c r="L57" s="10">
        <f t="shared" si="89"/>
        <v>10.208852957862705</v>
      </c>
      <c r="M57" s="10">
        <f t="shared" si="89"/>
        <v>10.818373463567299</v>
      </c>
      <c r="N57" s="10">
        <f>AVERAGE(M55:N55)</f>
        <v>10.490541058146142</v>
      </c>
      <c r="O57" s="10">
        <f t="shared" ref="O57:Y57" si="90">AVERAGE(N55:O55)</f>
        <v>9.5909843205574923</v>
      </c>
      <c r="P57" s="10">
        <f t="shared" si="90"/>
        <v>9.667250889679714</v>
      </c>
      <c r="Q57" s="10">
        <f t="shared" si="90"/>
        <v>10.277454790388934</v>
      </c>
      <c r="R57" s="10">
        <f t="shared" si="90"/>
        <v>10.060083691649986</v>
      </c>
      <c r="S57" s="10">
        <f t="shared" si="90"/>
        <v>9.3032547909407661</v>
      </c>
      <c r="T57" s="10">
        <f t="shared" si="90"/>
        <v>9.3772333629893225</v>
      </c>
      <c r="U57" s="10">
        <f t="shared" si="90"/>
        <v>9.9691311466772667</v>
      </c>
      <c r="V57" s="10">
        <f t="shared" si="90"/>
        <v>9.7582811809004859</v>
      </c>
      <c r="W57" s="10">
        <f t="shared" si="90"/>
        <v>9.024157147212545</v>
      </c>
      <c r="X57" s="10">
        <f t="shared" si="90"/>
        <v>9.0959163620996435</v>
      </c>
      <c r="Y57" s="10">
        <f t="shared" si="90"/>
        <v>9.6700572122769479</v>
      </c>
    </row>
    <row r="58" spans="1:37" s="11" customFormat="1">
      <c r="A58" s="11" t="s">
        <v>137</v>
      </c>
      <c r="B58" s="50"/>
      <c r="C58" s="12"/>
      <c r="D58" s="12"/>
      <c r="E58" s="12"/>
      <c r="F58" s="12"/>
      <c r="G58" s="12"/>
      <c r="H58" s="12"/>
      <c r="I58" s="12"/>
      <c r="J58" s="12"/>
      <c r="K58" s="14">
        <f t="shared" ref="K58:M58" si="91">K57/G57-1</f>
        <v>0.33094667009573109</v>
      </c>
      <c r="L58" s="14">
        <f t="shared" si="91"/>
        <v>0.29454307202588104</v>
      </c>
      <c r="M58" s="14">
        <f t="shared" si="91"/>
        <v>0.15020172093310546</v>
      </c>
      <c r="N58" s="14">
        <f>N57/J57-1</f>
        <v>5.9163183381338413E-2</v>
      </c>
      <c r="O58" s="14">
        <f t="shared" ref="O58:Y58" si="92">O57/K57-1</f>
        <v>-2.6673776880648981E-2</v>
      </c>
      <c r="P58" s="14">
        <f t="shared" si="92"/>
        <v>-5.3052196012467467E-2</v>
      </c>
      <c r="Q58" s="14">
        <f t="shared" si="92"/>
        <v>-5.0000000000000044E-2</v>
      </c>
      <c r="R58" s="14">
        <f t="shared" si="92"/>
        <v>-4.1032904223933908E-2</v>
      </c>
      <c r="S58" s="14">
        <f t="shared" si="92"/>
        <v>-3.0000000000000138E-2</v>
      </c>
      <c r="T58" s="14">
        <f t="shared" si="92"/>
        <v>-3.0000000000000027E-2</v>
      </c>
      <c r="U58" s="14">
        <f t="shared" si="92"/>
        <v>-2.9999999999999916E-2</v>
      </c>
      <c r="V58" s="14">
        <f t="shared" si="92"/>
        <v>-3.0000000000000027E-2</v>
      </c>
      <c r="W58" s="14">
        <f t="shared" si="92"/>
        <v>-2.9999999999999805E-2</v>
      </c>
      <c r="X58" s="14">
        <f t="shared" si="92"/>
        <v>-2.9999999999999916E-2</v>
      </c>
      <c r="Y58" s="14">
        <f t="shared" si="92"/>
        <v>-3.0000000000000027E-2</v>
      </c>
    </row>
    <row r="59" spans="1:37" s="11" customFormat="1">
      <c r="B59" s="50"/>
      <c r="C59" s="12"/>
      <c r="D59" s="12"/>
      <c r="E59" s="12"/>
      <c r="F59" s="12"/>
      <c r="G59" s="12"/>
      <c r="H59" s="12"/>
      <c r="I59" s="12"/>
      <c r="J59" s="12"/>
      <c r="K59" s="14"/>
      <c r="L59" s="14"/>
      <c r="M59" s="14"/>
      <c r="N59" s="14"/>
      <c r="O59" s="14"/>
      <c r="P59" s="14"/>
      <c r="Q59" s="14"/>
      <c r="R59" s="14"/>
      <c r="S59" s="14"/>
      <c r="T59" s="14"/>
      <c r="U59" s="14"/>
      <c r="V59" s="14"/>
      <c r="W59" s="14"/>
      <c r="X59" s="14"/>
      <c r="Y59" s="14"/>
    </row>
    <row r="60" spans="1:37" s="15" customFormat="1">
      <c r="A60" s="15" t="s">
        <v>153</v>
      </c>
      <c r="B60" s="16"/>
      <c r="C60" s="16"/>
      <c r="D60" s="16"/>
      <c r="E60" s="16"/>
      <c r="F60" s="16"/>
      <c r="G60" s="16"/>
      <c r="H60" s="16"/>
      <c r="I60" s="16"/>
      <c r="J60" s="16"/>
      <c r="K60" s="16"/>
      <c r="L60" s="16"/>
      <c r="M60" s="16"/>
      <c r="N60" s="83"/>
      <c r="O60" s="16"/>
      <c r="P60" s="16"/>
      <c r="Q60" s="16"/>
      <c r="R60" s="16"/>
      <c r="S60" s="16"/>
      <c r="T60" s="16"/>
    </row>
    <row r="61" spans="1:37" s="8" customFormat="1">
      <c r="A61" s="8" t="s">
        <v>73</v>
      </c>
      <c r="B61" s="48"/>
      <c r="C61" s="9"/>
      <c r="D61" s="9"/>
      <c r="E61" s="9"/>
      <c r="F61" s="9">
        <v>1654</v>
      </c>
      <c r="G61" s="9">
        <v>1539</v>
      </c>
      <c r="H61" s="9">
        <v>1980</v>
      </c>
      <c r="I61" s="9">
        <v>2512</v>
      </c>
      <c r="J61" s="9">
        <v>2434</v>
      </c>
      <c r="K61" s="9">
        <v>2857</v>
      </c>
      <c r="L61" s="9">
        <v>2963</v>
      </c>
      <c r="M61" s="9">
        <v>3220</v>
      </c>
      <c r="N61" s="9">
        <v>2949</v>
      </c>
      <c r="O61" s="9">
        <f t="shared" ref="O61:Y61" si="93">O$79-SUM(O64,O67,O70)</f>
        <v>3378.239999999998</v>
      </c>
      <c r="P61" s="9">
        <f t="shared" si="93"/>
        <v>3191.2293600000012</v>
      </c>
      <c r="Q61" s="9">
        <f t="shared" si="93"/>
        <v>3683.6375399999997</v>
      </c>
      <c r="R61" s="9">
        <f t="shared" si="93"/>
        <v>3142.5672000000013</v>
      </c>
      <c r="S61" s="9">
        <f t="shared" si="93"/>
        <v>3276.8927999999978</v>
      </c>
      <c r="T61" s="9">
        <f t="shared" si="93"/>
        <v>3095.4924791999983</v>
      </c>
      <c r="U61" s="9">
        <f t="shared" si="93"/>
        <v>3573.128413800001</v>
      </c>
      <c r="V61" s="9">
        <f t="shared" si="93"/>
        <v>3078.7730858399991</v>
      </c>
      <c r="W61" s="9">
        <f t="shared" si="93"/>
        <v>3210.3718761599994</v>
      </c>
      <c r="X61" s="9">
        <f t="shared" si="93"/>
        <v>3032.6539818722413</v>
      </c>
      <c r="Y61" s="9">
        <f t="shared" si="93"/>
        <v>3500.5939069998603</v>
      </c>
      <c r="AF61" s="8">
        <f>SUM(F61:I61)</f>
        <v>7685</v>
      </c>
      <c r="AG61" s="8">
        <f>SUM(J61:M61)</f>
        <v>11474</v>
      </c>
      <c r="AH61" s="8">
        <f>SUM(N61:Q61)</f>
        <v>13202.106899999999</v>
      </c>
      <c r="AI61" s="8">
        <f>SUM(N61:Q61)</f>
        <v>13202.106899999999</v>
      </c>
      <c r="AJ61" s="8">
        <f>SUM(R61:U61)</f>
        <v>13088.080892999998</v>
      </c>
      <c r="AK61" s="8">
        <f>SUM(V61:Y61)</f>
        <v>12822.3928508721</v>
      </c>
    </row>
    <row r="62" spans="1:37" s="11" customFormat="1">
      <c r="A62" s="11" t="s">
        <v>152</v>
      </c>
      <c r="B62" s="50"/>
      <c r="C62" s="12"/>
      <c r="D62" s="12"/>
      <c r="E62" s="12"/>
      <c r="F62" s="54">
        <f t="shared" ref="F62:N62" si="94">F61/F$79</f>
        <v>9.4839449541284399E-2</v>
      </c>
      <c r="G62" s="54">
        <f t="shared" si="94"/>
        <v>8.4001964958244635E-2</v>
      </c>
      <c r="H62" s="54">
        <f t="shared" si="94"/>
        <v>9.3303802836812597E-2</v>
      </c>
      <c r="I62" s="54">
        <f t="shared" si="94"/>
        <v>9.239710155589069E-2</v>
      </c>
      <c r="J62" s="54">
        <f t="shared" si="94"/>
        <v>9.5679861629781052E-2</v>
      </c>
      <c r="K62" s="54">
        <f t="shared" si="94"/>
        <v>9.9965010496850942E-2</v>
      </c>
      <c r="L62" s="54">
        <f t="shared" si="94"/>
        <v>0.10478851322676475</v>
      </c>
      <c r="M62" s="54">
        <f t="shared" si="94"/>
        <v>9.8654983302184501E-2</v>
      </c>
      <c r="N62" s="54">
        <f t="shared" si="94"/>
        <v>0.10923031335654493</v>
      </c>
      <c r="O62" s="54">
        <f t="shared" ref="O62:Y62" si="95">O61/O79</f>
        <v>0.11999999999999993</v>
      </c>
      <c r="P62" s="54">
        <f t="shared" si="95"/>
        <v>0.12000000000000005</v>
      </c>
      <c r="Q62" s="54">
        <f t="shared" si="95"/>
        <v>0.12</v>
      </c>
      <c r="R62" s="54">
        <f t="shared" si="95"/>
        <v>0.12000000000000005</v>
      </c>
      <c r="S62" s="54">
        <f t="shared" si="95"/>
        <v>0.11999999999999993</v>
      </c>
      <c r="T62" s="54">
        <f t="shared" si="95"/>
        <v>0.11999999999999994</v>
      </c>
      <c r="U62" s="54">
        <f t="shared" si="95"/>
        <v>0.12000000000000004</v>
      </c>
      <c r="V62" s="54">
        <f t="shared" si="95"/>
        <v>0.11999999999999995</v>
      </c>
      <c r="W62" s="54">
        <f t="shared" si="95"/>
        <v>0.11999999999999998</v>
      </c>
      <c r="X62" s="54">
        <f t="shared" si="95"/>
        <v>0.12000000000000006</v>
      </c>
      <c r="Y62" s="54">
        <f t="shared" si="95"/>
        <v>0.12000000000000001</v>
      </c>
    </row>
    <row r="63" spans="1:37" s="11" customFormat="1">
      <c r="B63" s="50"/>
      <c r="C63" s="12"/>
      <c r="D63" s="12"/>
      <c r="E63" s="12"/>
      <c r="F63" s="54"/>
      <c r="G63" s="54"/>
      <c r="H63" s="54"/>
      <c r="I63" s="54"/>
      <c r="J63" s="54"/>
      <c r="K63" s="54"/>
      <c r="L63" s="54"/>
      <c r="M63" s="54"/>
      <c r="N63" s="54"/>
      <c r="O63" s="54"/>
      <c r="P63" s="54"/>
      <c r="Q63" s="54"/>
      <c r="R63" s="54"/>
      <c r="S63" s="54"/>
      <c r="T63" s="54"/>
      <c r="U63" s="54"/>
      <c r="V63" s="54"/>
      <c r="W63" s="54"/>
      <c r="X63" s="54"/>
      <c r="Y63" s="54"/>
    </row>
    <row r="64" spans="1:37" s="8" customFormat="1">
      <c r="A64" s="8" t="s">
        <v>84</v>
      </c>
      <c r="B64" s="48"/>
      <c r="C64" s="9"/>
      <c r="D64" s="9"/>
      <c r="E64" s="9"/>
      <c r="F64" s="9">
        <v>3236</v>
      </c>
      <c r="G64" s="9">
        <v>3312</v>
      </c>
      <c r="H64" s="9">
        <v>4202</v>
      </c>
      <c r="I64" s="9">
        <v>4703</v>
      </c>
      <c r="J64" s="9">
        <v>4735</v>
      </c>
      <c r="K64" s="9">
        <v>5152</v>
      </c>
      <c r="L64" s="9">
        <v>5398</v>
      </c>
      <c r="M64" s="9">
        <v>6183</v>
      </c>
      <c r="N64" s="9">
        <v>5661</v>
      </c>
      <c r="O64" s="9">
        <f t="shared" ref="O64:Y64" si="96">O$79*O65</f>
        <v>5348.88</v>
      </c>
      <c r="P64" s="9">
        <f t="shared" si="96"/>
        <v>5052.7798199999997</v>
      </c>
      <c r="Q64" s="9">
        <f t="shared" si="96"/>
        <v>5832.4261049999996</v>
      </c>
      <c r="R64" s="9">
        <f t="shared" si="96"/>
        <v>4975.7314000000006</v>
      </c>
      <c r="S64" s="9">
        <f t="shared" si="96"/>
        <v>5188.4135999999999</v>
      </c>
      <c r="T64" s="9">
        <f t="shared" si="96"/>
        <v>4901.1964253999995</v>
      </c>
      <c r="U64" s="9">
        <f t="shared" si="96"/>
        <v>5657.4533218500001</v>
      </c>
      <c r="V64" s="9">
        <f t="shared" si="96"/>
        <v>4874.7240525800007</v>
      </c>
      <c r="W64" s="9">
        <f t="shared" si="96"/>
        <v>5083.0888039199999</v>
      </c>
      <c r="X64" s="9">
        <f t="shared" si="96"/>
        <v>4801.7021379643793</v>
      </c>
      <c r="Y64" s="9">
        <f t="shared" si="96"/>
        <v>5542.6070194164449</v>
      </c>
      <c r="AF64" s="8">
        <f>SUM(F64:I64)</f>
        <v>15453</v>
      </c>
      <c r="AG64" s="8">
        <f>SUM(J64:M64)</f>
        <v>21468</v>
      </c>
      <c r="AH64" s="8">
        <f>SUM(N64:Q64)</f>
        <v>21895.085924999999</v>
      </c>
      <c r="AI64" s="8">
        <f>SUM(N64:Q64)</f>
        <v>21895.085924999999</v>
      </c>
      <c r="AJ64" s="8">
        <f>SUM(R64:U64)</f>
        <v>20722.794747250002</v>
      </c>
      <c r="AK64" s="8">
        <f>SUM(V64:Y64)</f>
        <v>20302.122013880824</v>
      </c>
    </row>
    <row r="65" spans="1:37" s="11" customFormat="1">
      <c r="A65" s="11" t="s">
        <v>152</v>
      </c>
      <c r="B65" s="50"/>
      <c r="C65" s="12"/>
      <c r="D65" s="12"/>
      <c r="E65" s="12"/>
      <c r="F65" s="54">
        <f t="shared" ref="F65:N65" si="97">F64/F$79</f>
        <v>0.18555045871559633</v>
      </c>
      <c r="G65" s="54">
        <f t="shared" si="97"/>
        <v>0.18077615850663173</v>
      </c>
      <c r="H65" s="54">
        <f t="shared" si="97"/>
        <v>0.19801140379812449</v>
      </c>
      <c r="I65" s="54">
        <f t="shared" si="97"/>
        <v>0.17298708941773641</v>
      </c>
      <c r="J65" s="54">
        <f t="shared" si="97"/>
        <v>0.18613153032744997</v>
      </c>
      <c r="K65" s="54">
        <f t="shared" si="97"/>
        <v>0.18026592022393281</v>
      </c>
      <c r="L65" s="54">
        <f t="shared" si="97"/>
        <v>0.19090394681001557</v>
      </c>
      <c r="M65" s="54">
        <f t="shared" si="97"/>
        <v>0.18943595085633752</v>
      </c>
      <c r="N65" s="54">
        <f t="shared" si="97"/>
        <v>0.2096821986813838</v>
      </c>
      <c r="O65" s="54">
        <v>0.19</v>
      </c>
      <c r="P65" s="54">
        <v>0.19</v>
      </c>
      <c r="Q65" s="54">
        <v>0.19</v>
      </c>
      <c r="R65" s="54">
        <v>0.19</v>
      </c>
      <c r="S65" s="54">
        <v>0.19</v>
      </c>
      <c r="T65" s="54">
        <v>0.19</v>
      </c>
      <c r="U65" s="54">
        <v>0.19</v>
      </c>
      <c r="V65" s="54">
        <v>0.19</v>
      </c>
      <c r="W65" s="54">
        <v>0.19</v>
      </c>
      <c r="X65" s="54">
        <v>0.19</v>
      </c>
      <c r="Y65" s="54">
        <v>0.19</v>
      </c>
    </row>
    <row r="66" spans="1:37" s="11" customFormat="1">
      <c r="B66" s="50"/>
      <c r="C66" s="12"/>
      <c r="D66" s="12"/>
      <c r="E66" s="12"/>
      <c r="F66" s="54"/>
      <c r="G66" s="54"/>
      <c r="H66" s="54"/>
      <c r="I66" s="54"/>
      <c r="J66" s="54"/>
      <c r="K66" s="54"/>
      <c r="L66" s="54"/>
      <c r="M66" s="54"/>
      <c r="N66" s="54"/>
      <c r="O66" s="54"/>
      <c r="P66" s="54"/>
      <c r="Q66" s="54"/>
      <c r="R66" s="54"/>
      <c r="S66" s="54"/>
      <c r="T66" s="54"/>
      <c r="U66" s="54"/>
      <c r="V66" s="54"/>
      <c r="W66" s="54"/>
      <c r="X66" s="54"/>
      <c r="Y66" s="54"/>
    </row>
    <row r="67" spans="1:37" s="8" customFormat="1">
      <c r="A67" s="8" t="s">
        <v>81</v>
      </c>
      <c r="B67" s="48"/>
      <c r="C67" s="9"/>
      <c r="D67" s="9"/>
      <c r="E67" s="9"/>
      <c r="F67" s="9">
        <v>4171</v>
      </c>
      <c r="G67" s="9">
        <v>4411</v>
      </c>
      <c r="H67" s="9">
        <v>5051</v>
      </c>
      <c r="I67" s="9">
        <v>6822</v>
      </c>
      <c r="J67" s="9">
        <v>6373</v>
      </c>
      <c r="K67" s="9">
        <v>7205</v>
      </c>
      <c r="L67" s="9">
        <v>6821</v>
      </c>
      <c r="M67" s="9">
        <v>8174</v>
      </c>
      <c r="N67" s="9">
        <v>6364</v>
      </c>
      <c r="O67" s="9">
        <f t="shared" ref="O67:Y67" si="98">O$79*O68</f>
        <v>6756.48</v>
      </c>
      <c r="P67" s="9">
        <f t="shared" si="98"/>
        <v>6382.4587199999996</v>
      </c>
      <c r="Q67" s="9">
        <f t="shared" si="98"/>
        <v>7367.2750799999994</v>
      </c>
      <c r="R67" s="9">
        <f t="shared" si="98"/>
        <v>6285.1343999999999</v>
      </c>
      <c r="S67" s="9">
        <f t="shared" si="98"/>
        <v>6553.7855999999992</v>
      </c>
      <c r="T67" s="9">
        <f t="shared" si="98"/>
        <v>6190.9849583999994</v>
      </c>
      <c r="U67" s="9">
        <f t="shared" si="98"/>
        <v>7146.2568275999993</v>
      </c>
      <c r="V67" s="9">
        <f t="shared" si="98"/>
        <v>6157.54617168</v>
      </c>
      <c r="W67" s="9">
        <f t="shared" si="98"/>
        <v>6420.7437523199997</v>
      </c>
      <c r="X67" s="9">
        <f t="shared" si="98"/>
        <v>6065.3079637444789</v>
      </c>
      <c r="Y67" s="9">
        <f t="shared" si="98"/>
        <v>7001.1878139997198</v>
      </c>
      <c r="AF67" s="8">
        <f>SUM(F67:I67)</f>
        <v>20455</v>
      </c>
      <c r="AG67" s="8">
        <f>SUM(J67:M67)</f>
        <v>28573</v>
      </c>
      <c r="AH67" s="8">
        <f>SUM(N67:Q67)</f>
        <v>26870.213799999998</v>
      </c>
      <c r="AI67" s="8">
        <f>SUM(N67:Q67)</f>
        <v>26870.213799999998</v>
      </c>
      <c r="AJ67" s="8">
        <f>SUM(R67:U67)</f>
        <v>26176.161785999997</v>
      </c>
      <c r="AK67" s="8">
        <f>SUM(V67:Y67)</f>
        <v>25644.7857017442</v>
      </c>
    </row>
    <row r="68" spans="1:37" s="11" customFormat="1">
      <c r="A68" s="11" t="s">
        <v>152</v>
      </c>
      <c r="B68" s="50"/>
      <c r="C68" s="12"/>
      <c r="D68" s="12"/>
      <c r="E68" s="12"/>
      <c r="F68" s="54">
        <f t="shared" ref="F68:N68" si="99">F67/F$79</f>
        <v>0.23916284403669724</v>
      </c>
      <c r="G68" s="54">
        <f t="shared" si="99"/>
        <v>0.24076196714153159</v>
      </c>
      <c r="H68" s="54">
        <f t="shared" si="99"/>
        <v>0.23801894349936384</v>
      </c>
      <c r="I68" s="54">
        <f t="shared" si="99"/>
        <v>0.25092875271269355</v>
      </c>
      <c r="J68" s="54">
        <f t="shared" si="99"/>
        <v>0.2505208538071465</v>
      </c>
      <c r="K68" s="54">
        <f t="shared" si="99"/>
        <v>0.25209937018894329</v>
      </c>
      <c r="L68" s="54">
        <f t="shared" si="99"/>
        <v>0.24122931107653134</v>
      </c>
      <c r="M68" s="54">
        <f t="shared" si="99"/>
        <v>0.25043659425840253</v>
      </c>
      <c r="N68" s="54">
        <f t="shared" si="99"/>
        <v>0.23572116453070599</v>
      </c>
      <c r="O68" s="54">
        <v>0.24</v>
      </c>
      <c r="P68" s="54">
        <v>0.24</v>
      </c>
      <c r="Q68" s="54">
        <v>0.24</v>
      </c>
      <c r="R68" s="54">
        <v>0.24</v>
      </c>
      <c r="S68" s="54">
        <v>0.24</v>
      </c>
      <c r="T68" s="54">
        <v>0.24</v>
      </c>
      <c r="U68" s="54">
        <v>0.24</v>
      </c>
      <c r="V68" s="54">
        <v>0.24</v>
      </c>
      <c r="W68" s="54">
        <v>0.24</v>
      </c>
      <c r="X68" s="54">
        <v>0.24</v>
      </c>
      <c r="Y68" s="54">
        <v>0.24</v>
      </c>
    </row>
    <row r="69" spans="1:37" s="11" customFormat="1">
      <c r="B69" s="50"/>
      <c r="C69" s="12"/>
      <c r="D69" s="12"/>
      <c r="E69" s="12"/>
      <c r="F69" s="54"/>
      <c r="G69" s="54"/>
      <c r="H69" s="54"/>
      <c r="I69" s="54"/>
      <c r="J69" s="54"/>
      <c r="K69" s="54"/>
      <c r="L69" s="54"/>
      <c r="M69" s="54"/>
      <c r="N69" s="54"/>
      <c r="O69" s="54"/>
      <c r="P69" s="54"/>
      <c r="Q69" s="54"/>
      <c r="R69" s="54"/>
      <c r="S69" s="54"/>
      <c r="T69" s="54"/>
      <c r="U69" s="54"/>
      <c r="V69" s="54"/>
      <c r="W69" s="54"/>
      <c r="X69" s="54"/>
      <c r="Y69" s="54"/>
    </row>
    <row r="70" spans="1:37" s="8" customFormat="1">
      <c r="A70" s="8" t="s">
        <v>80</v>
      </c>
      <c r="B70" s="48"/>
      <c r="C70" s="9"/>
      <c r="D70" s="9"/>
      <c r="E70" s="9"/>
      <c r="F70" s="9">
        <v>8379</v>
      </c>
      <c r="G70" s="9">
        <v>9059</v>
      </c>
      <c r="H70" s="9">
        <v>9988</v>
      </c>
      <c r="I70" s="9">
        <v>13150</v>
      </c>
      <c r="J70" s="9">
        <v>11897</v>
      </c>
      <c r="K70" s="9">
        <v>13366</v>
      </c>
      <c r="L70" s="9">
        <v>13094</v>
      </c>
      <c r="M70" s="9">
        <v>15062</v>
      </c>
      <c r="N70" s="9">
        <v>12024</v>
      </c>
      <c r="O70" s="9">
        <f t="shared" ref="O70:Y70" si="100">O$79*O71</f>
        <v>12668.4</v>
      </c>
      <c r="P70" s="9">
        <f t="shared" si="100"/>
        <v>11967.1101</v>
      </c>
      <c r="Q70" s="9">
        <f t="shared" si="100"/>
        <v>13813.640775</v>
      </c>
      <c r="R70" s="9">
        <f t="shared" si="100"/>
        <v>11784.627</v>
      </c>
      <c r="S70" s="9">
        <f t="shared" si="100"/>
        <v>12288.348</v>
      </c>
      <c r="T70" s="9">
        <f t="shared" si="100"/>
        <v>11608.096797</v>
      </c>
      <c r="U70" s="9">
        <f t="shared" si="100"/>
        <v>13399.231551749999</v>
      </c>
      <c r="V70" s="9">
        <f t="shared" si="100"/>
        <v>11545.399071900001</v>
      </c>
      <c r="W70" s="9">
        <f t="shared" si="100"/>
        <v>12038.8945356</v>
      </c>
      <c r="X70" s="9">
        <f t="shared" si="100"/>
        <v>11372.452432020898</v>
      </c>
      <c r="Y70" s="9">
        <f t="shared" si="100"/>
        <v>13127.227151249475</v>
      </c>
      <c r="AF70" s="8">
        <f>SUM(F70:I70)</f>
        <v>40576</v>
      </c>
      <c r="AG70" s="8">
        <f>SUM(J70:M70)</f>
        <v>53419</v>
      </c>
      <c r="AH70" s="8">
        <f>SUM(N70:Q70)</f>
        <v>50473.150874999999</v>
      </c>
      <c r="AI70" s="8">
        <f>SUM(N70:Q70)</f>
        <v>50473.150874999999</v>
      </c>
      <c r="AJ70" s="8">
        <f>SUM(R70:U70)</f>
        <v>49080.303348749992</v>
      </c>
      <c r="AK70" s="8">
        <f>SUM(V70:Y70)</f>
        <v>48083.973190770383</v>
      </c>
    </row>
    <row r="71" spans="1:37" s="11" customFormat="1">
      <c r="A71" s="11" t="s">
        <v>152</v>
      </c>
      <c r="B71" s="50"/>
      <c r="C71" s="12"/>
      <c r="D71" s="12"/>
      <c r="E71" s="12"/>
      <c r="F71" s="54">
        <f t="shared" ref="F71:N71" si="101">F70/F$79</f>
        <v>0.480447247706422</v>
      </c>
      <c r="G71" s="54">
        <f t="shared" si="101"/>
        <v>0.49445990939359208</v>
      </c>
      <c r="H71" s="54">
        <f t="shared" si="101"/>
        <v>0.47066584986569909</v>
      </c>
      <c r="I71" s="54">
        <f t="shared" si="101"/>
        <v>0.48368705631367931</v>
      </c>
      <c r="J71" s="54">
        <f t="shared" si="101"/>
        <v>0.46766775423562246</v>
      </c>
      <c r="K71" s="54">
        <f t="shared" si="101"/>
        <v>0.46766969909027289</v>
      </c>
      <c r="L71" s="54">
        <f t="shared" si="101"/>
        <v>0.46307822888668837</v>
      </c>
      <c r="M71" s="54">
        <f t="shared" si="101"/>
        <v>0.46147247158307547</v>
      </c>
      <c r="N71" s="54">
        <f t="shared" si="101"/>
        <v>0.44536632343136529</v>
      </c>
      <c r="O71" s="54">
        <v>0.45</v>
      </c>
      <c r="P71" s="54">
        <v>0.45</v>
      </c>
      <c r="Q71" s="54">
        <v>0.45</v>
      </c>
      <c r="R71" s="54">
        <v>0.45</v>
      </c>
      <c r="S71" s="54">
        <v>0.45</v>
      </c>
      <c r="T71" s="54">
        <v>0.45</v>
      </c>
      <c r="U71" s="54">
        <v>0.45</v>
      </c>
      <c r="V71" s="54">
        <v>0.45</v>
      </c>
      <c r="W71" s="54">
        <v>0.45</v>
      </c>
      <c r="X71" s="54">
        <v>0.45</v>
      </c>
      <c r="Y71" s="54">
        <v>0.45</v>
      </c>
    </row>
    <row r="72" spans="1:37" s="11" customFormat="1">
      <c r="A72" s="11" t="s">
        <v>137</v>
      </c>
      <c r="B72" s="50"/>
      <c r="C72" s="12"/>
      <c r="D72" s="12"/>
      <c r="E72" s="12"/>
      <c r="F72" s="54"/>
      <c r="G72" s="54"/>
      <c r="H72" s="54"/>
      <c r="I72" s="54"/>
      <c r="J72" s="54">
        <f>J70/F70-1</f>
        <v>0.41985917173887088</v>
      </c>
      <c r="K72" s="54">
        <f t="shared" ref="K72:Y72" si="102">K70/G70-1</f>
        <v>0.47543879015343848</v>
      </c>
      <c r="L72" s="54">
        <f t="shared" si="102"/>
        <v>0.31097316780136164</v>
      </c>
      <c r="M72" s="54">
        <f t="shared" si="102"/>
        <v>0.14539923954372624</v>
      </c>
      <c r="N72" s="54">
        <f t="shared" si="102"/>
        <v>1.0674960073968176E-2</v>
      </c>
      <c r="O72" s="54">
        <f t="shared" si="102"/>
        <v>-5.2192129283256006E-2</v>
      </c>
      <c r="P72" s="54">
        <f t="shared" si="102"/>
        <v>-8.6061547273560413E-2</v>
      </c>
      <c r="Q72" s="54">
        <f t="shared" si="102"/>
        <v>-8.2881371995750852E-2</v>
      </c>
      <c r="R72" s="54">
        <f t="shared" si="102"/>
        <v>-1.9907934131736527E-2</v>
      </c>
      <c r="S72" s="54">
        <f t="shared" si="102"/>
        <v>-3.0000000000000027E-2</v>
      </c>
      <c r="T72" s="54">
        <f t="shared" si="102"/>
        <v>-3.0000000000000027E-2</v>
      </c>
      <c r="U72" s="54">
        <f t="shared" si="102"/>
        <v>-3.0000000000000027E-2</v>
      </c>
      <c r="V72" s="54">
        <f t="shared" si="102"/>
        <v>-2.0299999999999985E-2</v>
      </c>
      <c r="W72" s="54">
        <f t="shared" si="102"/>
        <v>-2.0299999999999985E-2</v>
      </c>
      <c r="X72" s="54">
        <f t="shared" si="102"/>
        <v>-2.0300000000000096E-2</v>
      </c>
      <c r="Y72" s="54">
        <f t="shared" si="102"/>
        <v>-2.0299999999999874E-2</v>
      </c>
    </row>
    <row r="73" spans="1:37" s="11" customFormat="1">
      <c r="B73" s="50"/>
      <c r="C73" s="12"/>
      <c r="D73" s="12"/>
      <c r="E73" s="12"/>
      <c r="F73" s="54"/>
      <c r="G73" s="54"/>
      <c r="H73" s="54"/>
      <c r="I73" s="54"/>
      <c r="J73" s="54"/>
      <c r="K73" s="54"/>
      <c r="L73" s="54"/>
      <c r="M73" s="54"/>
      <c r="N73" s="54"/>
      <c r="O73" s="12"/>
      <c r="P73" s="12"/>
      <c r="Q73" s="12"/>
      <c r="R73" s="12"/>
      <c r="S73" s="12"/>
      <c r="T73" s="12"/>
    </row>
    <row r="74" spans="1:37" s="8" customFormat="1">
      <c r="A74" s="15" t="s">
        <v>156</v>
      </c>
      <c r="B74" s="9"/>
      <c r="C74" s="9"/>
      <c r="D74" s="9"/>
      <c r="E74" s="9"/>
      <c r="F74" s="9"/>
      <c r="G74" s="9"/>
      <c r="H74" s="9"/>
      <c r="I74" s="9"/>
      <c r="J74" s="9"/>
      <c r="K74" s="9"/>
      <c r="L74" s="9"/>
      <c r="M74" s="9"/>
      <c r="N74" s="9"/>
      <c r="O74" s="9"/>
      <c r="P74" s="9"/>
      <c r="Q74" s="9"/>
      <c r="R74" s="9"/>
      <c r="S74" s="9"/>
      <c r="T74" s="9"/>
    </row>
    <row r="75" spans="1:37" s="8" customFormat="1">
      <c r="A75" s="8" t="s">
        <v>34</v>
      </c>
      <c r="B75" s="48"/>
      <c r="C75" s="9"/>
      <c r="D75" s="9"/>
      <c r="E75" s="9"/>
      <c r="F75" s="9">
        <v>297</v>
      </c>
      <c r="G75" s="9"/>
      <c r="H75" s="9"/>
      <c r="I75" s="9">
        <v>168</v>
      </c>
      <c r="J75" s="9">
        <v>198</v>
      </c>
      <c r="K75" s="9">
        <v>192</v>
      </c>
      <c r="L75" s="9">
        <v>176</v>
      </c>
      <c r="M75" s="9">
        <v>155</v>
      </c>
      <c r="N75" s="9">
        <v>215</v>
      </c>
      <c r="O75" s="9">
        <v>218</v>
      </c>
      <c r="P75" s="9">
        <f t="shared" ref="P75:Y75" si="103">L75*(1+P76)</f>
        <v>176</v>
      </c>
      <c r="Q75" s="9">
        <f t="shared" si="103"/>
        <v>155</v>
      </c>
      <c r="R75" s="9">
        <f t="shared" si="103"/>
        <v>215</v>
      </c>
      <c r="S75" s="9">
        <f t="shared" si="103"/>
        <v>218</v>
      </c>
      <c r="T75" s="9">
        <f t="shared" si="103"/>
        <v>176</v>
      </c>
      <c r="U75" s="9">
        <f t="shared" si="103"/>
        <v>155</v>
      </c>
      <c r="V75" s="9">
        <f t="shared" si="103"/>
        <v>215</v>
      </c>
      <c r="W75" s="9">
        <f t="shared" si="103"/>
        <v>218</v>
      </c>
      <c r="X75" s="9">
        <f t="shared" si="103"/>
        <v>176</v>
      </c>
      <c r="Y75" s="9">
        <f t="shared" si="103"/>
        <v>155</v>
      </c>
      <c r="AF75" s="8">
        <v>541</v>
      </c>
      <c r="AG75" s="8">
        <v>657</v>
      </c>
      <c r="AH75" s="8">
        <v>721</v>
      </c>
      <c r="AI75" s="8">
        <f>SUM(N75:Q75)</f>
        <v>764</v>
      </c>
      <c r="AJ75" s="8">
        <f>SUM(R75:U75)</f>
        <v>764</v>
      </c>
      <c r="AK75" s="8">
        <f>SUM(V75:Y75)</f>
        <v>764</v>
      </c>
    </row>
    <row r="76" spans="1:37" s="8" customFormat="1">
      <c r="A76" s="11" t="s">
        <v>137</v>
      </c>
      <c r="B76" s="48"/>
      <c r="C76" s="9"/>
      <c r="D76" s="9"/>
      <c r="E76" s="9"/>
      <c r="F76" s="9"/>
      <c r="G76" s="9"/>
      <c r="H76" s="9"/>
      <c r="I76" s="9"/>
      <c r="J76" s="49">
        <f>J75/F75-1</f>
        <v>-0.33333333333333337</v>
      </c>
      <c r="K76" s="9"/>
      <c r="L76" s="9"/>
      <c r="M76" s="49">
        <f t="shared" ref="M76:N76" si="104">M75/I75-1</f>
        <v>-7.7380952380952328E-2</v>
      </c>
      <c r="N76" s="49">
        <f t="shared" si="104"/>
        <v>8.5858585858585856E-2</v>
      </c>
      <c r="O76" s="49">
        <v>0</v>
      </c>
      <c r="P76" s="49">
        <v>0</v>
      </c>
      <c r="Q76" s="49">
        <v>0</v>
      </c>
      <c r="R76" s="49">
        <v>0</v>
      </c>
      <c r="S76" s="49">
        <v>0</v>
      </c>
      <c r="T76" s="49">
        <v>0</v>
      </c>
      <c r="U76" s="49">
        <v>0</v>
      </c>
      <c r="V76" s="49">
        <v>0</v>
      </c>
      <c r="W76" s="49">
        <v>0</v>
      </c>
      <c r="X76" s="49">
        <v>0</v>
      </c>
      <c r="Y76" s="49">
        <v>0</v>
      </c>
    </row>
    <row r="77" spans="1:37" s="8" customFormat="1">
      <c r="A77" s="8" t="s">
        <v>150</v>
      </c>
      <c r="B77" s="9"/>
      <c r="C77" s="9"/>
      <c r="D77" s="9"/>
      <c r="E77" s="9"/>
      <c r="F77" s="9"/>
      <c r="G77" s="9"/>
      <c r="H77" s="9"/>
      <c r="I77" s="9">
        <v>717</v>
      </c>
      <c r="J77" s="9">
        <v>534</v>
      </c>
      <c r="K77" s="9">
        <v>305</v>
      </c>
      <c r="L77" s="9">
        <v>558</v>
      </c>
      <c r="M77" s="9">
        <v>877</v>
      </c>
      <c r="N77" s="9">
        <v>695</v>
      </c>
      <c r="O77" s="9">
        <v>452</v>
      </c>
      <c r="P77" s="9">
        <f t="shared" ref="P77:Y77" si="105">O77*(1+P78)</f>
        <v>452</v>
      </c>
      <c r="Q77" s="9">
        <f t="shared" si="105"/>
        <v>452</v>
      </c>
      <c r="R77" s="9">
        <f t="shared" si="105"/>
        <v>452</v>
      </c>
      <c r="S77" s="9">
        <f t="shared" si="105"/>
        <v>452</v>
      </c>
      <c r="T77" s="9">
        <f t="shared" si="105"/>
        <v>452</v>
      </c>
      <c r="U77" s="9">
        <f t="shared" si="105"/>
        <v>452</v>
      </c>
      <c r="V77" s="9">
        <f t="shared" si="105"/>
        <v>452</v>
      </c>
      <c r="W77" s="9">
        <f t="shared" si="105"/>
        <v>452</v>
      </c>
      <c r="X77" s="9">
        <f t="shared" si="105"/>
        <v>452</v>
      </c>
      <c r="Y77" s="9">
        <f t="shared" si="105"/>
        <v>452</v>
      </c>
      <c r="AF77" s="8">
        <v>501</v>
      </c>
      <c r="AG77" s="8">
        <v>1139</v>
      </c>
      <c r="AH77" s="8">
        <v>2274</v>
      </c>
      <c r="AI77" s="8">
        <f>SUM(N77:Q77)</f>
        <v>2051</v>
      </c>
      <c r="AJ77" s="8">
        <f>SUM(R77:U77)</f>
        <v>1808</v>
      </c>
      <c r="AK77" s="8">
        <f>SUM(V77:Y77)</f>
        <v>1808</v>
      </c>
    </row>
    <row r="78" spans="1:37" s="8" customFormat="1">
      <c r="A78" s="11" t="s">
        <v>137</v>
      </c>
      <c r="B78" s="9"/>
      <c r="C78" s="9"/>
      <c r="D78" s="9"/>
      <c r="E78" s="9"/>
      <c r="F78" s="9"/>
      <c r="G78" s="9"/>
      <c r="H78" s="9"/>
      <c r="I78" s="9"/>
      <c r="J78" s="49"/>
      <c r="K78" s="49"/>
      <c r="L78" s="49"/>
      <c r="M78" s="49">
        <f t="shared" ref="M78" si="106">M77/I77-1</f>
        <v>0.22315202231520215</v>
      </c>
      <c r="N78" s="49">
        <f t="shared" ref="N78" si="107">N77/J77-1</f>
        <v>0.30149812734082393</v>
      </c>
      <c r="O78" s="49">
        <v>0</v>
      </c>
      <c r="P78" s="49">
        <v>0</v>
      </c>
      <c r="Q78" s="49">
        <v>0</v>
      </c>
      <c r="R78" s="49">
        <v>0</v>
      </c>
      <c r="S78" s="49">
        <v>0</v>
      </c>
      <c r="T78" s="49">
        <v>0</v>
      </c>
      <c r="U78" s="49">
        <v>0</v>
      </c>
      <c r="V78" s="49">
        <v>0</v>
      </c>
      <c r="W78" s="49">
        <v>0</v>
      </c>
      <c r="X78" s="49">
        <v>0</v>
      </c>
      <c r="Y78" s="49">
        <v>0</v>
      </c>
    </row>
    <row r="79" spans="1:37" s="8" customFormat="1">
      <c r="A79" s="8" t="s">
        <v>61</v>
      </c>
      <c r="B79" s="9"/>
      <c r="C79" s="9"/>
      <c r="D79" s="9"/>
      <c r="E79" s="9"/>
      <c r="F79" s="9">
        <f t="shared" ref="F79:N79" si="108">SUM(F61,F64,F67,F70)</f>
        <v>17440</v>
      </c>
      <c r="G79" s="9">
        <f t="shared" si="108"/>
        <v>18321</v>
      </c>
      <c r="H79" s="9">
        <f t="shared" si="108"/>
        <v>21221</v>
      </c>
      <c r="I79" s="9">
        <f t="shared" si="108"/>
        <v>27187</v>
      </c>
      <c r="J79" s="9">
        <f t="shared" si="108"/>
        <v>25439</v>
      </c>
      <c r="K79" s="9">
        <f t="shared" si="108"/>
        <v>28580</v>
      </c>
      <c r="L79" s="9">
        <f t="shared" si="108"/>
        <v>28276</v>
      </c>
      <c r="M79" s="9">
        <f t="shared" si="108"/>
        <v>32639</v>
      </c>
      <c r="N79" s="9">
        <f t="shared" si="108"/>
        <v>26998</v>
      </c>
      <c r="O79" s="9">
        <v>28152</v>
      </c>
      <c r="P79" s="9">
        <f t="shared" ref="P79:Y79" si="109">P17*P50</f>
        <v>26593.577999999998</v>
      </c>
      <c r="Q79" s="9">
        <f t="shared" si="109"/>
        <v>30696.979499999998</v>
      </c>
      <c r="R79" s="9">
        <f t="shared" si="109"/>
        <v>26188.06</v>
      </c>
      <c r="S79" s="9">
        <f t="shared" si="109"/>
        <v>27307.439999999999</v>
      </c>
      <c r="T79" s="9">
        <f t="shared" si="109"/>
        <v>25795.770659999998</v>
      </c>
      <c r="U79" s="9">
        <f t="shared" si="109"/>
        <v>29776.070114999999</v>
      </c>
      <c r="V79" s="9">
        <f t="shared" si="109"/>
        <v>25656.442382000001</v>
      </c>
      <c r="W79" s="9">
        <f t="shared" si="109"/>
        <v>26753.098967999998</v>
      </c>
      <c r="X79" s="9">
        <f t="shared" si="109"/>
        <v>25272.116515601996</v>
      </c>
      <c r="Y79" s="9">
        <f t="shared" si="109"/>
        <v>29171.6158916655</v>
      </c>
      <c r="AF79" s="8">
        <v>69655</v>
      </c>
      <c r="AG79" s="8">
        <f>SUM(F79:I79)</f>
        <v>84169</v>
      </c>
      <c r="AH79" s="8">
        <v>114934</v>
      </c>
      <c r="AI79" s="8">
        <f>SUM(N79:Q79)</f>
        <v>112440.5575</v>
      </c>
      <c r="AJ79" s="8">
        <f>SUM(R79:U79)</f>
        <v>109067.34077499999</v>
      </c>
      <c r="AK79" s="8">
        <f>SUM(V79:Y79)</f>
        <v>106853.2737572675</v>
      </c>
    </row>
    <row r="80" spans="1:37" s="8" customFormat="1">
      <c r="A80" s="11" t="s">
        <v>137</v>
      </c>
      <c r="B80" s="48"/>
      <c r="C80" s="9"/>
      <c r="D80" s="9"/>
      <c r="E80" s="9"/>
      <c r="F80" s="9"/>
      <c r="G80" s="9"/>
      <c r="H80" s="9"/>
      <c r="I80" s="9"/>
      <c r="J80" s="49">
        <f>J79/F79-1</f>
        <v>0.45865825688073403</v>
      </c>
      <c r="K80" s="49">
        <f t="shared" ref="K80:Y80" si="110">K79/G79-1</f>
        <v>0.55995851754816872</v>
      </c>
      <c r="L80" s="49">
        <f t="shared" si="110"/>
        <v>0.33245370152207721</v>
      </c>
      <c r="M80" s="49">
        <f t="shared" si="110"/>
        <v>0.200537021370508</v>
      </c>
      <c r="N80" s="49">
        <f t="shared" si="110"/>
        <v>6.1283855497464623E-2</v>
      </c>
      <c r="O80" s="49">
        <f t="shared" si="110"/>
        <v>-1.4975507347795625E-2</v>
      </c>
      <c r="P80" s="49">
        <f t="shared" si="110"/>
        <v>-5.9500000000000108E-2</v>
      </c>
      <c r="Q80" s="49">
        <f t="shared" si="110"/>
        <v>-5.9500000000000108E-2</v>
      </c>
      <c r="R80" s="49">
        <f t="shared" si="110"/>
        <v>-2.9999999999999916E-2</v>
      </c>
      <c r="S80" s="49">
        <f t="shared" si="110"/>
        <v>-3.0000000000000027E-2</v>
      </c>
      <c r="T80" s="49">
        <f t="shared" si="110"/>
        <v>-3.0000000000000027E-2</v>
      </c>
      <c r="U80" s="49">
        <f t="shared" si="110"/>
        <v>-2.9999999999999916E-2</v>
      </c>
      <c r="V80" s="49">
        <f t="shared" si="110"/>
        <v>-2.0299999999999985E-2</v>
      </c>
      <c r="W80" s="49">
        <f t="shared" si="110"/>
        <v>-2.0299999999999985E-2</v>
      </c>
      <c r="X80" s="49">
        <f t="shared" si="110"/>
        <v>-2.0300000000000096E-2</v>
      </c>
      <c r="Y80" s="49">
        <f t="shared" si="110"/>
        <v>-2.0299999999999985E-2</v>
      </c>
    </row>
    <row r="81" spans="1:43" s="8" customFormat="1">
      <c r="B81" s="48"/>
      <c r="C81" s="9"/>
      <c r="D81" s="9"/>
      <c r="E81" s="9"/>
      <c r="F81" s="9"/>
      <c r="G81" s="9"/>
      <c r="H81" s="9"/>
      <c r="I81" s="9"/>
      <c r="J81" s="9"/>
      <c r="K81" s="9"/>
      <c r="L81" s="9"/>
      <c r="M81" s="9"/>
      <c r="N81" s="9"/>
      <c r="O81" s="9"/>
      <c r="P81" s="9"/>
      <c r="Q81" s="9"/>
      <c r="R81" s="9"/>
      <c r="S81" s="9"/>
      <c r="T81" s="9"/>
    </row>
    <row r="82" spans="1:43" s="15" customFormat="1">
      <c r="A82" s="15" t="s">
        <v>151</v>
      </c>
      <c r="B82" s="16"/>
      <c r="C82" s="16"/>
      <c r="D82" s="16"/>
      <c r="E82" s="16"/>
      <c r="F82" s="16">
        <f>SUM(F75, F77, F79)</f>
        <v>17737</v>
      </c>
      <c r="G82" s="16">
        <v>18687</v>
      </c>
      <c r="H82" s="16">
        <v>21470</v>
      </c>
      <c r="I82" s="16">
        <f t="shared" ref="I82:Y82" si="111">SUM(I75, I77, I79)</f>
        <v>28072</v>
      </c>
      <c r="J82" s="16">
        <f t="shared" si="111"/>
        <v>26171</v>
      </c>
      <c r="K82" s="16">
        <f t="shared" si="111"/>
        <v>29077</v>
      </c>
      <c r="L82" s="16">
        <f t="shared" si="111"/>
        <v>29010</v>
      </c>
      <c r="M82" s="16">
        <f t="shared" si="111"/>
        <v>33671</v>
      </c>
      <c r="N82" s="16">
        <f t="shared" si="111"/>
        <v>27908</v>
      </c>
      <c r="O82" s="16">
        <f>SUM(O75, O77, O79)</f>
        <v>28822</v>
      </c>
      <c r="P82" s="16">
        <f t="shared" si="111"/>
        <v>27221.577999999998</v>
      </c>
      <c r="Q82" s="16">
        <f t="shared" si="111"/>
        <v>31303.979499999998</v>
      </c>
      <c r="R82" s="16">
        <f t="shared" si="111"/>
        <v>26855.06</v>
      </c>
      <c r="S82" s="16">
        <f t="shared" si="111"/>
        <v>27977.439999999999</v>
      </c>
      <c r="T82" s="16">
        <f t="shared" si="111"/>
        <v>26423.770659999998</v>
      </c>
      <c r="U82" s="16">
        <f t="shared" si="111"/>
        <v>30383.070114999999</v>
      </c>
      <c r="V82" s="16">
        <f t="shared" si="111"/>
        <v>26323.442382000001</v>
      </c>
      <c r="W82" s="16">
        <f t="shared" si="111"/>
        <v>27423.098967999998</v>
      </c>
      <c r="X82" s="16">
        <f t="shared" si="111"/>
        <v>25900.116515601996</v>
      </c>
      <c r="Y82" s="16">
        <f t="shared" si="111"/>
        <v>29778.6158916655</v>
      </c>
      <c r="AF82" s="15">
        <f>SUM(AF75:AF79)</f>
        <v>70697</v>
      </c>
      <c r="AG82" s="15">
        <f>SUM(F82:I82)</f>
        <v>85966</v>
      </c>
      <c r="AH82" s="15">
        <f>SUM(AH75:AH79)</f>
        <v>117929</v>
      </c>
      <c r="AI82" s="15">
        <f>AI79+AI77+AI75</f>
        <v>115255.5575</v>
      </c>
      <c r="AJ82" s="15">
        <f>AJ79+AJ77+AJ75</f>
        <v>111639.34077499999</v>
      </c>
      <c r="AK82" s="15">
        <f>AK79+AK77+AK75</f>
        <v>109425.2737572675</v>
      </c>
      <c r="AL82" s="15">
        <f t="shared" ref="AL82:AQ82" si="112">+AK82*1.03</f>
        <v>112708.03196998552</v>
      </c>
      <c r="AM82" s="15">
        <f t="shared" si="112"/>
        <v>116089.27292908508</v>
      </c>
      <c r="AN82" s="15">
        <f t="shared" si="112"/>
        <v>119571.95111695764</v>
      </c>
      <c r="AO82" s="15">
        <f t="shared" si="112"/>
        <v>123159.10965046637</v>
      </c>
      <c r="AP82" s="15">
        <f t="shared" si="112"/>
        <v>126853.88293998037</v>
      </c>
      <c r="AQ82" s="15">
        <f t="shared" si="112"/>
        <v>130659.49942817978</v>
      </c>
    </row>
    <row r="83" spans="1:43" s="8" customFormat="1">
      <c r="A83" s="11" t="s">
        <v>137</v>
      </c>
      <c r="B83" s="48"/>
      <c r="C83" s="9"/>
      <c r="D83" s="9"/>
      <c r="E83" s="9"/>
      <c r="F83" s="9"/>
      <c r="G83" s="9"/>
      <c r="H83" s="9"/>
      <c r="I83" s="49"/>
      <c r="J83" s="49">
        <f>J82/F82-1</f>
        <v>0.47550318543158365</v>
      </c>
      <c r="K83" s="49">
        <f t="shared" ref="K83:Y83" si="113">K82/G82-1</f>
        <v>0.5560014983678494</v>
      </c>
      <c r="L83" s="49">
        <f t="shared" si="113"/>
        <v>0.35118770377270603</v>
      </c>
      <c r="M83" s="49">
        <f t="shared" si="113"/>
        <v>0.19945141065830718</v>
      </c>
      <c r="N83" s="49">
        <f t="shared" si="113"/>
        <v>6.6371174200450911E-2</v>
      </c>
      <c r="O83" s="49">
        <f t="shared" si="113"/>
        <v>-8.7698180692643568E-3</v>
      </c>
      <c r="P83" s="49">
        <f t="shared" si="113"/>
        <v>-6.1648466046191008E-2</v>
      </c>
      <c r="Q83" s="49">
        <f t="shared" si="113"/>
        <v>-7.0298491283300235E-2</v>
      </c>
      <c r="R83" s="49">
        <f t="shared" si="113"/>
        <v>-3.7728966604557823E-2</v>
      </c>
      <c r="S83" s="49">
        <f t="shared" si="113"/>
        <v>-2.9302616057178543E-2</v>
      </c>
      <c r="T83" s="49">
        <f t="shared" si="113"/>
        <v>-2.9307901988635643E-2</v>
      </c>
      <c r="U83" s="49">
        <f t="shared" si="113"/>
        <v>-2.9418284822221974E-2</v>
      </c>
      <c r="V83" s="49">
        <f t="shared" si="113"/>
        <v>-1.9795808238745383E-2</v>
      </c>
      <c r="W83" s="49">
        <f t="shared" si="113"/>
        <v>-1.9813858308694421E-2</v>
      </c>
      <c r="X83" s="49">
        <f t="shared" si="113"/>
        <v>-1.9817540468995309E-2</v>
      </c>
      <c r="Y83" s="49">
        <f t="shared" si="113"/>
        <v>-1.9894441906187832E-2</v>
      </c>
    </row>
    <row r="84" spans="1:43" s="8" customFormat="1">
      <c r="B84" s="48"/>
      <c r="C84" s="9"/>
      <c r="D84" s="9"/>
      <c r="E84" s="9"/>
      <c r="F84" s="9"/>
      <c r="G84" s="9"/>
      <c r="H84" s="9"/>
      <c r="I84" s="9"/>
      <c r="J84" s="9"/>
      <c r="K84" s="9"/>
      <c r="L84" s="9"/>
      <c r="M84" s="9"/>
      <c r="N84" s="9"/>
      <c r="O84" s="9"/>
      <c r="P84" s="9"/>
      <c r="Q84" s="9"/>
      <c r="R84" s="9"/>
      <c r="S84" s="9"/>
      <c r="T84" s="9"/>
    </row>
    <row r="85" spans="1:43" s="8" customFormat="1">
      <c r="B85" s="48"/>
      <c r="C85" s="9"/>
      <c r="D85" s="9"/>
      <c r="E85" s="9"/>
      <c r="F85" s="9"/>
      <c r="G85" s="9"/>
      <c r="H85" s="9"/>
      <c r="I85" s="9"/>
      <c r="J85" s="9"/>
      <c r="K85" s="9"/>
      <c r="L85" s="9"/>
      <c r="M85" s="9"/>
      <c r="N85" s="9"/>
      <c r="O85" s="9"/>
      <c r="P85" s="9" t="s">
        <v>0</v>
      </c>
      <c r="Q85" s="9"/>
      <c r="R85" s="9"/>
      <c r="S85" s="9"/>
      <c r="T85" s="9"/>
    </row>
    <row r="86" spans="1:43" s="8" customFormat="1">
      <c r="B86" s="48"/>
      <c r="C86" s="9"/>
      <c r="D86" s="9"/>
      <c r="E86" s="9"/>
      <c r="F86" s="9"/>
      <c r="G86" s="9"/>
      <c r="H86" s="9"/>
      <c r="I86" s="9"/>
      <c r="J86" s="9"/>
      <c r="K86" s="9"/>
      <c r="L86" s="9"/>
      <c r="M86" s="9"/>
      <c r="N86" s="9"/>
      <c r="O86" s="9"/>
      <c r="P86" s="9"/>
      <c r="Q86" s="9"/>
      <c r="R86" s="9"/>
      <c r="S86" s="9"/>
      <c r="T86" s="9"/>
    </row>
    <row r="87" spans="1:43" s="8" customFormat="1">
      <c r="B87" s="48"/>
      <c r="C87" s="9"/>
      <c r="D87" s="9"/>
      <c r="E87" s="9"/>
      <c r="F87" s="9"/>
      <c r="G87" s="9"/>
      <c r="H87" s="9"/>
      <c r="I87" s="9"/>
      <c r="J87" s="9"/>
      <c r="K87" s="9"/>
      <c r="L87" s="9"/>
      <c r="M87" s="9"/>
      <c r="N87" s="9"/>
      <c r="O87" s="9"/>
      <c r="P87" s="9"/>
      <c r="Q87" s="9"/>
      <c r="R87" s="9"/>
      <c r="S87" s="9"/>
      <c r="T87" s="9"/>
    </row>
    <row r="88" spans="1:43" s="8" customFormat="1">
      <c r="B88" s="48"/>
      <c r="C88" s="9"/>
      <c r="D88" s="9"/>
      <c r="E88" s="9"/>
      <c r="F88" s="9"/>
      <c r="G88" s="9"/>
      <c r="H88" s="9"/>
      <c r="I88" s="9"/>
      <c r="J88" s="9"/>
      <c r="K88" s="9"/>
      <c r="L88" s="9"/>
      <c r="M88" s="9"/>
      <c r="N88" s="9"/>
      <c r="O88" s="9"/>
      <c r="P88" s="9"/>
      <c r="Q88" s="9"/>
      <c r="R88" s="9"/>
      <c r="S88" s="9"/>
      <c r="T88" s="9"/>
    </row>
    <row r="89" spans="1:43" s="8" customFormat="1">
      <c r="B89" s="48"/>
      <c r="C89" s="9"/>
      <c r="D89" s="9"/>
      <c r="E89" s="9"/>
      <c r="F89" s="9"/>
      <c r="G89" s="9"/>
      <c r="H89" s="9"/>
      <c r="I89" s="9"/>
      <c r="J89" s="9"/>
      <c r="K89" s="9"/>
      <c r="L89" s="9"/>
      <c r="M89" s="9"/>
      <c r="N89" s="9"/>
      <c r="O89" s="9"/>
      <c r="P89" s="9"/>
      <c r="Q89" s="9"/>
      <c r="R89" s="9"/>
      <c r="S89" s="9"/>
      <c r="T89" s="9"/>
    </row>
    <row r="90" spans="1:43" s="8" customFormat="1">
      <c r="B90" s="48"/>
      <c r="C90" s="9"/>
      <c r="D90" s="9"/>
      <c r="E90" s="9"/>
      <c r="F90" s="9"/>
      <c r="G90" s="9"/>
      <c r="H90" s="9"/>
      <c r="I90" s="9"/>
      <c r="J90" s="9"/>
      <c r="K90" s="9"/>
      <c r="L90" s="9"/>
      <c r="M90" s="9"/>
      <c r="N90" s="9"/>
      <c r="O90" s="9"/>
      <c r="P90" s="9"/>
      <c r="Q90" s="9"/>
      <c r="R90" s="9"/>
      <c r="S90" s="9"/>
      <c r="T90" s="9"/>
    </row>
    <row r="91" spans="1:43" s="8" customFormat="1">
      <c r="B91" s="48"/>
      <c r="C91" s="9"/>
      <c r="D91" s="9"/>
      <c r="E91" s="9"/>
      <c r="F91" s="9"/>
      <c r="G91" s="9"/>
      <c r="H91" s="9"/>
      <c r="I91" s="9"/>
      <c r="J91" s="9"/>
      <c r="K91" s="9"/>
      <c r="L91" s="9"/>
      <c r="M91" s="9"/>
      <c r="N91" s="9"/>
      <c r="O91" s="9"/>
      <c r="P91" s="9"/>
      <c r="Q91" s="9"/>
      <c r="R91" s="9"/>
      <c r="S91" s="9"/>
      <c r="T91" s="9"/>
    </row>
    <row r="92" spans="1:43" s="8" customFormat="1">
      <c r="B92" s="48"/>
      <c r="C92" s="9"/>
      <c r="D92" s="9"/>
      <c r="E92" s="9"/>
      <c r="F92" s="9"/>
      <c r="G92" s="9"/>
      <c r="H92" s="9"/>
      <c r="I92" s="9"/>
      <c r="J92" s="9"/>
      <c r="K92" s="9"/>
      <c r="L92" s="9"/>
      <c r="M92" s="9"/>
      <c r="N92" s="9"/>
      <c r="O92" s="9"/>
      <c r="P92" s="9"/>
      <c r="Q92" s="9"/>
      <c r="R92" s="9"/>
      <c r="S92" s="9"/>
      <c r="T92" s="9"/>
    </row>
    <row r="93" spans="1:43" s="8" customFormat="1">
      <c r="B93" s="48"/>
      <c r="C93" s="9"/>
      <c r="D93" s="9"/>
      <c r="E93" s="9"/>
      <c r="F93" s="9"/>
      <c r="G93" s="9"/>
      <c r="H93" s="9"/>
      <c r="I93" s="9"/>
      <c r="J93" s="9"/>
      <c r="K93" s="9"/>
      <c r="L93" s="9"/>
      <c r="M93" s="9"/>
      <c r="N93" s="9"/>
      <c r="O93" s="9"/>
      <c r="P93" s="9"/>
      <c r="Q93" s="9"/>
      <c r="R93" s="9"/>
      <c r="S93" s="9"/>
      <c r="T93" s="9"/>
    </row>
    <row r="94" spans="1:43">
      <c r="A94" s="8"/>
      <c r="F94" s="10"/>
      <c r="G94" s="10"/>
      <c r="H94" s="10"/>
      <c r="I94" s="10"/>
      <c r="J94" s="10"/>
      <c r="K94" s="10"/>
      <c r="L94" s="10"/>
      <c r="M94" s="10"/>
      <c r="N94" s="10"/>
      <c r="O94" s="10"/>
      <c r="P94" s="10"/>
      <c r="Q94" s="10"/>
      <c r="R94" s="10"/>
      <c r="S94" s="10"/>
      <c r="T94" s="10"/>
      <c r="AG94" s="17"/>
      <c r="AH94" s="17"/>
      <c r="AI94" s="17"/>
      <c r="AJ94" s="17"/>
      <c r="AK94" s="17"/>
      <c r="AL94" s="17"/>
      <c r="AM94" s="17"/>
      <c r="AN94" s="17"/>
      <c r="AO94" s="17"/>
      <c r="AP94" s="17"/>
      <c r="AQ94" s="17"/>
    </row>
    <row r="95" spans="1:43" s="8" customFormat="1">
      <c r="B95" s="48"/>
      <c r="C95" s="9"/>
      <c r="D95" s="9"/>
      <c r="E95" s="9"/>
      <c r="F95" s="9"/>
      <c r="G95" s="9"/>
      <c r="H95" s="9"/>
      <c r="I95" s="9"/>
      <c r="J95" s="9"/>
      <c r="K95" s="9"/>
      <c r="L95" s="9"/>
      <c r="M95" s="9"/>
      <c r="N95" s="9"/>
      <c r="O95" s="9"/>
      <c r="P95" s="9"/>
      <c r="Q95" s="9"/>
      <c r="R95" s="9"/>
      <c r="S95" s="9"/>
      <c r="T95" s="9"/>
    </row>
    <row r="96" spans="1:43">
      <c r="N96" s="9"/>
    </row>
    <row r="97" spans="1:48" s="20" customFormat="1">
      <c r="A97" s="15"/>
      <c r="B97" s="53"/>
      <c r="C97" s="18"/>
      <c r="D97" s="18"/>
      <c r="E97" s="18"/>
      <c r="F97" s="18"/>
      <c r="G97" s="18"/>
      <c r="H97" s="18"/>
      <c r="I97" s="18"/>
      <c r="J97" s="19"/>
      <c r="K97" s="19"/>
      <c r="L97" s="19"/>
      <c r="M97" s="19"/>
      <c r="N97" s="19"/>
      <c r="O97" s="19"/>
      <c r="P97" s="19"/>
      <c r="Q97" s="19"/>
      <c r="R97" s="19"/>
      <c r="S97" s="19"/>
      <c r="T97" s="19"/>
      <c r="AH97" s="21"/>
      <c r="AI97" s="21"/>
      <c r="AJ97" s="21"/>
      <c r="AK97" s="21"/>
      <c r="AL97" s="21"/>
      <c r="AM97" s="21"/>
      <c r="AN97" s="21"/>
      <c r="AO97" s="21"/>
      <c r="AP97" s="21"/>
      <c r="AQ97" s="21"/>
    </row>
    <row r="98" spans="1:48" s="20" customFormat="1">
      <c r="A98" s="15"/>
      <c r="B98" s="53"/>
      <c r="C98" s="18"/>
      <c r="D98" s="18"/>
      <c r="E98" s="18"/>
      <c r="F98" s="18"/>
      <c r="G98" s="18"/>
      <c r="H98" s="18"/>
      <c r="I98" s="18"/>
      <c r="J98" s="19"/>
      <c r="K98" s="19"/>
      <c r="L98" s="19"/>
      <c r="M98" s="19"/>
      <c r="N98" s="19"/>
      <c r="O98" s="18"/>
      <c r="P98" s="18"/>
      <c r="Q98" s="18"/>
      <c r="R98" s="18"/>
      <c r="S98" s="18"/>
      <c r="T98" s="18"/>
    </row>
    <row r="99" spans="1:48" s="8" customFormat="1">
      <c r="B99" s="48"/>
      <c r="C99" s="9"/>
      <c r="D99" s="9"/>
      <c r="E99" s="9"/>
      <c r="F99" s="9"/>
      <c r="G99" s="9"/>
      <c r="H99" s="9"/>
      <c r="I99" s="9"/>
      <c r="J99" s="9"/>
      <c r="K99" s="9"/>
      <c r="L99" s="9"/>
      <c r="M99" s="9"/>
      <c r="N99" s="22"/>
      <c r="O99" s="9"/>
      <c r="P99" s="9"/>
      <c r="Q99" s="9"/>
      <c r="R99" s="9"/>
      <c r="S99" s="9"/>
      <c r="T99" s="9"/>
    </row>
    <row r="100" spans="1:48" s="8" customFormat="1">
      <c r="B100" s="48"/>
      <c r="C100" s="9"/>
      <c r="D100" s="9"/>
      <c r="E100" s="9"/>
      <c r="F100" s="9"/>
      <c r="G100" s="9"/>
      <c r="H100" s="9"/>
      <c r="I100" s="9"/>
      <c r="J100" s="9"/>
      <c r="K100" s="9"/>
      <c r="L100" s="9"/>
      <c r="M100" s="9"/>
      <c r="N100" s="22"/>
      <c r="O100" s="9"/>
      <c r="P100" s="9"/>
      <c r="Q100" s="9"/>
      <c r="R100" s="9"/>
      <c r="S100" s="9"/>
      <c r="T100" s="9"/>
    </row>
    <row r="101" spans="1:48" s="8" customFormat="1">
      <c r="B101" s="48"/>
      <c r="C101" s="9"/>
      <c r="D101" s="9"/>
      <c r="E101" s="9"/>
      <c r="F101" s="9"/>
      <c r="G101" s="9"/>
      <c r="H101" s="9"/>
      <c r="I101" s="9"/>
      <c r="J101" s="22"/>
      <c r="K101" s="22"/>
      <c r="L101" s="22"/>
      <c r="M101" s="22"/>
      <c r="N101" s="22"/>
      <c r="O101" s="9"/>
      <c r="P101" s="9"/>
      <c r="Q101" s="9"/>
      <c r="R101" s="9"/>
      <c r="S101" s="9"/>
      <c r="T101" s="9"/>
      <c r="AG101" s="23"/>
      <c r="AH101" s="23"/>
    </row>
    <row r="102" spans="1:48" s="8" customFormat="1">
      <c r="B102" s="48"/>
      <c r="C102" s="9"/>
      <c r="D102" s="9"/>
      <c r="E102" s="9"/>
      <c r="F102" s="9"/>
      <c r="G102" s="9"/>
      <c r="H102" s="9"/>
      <c r="I102" s="9"/>
      <c r="J102" s="9"/>
      <c r="K102" s="9"/>
      <c r="L102" s="22"/>
      <c r="M102" s="22"/>
      <c r="N102" s="22"/>
      <c r="O102" s="9"/>
      <c r="P102" s="9"/>
      <c r="Q102" s="9"/>
      <c r="R102" s="9"/>
      <c r="S102" s="9"/>
      <c r="T102" s="9"/>
    </row>
    <row r="103" spans="1:48" s="8" customFormat="1">
      <c r="B103" s="48"/>
      <c r="C103" s="9"/>
      <c r="D103" s="9"/>
      <c r="E103" s="9"/>
      <c r="F103" s="22"/>
      <c r="G103" s="22"/>
      <c r="H103" s="22"/>
      <c r="I103" s="22"/>
      <c r="J103" s="22"/>
      <c r="K103" s="22"/>
      <c r="L103" s="22"/>
      <c r="M103" s="22"/>
      <c r="N103" s="22"/>
      <c r="O103" s="22"/>
      <c r="P103" s="22"/>
      <c r="Q103" s="22"/>
      <c r="R103" s="22"/>
      <c r="S103" s="22"/>
      <c r="T103" s="22"/>
      <c r="AG103" s="23"/>
      <c r="AH103" s="23"/>
      <c r="AI103" s="23"/>
      <c r="AJ103" s="23"/>
      <c r="AK103" s="23"/>
      <c r="AL103" s="23"/>
      <c r="AM103" s="23"/>
      <c r="AN103" s="23"/>
      <c r="AO103" s="23"/>
      <c r="AP103" s="23"/>
      <c r="AQ103" s="23"/>
      <c r="AU103" s="5"/>
    </row>
    <row r="104" spans="1:48" s="8" customFormat="1">
      <c r="B104" s="48"/>
      <c r="C104" s="9"/>
      <c r="D104" s="9"/>
      <c r="E104" s="9"/>
      <c r="F104" s="9"/>
      <c r="G104" s="9"/>
      <c r="H104" s="22"/>
      <c r="I104" s="22"/>
      <c r="J104" s="22"/>
      <c r="K104" s="22"/>
      <c r="L104" s="22"/>
      <c r="M104" s="22"/>
      <c r="N104" s="22"/>
      <c r="O104" s="22"/>
      <c r="P104" s="22"/>
      <c r="Q104" s="22"/>
      <c r="R104" s="22"/>
      <c r="S104" s="22"/>
      <c r="T104" s="22"/>
      <c r="AG104" s="23"/>
      <c r="AH104" s="23"/>
      <c r="AI104" s="23"/>
      <c r="AJ104" s="23"/>
      <c r="AK104" s="23"/>
      <c r="AL104" s="23"/>
      <c r="AM104" s="23"/>
      <c r="AN104" s="23"/>
      <c r="AO104" s="23"/>
      <c r="AP104" s="23"/>
      <c r="AQ104" s="23"/>
      <c r="AV104" s="23"/>
    </row>
    <row r="105" spans="1:48">
      <c r="N105" s="9"/>
      <c r="AV105" s="23"/>
    </row>
    <row r="106" spans="1:48">
      <c r="A106" s="8"/>
      <c r="I106" s="9"/>
      <c r="M106" s="9"/>
      <c r="N106" s="9"/>
      <c r="O106" s="9"/>
      <c r="P106" s="9"/>
      <c r="Q106" s="9"/>
      <c r="R106" s="9"/>
      <c r="S106" s="9"/>
      <c r="T106" s="9"/>
      <c r="AH106" s="8"/>
      <c r="AI106" s="8"/>
      <c r="AJ106" s="8"/>
      <c r="AK106" s="8"/>
      <c r="AL106" s="8"/>
      <c r="AM106" s="8"/>
      <c r="AN106" s="8"/>
      <c r="AO106" s="8"/>
      <c r="AP106" s="8"/>
      <c r="AQ106" s="8"/>
      <c r="AV106" s="23"/>
    </row>
    <row r="107" spans="1:48">
      <c r="I107" s="9"/>
      <c r="M107" s="9"/>
      <c r="N107" s="9"/>
      <c r="AV107" s="17"/>
    </row>
    <row r="108" spans="1:48">
      <c r="A108" s="8"/>
      <c r="I108" s="9"/>
      <c r="M108" s="9"/>
      <c r="N108" s="9"/>
      <c r="AV108" s="23"/>
    </row>
    <row r="109" spans="1:48">
      <c r="I109" s="9"/>
      <c r="M109" s="9"/>
      <c r="N109" s="9"/>
    </row>
    <row r="110" spans="1:48">
      <c r="A110" s="8"/>
      <c r="I110" s="9"/>
      <c r="M110" s="9"/>
      <c r="N110" s="9"/>
    </row>
    <row r="111" spans="1:48">
      <c r="I111" s="9"/>
      <c r="M111" s="9"/>
      <c r="N111" s="9"/>
    </row>
    <row r="112" spans="1:48">
      <c r="A112" s="8"/>
      <c r="I112" s="9"/>
      <c r="M112" s="9"/>
      <c r="N112" s="9"/>
    </row>
    <row r="113" spans="9:14">
      <c r="I113" s="9"/>
      <c r="M113" s="9"/>
      <c r="N113" s="9"/>
    </row>
    <row r="114" spans="9:14">
      <c r="N114" s="9"/>
    </row>
    <row r="115" spans="9:14">
      <c r="I115" s="9"/>
      <c r="M115" s="9"/>
      <c r="N115" s="9"/>
    </row>
    <row r="116" spans="9:14">
      <c r="I116" s="9"/>
      <c r="M116" s="9"/>
      <c r="N116" s="9"/>
    </row>
    <row r="117" spans="9:14">
      <c r="I117" s="9"/>
      <c r="M117" s="9"/>
      <c r="N117" s="9"/>
    </row>
    <row r="118" spans="9:14">
      <c r="I118" s="9"/>
      <c r="M118" s="9"/>
      <c r="N118" s="9"/>
    </row>
    <row r="119" spans="9:14">
      <c r="I119" s="9"/>
      <c r="M119" s="9"/>
      <c r="N119" s="9"/>
    </row>
    <row r="120" spans="9:14">
      <c r="I120" s="9"/>
      <c r="M120" s="9"/>
      <c r="N120" s="9"/>
    </row>
    <row r="121" spans="9:14">
      <c r="I121" s="9"/>
      <c r="M121" s="9"/>
      <c r="N121" s="9"/>
    </row>
    <row r="122" spans="9:14">
      <c r="I122" s="9"/>
      <c r="M122" s="9"/>
      <c r="N122" s="9"/>
    </row>
    <row r="123" spans="9:14">
      <c r="I123" s="9"/>
      <c r="M123" s="9"/>
      <c r="N123" s="9"/>
    </row>
    <row r="124" spans="9:14">
      <c r="I124" s="9"/>
      <c r="M124" s="9"/>
      <c r="N124" s="9"/>
    </row>
    <row r="125" spans="9:14">
      <c r="N125" s="9"/>
    </row>
    <row r="126" spans="9:14">
      <c r="M126" s="9"/>
      <c r="N126" s="9"/>
    </row>
    <row r="127" spans="9:14">
      <c r="M127" s="9"/>
      <c r="N127" s="9"/>
    </row>
    <row r="128" spans="9:14">
      <c r="M128" s="9"/>
      <c r="N128" s="9"/>
    </row>
    <row r="129" spans="2:20">
      <c r="M129" s="9"/>
      <c r="N129" s="9"/>
    </row>
    <row r="130" spans="2:20">
      <c r="M130" s="9"/>
      <c r="N130" s="9"/>
    </row>
    <row r="131" spans="2:20">
      <c r="M131" s="9"/>
      <c r="N131" s="9"/>
    </row>
    <row r="132" spans="2:20">
      <c r="M132" s="9"/>
      <c r="N132" s="9"/>
    </row>
    <row r="133" spans="2:20">
      <c r="M133" s="9"/>
      <c r="N133" s="9"/>
    </row>
    <row r="134" spans="2:20">
      <c r="N134" s="9"/>
    </row>
    <row r="135" spans="2:20">
      <c r="M135" s="9"/>
      <c r="N135" s="9"/>
    </row>
    <row r="136" spans="2:20">
      <c r="M136" s="9"/>
      <c r="N136" s="9"/>
    </row>
    <row r="137" spans="2:20">
      <c r="M137" s="9"/>
      <c r="N137" s="9"/>
    </row>
    <row r="138" spans="2:20">
      <c r="M138" s="9"/>
      <c r="N138" s="9"/>
    </row>
    <row r="139" spans="2:20">
      <c r="N139" s="9"/>
    </row>
    <row r="140" spans="2:20">
      <c r="M140" s="9"/>
      <c r="N140" s="9"/>
    </row>
    <row r="141" spans="2:20" s="20" customFormat="1">
      <c r="B141" s="53"/>
      <c r="C141" s="18"/>
      <c r="D141" s="18"/>
      <c r="E141" s="18"/>
      <c r="F141" s="18"/>
      <c r="G141" s="18"/>
      <c r="H141" s="18"/>
      <c r="I141" s="18"/>
      <c r="J141" s="18"/>
      <c r="K141" s="18"/>
      <c r="L141" s="18"/>
      <c r="M141" s="16"/>
      <c r="N141" s="16"/>
      <c r="O141" s="18"/>
      <c r="P141" s="18"/>
      <c r="Q141" s="18"/>
      <c r="R141" s="18"/>
      <c r="S141" s="18"/>
      <c r="T141" s="18"/>
    </row>
    <row r="142" spans="2:20">
      <c r="M142" s="9"/>
      <c r="N142" s="9"/>
    </row>
    <row r="143" spans="2:20">
      <c r="M143" s="9"/>
      <c r="N143" s="9"/>
    </row>
    <row r="144" spans="2:20">
      <c r="N144" s="9"/>
    </row>
    <row r="145" spans="2:20">
      <c r="M145" s="9"/>
      <c r="N145" s="9"/>
    </row>
    <row r="146" spans="2:20">
      <c r="N146" s="9"/>
    </row>
    <row r="147" spans="2:20" s="8" customFormat="1">
      <c r="B147" s="48"/>
      <c r="C147" s="9"/>
      <c r="D147" s="9"/>
      <c r="E147" s="9"/>
      <c r="F147" s="9"/>
      <c r="G147" s="9"/>
      <c r="H147" s="9"/>
      <c r="I147" s="9"/>
      <c r="J147" s="9"/>
      <c r="K147" s="9"/>
      <c r="L147" s="9"/>
      <c r="M147" s="9"/>
      <c r="N147" s="9"/>
      <c r="O147" s="9"/>
      <c r="P147" s="9"/>
      <c r="Q147" s="9"/>
      <c r="R147" s="9"/>
      <c r="S147" s="9"/>
      <c r="T147" s="9"/>
    </row>
    <row r="148" spans="2:20">
      <c r="N148" s="9"/>
    </row>
  </sheetData>
  <conditionalFormatting sqref="B10:XFD10 A11:XFD1048576 A1:XFD9">
    <cfRule type="cellIs" dxfId="1" priority="1" operator="lessThan">
      <formula>0</formula>
    </cfRule>
  </conditionalFormatting>
  <hyperlinks>
    <hyperlink ref="A5" location="Main!A1" display="Main" xr:uid="{902A98B2-0B96-6142-823D-8BDB7FCD1C2C}"/>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27F1-2E7C-3B40-B504-15ABD3235D42}">
  <dimension ref="A1:CU108"/>
  <sheetViews>
    <sheetView workbookViewId="0">
      <pane xSplit="1" ySplit="8" topLeftCell="B9" activePane="bottomRight" state="frozen"/>
      <selection pane="topRight" activeCell="B1" sqref="B1"/>
      <selection pane="bottomLeft" activeCell="A9" sqref="A9"/>
      <selection pane="bottomRight" activeCell="A7" sqref="A7"/>
    </sheetView>
  </sheetViews>
  <sheetFormatPr baseColWidth="10" defaultColWidth="8.83203125" defaultRowHeight="16"/>
  <cols>
    <col min="1" max="1" width="33.83203125" style="5" customWidth="1"/>
    <col min="2" max="20" width="9.33203125" style="6" bestFit="1" customWidth="1"/>
    <col min="21" max="21" width="9.1640625" style="5" bestFit="1" customWidth="1"/>
    <col min="22" max="24" width="9" style="5" bestFit="1" customWidth="1"/>
    <col min="25" max="25" width="9.1640625" style="5" bestFit="1" customWidth="1"/>
    <col min="26" max="27" width="8.83203125" style="5"/>
    <col min="28" max="99" width="9" style="5" bestFit="1" customWidth="1"/>
    <col min="100" max="16384" width="8.83203125" style="5"/>
  </cols>
  <sheetData>
    <row r="1" spans="1:43" ht="58" customHeight="1">
      <c r="A1" s="24" t="s">
        <v>170</v>
      </c>
    </row>
    <row r="2" spans="1:43" ht="26">
      <c r="A2" s="25" t="s">
        <v>94</v>
      </c>
    </row>
    <row r="3" spans="1:43">
      <c r="A3" s="5" t="s">
        <v>138</v>
      </c>
    </row>
    <row r="5" spans="1:43">
      <c r="A5" s="67" t="s">
        <v>7</v>
      </c>
    </row>
    <row r="6" spans="1:43">
      <c r="A6" s="67" t="s">
        <v>141</v>
      </c>
    </row>
    <row r="7" spans="1:43">
      <c r="B7" s="74" t="s">
        <v>95</v>
      </c>
      <c r="C7" s="75" t="s">
        <v>96</v>
      </c>
      <c r="D7" s="75" t="s">
        <v>97</v>
      </c>
      <c r="E7" s="75" t="s">
        <v>98</v>
      </c>
      <c r="F7" s="75" t="s">
        <v>99</v>
      </c>
      <c r="G7" s="75" t="s">
        <v>100</v>
      </c>
      <c r="H7" s="75" t="s">
        <v>101</v>
      </c>
      <c r="I7" s="75" t="s">
        <v>102</v>
      </c>
      <c r="J7" s="75" t="s">
        <v>103</v>
      </c>
      <c r="K7" s="75" t="s">
        <v>104</v>
      </c>
      <c r="L7" s="75" t="s">
        <v>105</v>
      </c>
      <c r="M7" s="75" t="s">
        <v>106</v>
      </c>
      <c r="N7" s="75" t="s">
        <v>107</v>
      </c>
      <c r="O7" s="75" t="s">
        <v>108</v>
      </c>
      <c r="P7" s="75" t="s">
        <v>109</v>
      </c>
      <c r="Q7" s="75" t="s">
        <v>110</v>
      </c>
      <c r="R7" s="75" t="s">
        <v>111</v>
      </c>
      <c r="S7" s="75" t="s">
        <v>112</v>
      </c>
      <c r="T7" s="75" t="s">
        <v>113</v>
      </c>
      <c r="U7" s="75" t="s">
        <v>114</v>
      </c>
      <c r="V7" s="75" t="s">
        <v>115</v>
      </c>
      <c r="W7" s="75" t="s">
        <v>116</v>
      </c>
      <c r="X7" s="75" t="s">
        <v>117</v>
      </c>
      <c r="Y7" s="76" t="s">
        <v>118</v>
      </c>
      <c r="AF7" s="68" t="s">
        <v>119</v>
      </c>
      <c r="AG7" s="69" t="s">
        <v>120</v>
      </c>
      <c r="AH7" s="69" t="s">
        <v>121</v>
      </c>
      <c r="AI7" s="69" t="s">
        <v>122</v>
      </c>
      <c r="AJ7" s="69" t="s">
        <v>123</v>
      </c>
      <c r="AK7" s="69" t="s">
        <v>124</v>
      </c>
      <c r="AL7" s="69" t="s">
        <v>125</v>
      </c>
      <c r="AM7" s="69" t="s">
        <v>126</v>
      </c>
      <c r="AN7" s="69" t="s">
        <v>127</v>
      </c>
      <c r="AO7" s="69" t="s">
        <v>128</v>
      </c>
      <c r="AP7" s="69" t="s">
        <v>129</v>
      </c>
      <c r="AQ7" s="70" t="s">
        <v>130</v>
      </c>
    </row>
    <row r="8" spans="1:43">
      <c r="B8" s="77">
        <v>43555</v>
      </c>
      <c r="C8" s="78">
        <v>43646</v>
      </c>
      <c r="D8" s="78">
        <v>43738</v>
      </c>
      <c r="E8" s="78">
        <v>43830</v>
      </c>
      <c r="F8" s="78">
        <f>B8+366</f>
        <v>43921</v>
      </c>
      <c r="G8" s="78">
        <f t="shared" ref="G8:I8" si="0">C8+366</f>
        <v>44012</v>
      </c>
      <c r="H8" s="78">
        <f t="shared" si="0"/>
        <v>44104</v>
      </c>
      <c r="I8" s="78">
        <f t="shared" si="0"/>
        <v>44196</v>
      </c>
      <c r="J8" s="78">
        <f>F8+365</f>
        <v>44286</v>
      </c>
      <c r="K8" s="78">
        <f t="shared" ref="K8:U8" si="1">G8+365</f>
        <v>44377</v>
      </c>
      <c r="L8" s="78">
        <f t="shared" si="1"/>
        <v>44469</v>
      </c>
      <c r="M8" s="78">
        <f t="shared" si="1"/>
        <v>44561</v>
      </c>
      <c r="N8" s="78">
        <f t="shared" si="1"/>
        <v>44651</v>
      </c>
      <c r="O8" s="78">
        <f t="shared" si="1"/>
        <v>44742</v>
      </c>
      <c r="P8" s="78">
        <f t="shared" si="1"/>
        <v>44834</v>
      </c>
      <c r="Q8" s="78">
        <f t="shared" si="1"/>
        <v>44926</v>
      </c>
      <c r="R8" s="78">
        <f t="shared" si="1"/>
        <v>45016</v>
      </c>
      <c r="S8" s="78">
        <f t="shared" si="1"/>
        <v>45107</v>
      </c>
      <c r="T8" s="78">
        <f t="shared" si="1"/>
        <v>45199</v>
      </c>
      <c r="U8" s="78">
        <f t="shared" si="1"/>
        <v>45291</v>
      </c>
      <c r="V8" s="78">
        <f>R8+366</f>
        <v>45382</v>
      </c>
      <c r="W8" s="78">
        <f t="shared" ref="W8:Y8" si="2">S8+366</f>
        <v>45473</v>
      </c>
      <c r="X8" s="78">
        <f t="shared" si="2"/>
        <v>45565</v>
      </c>
      <c r="Y8" s="79">
        <f t="shared" si="2"/>
        <v>45657</v>
      </c>
      <c r="AF8" s="71">
        <v>2019</v>
      </c>
      <c r="AG8" s="72">
        <f t="shared" ref="AG8:AQ8" si="3">+AF8+1</f>
        <v>2020</v>
      </c>
      <c r="AH8" s="72">
        <f t="shared" si="3"/>
        <v>2021</v>
      </c>
      <c r="AI8" s="72">
        <f t="shared" si="3"/>
        <v>2022</v>
      </c>
      <c r="AJ8" s="72">
        <f t="shared" si="3"/>
        <v>2023</v>
      </c>
      <c r="AK8" s="72">
        <f t="shared" si="3"/>
        <v>2024</v>
      </c>
      <c r="AL8" s="72">
        <f t="shared" si="3"/>
        <v>2025</v>
      </c>
      <c r="AM8" s="72">
        <f t="shared" si="3"/>
        <v>2026</v>
      </c>
      <c r="AN8" s="72">
        <f t="shared" si="3"/>
        <v>2027</v>
      </c>
      <c r="AO8" s="72">
        <f t="shared" si="3"/>
        <v>2028</v>
      </c>
      <c r="AP8" s="72">
        <f t="shared" si="3"/>
        <v>2029</v>
      </c>
      <c r="AQ8" s="73">
        <f t="shared" si="3"/>
        <v>2030</v>
      </c>
    </row>
    <row r="9" spans="1:43" s="58" customFormat="1">
      <c r="A9" s="55" t="s">
        <v>157</v>
      </c>
      <c r="B9" s="57"/>
      <c r="C9" s="57"/>
      <c r="D9" s="57"/>
      <c r="E9" s="57"/>
      <c r="F9" s="57"/>
      <c r="G9" s="57"/>
      <c r="H9" s="57"/>
      <c r="I9" s="57"/>
      <c r="J9" s="57"/>
      <c r="K9" s="57"/>
      <c r="L9" s="57"/>
      <c r="M9" s="57"/>
      <c r="N9" s="57"/>
      <c r="O9" s="57"/>
      <c r="P9" s="57"/>
      <c r="Q9" s="57"/>
      <c r="R9" s="57"/>
      <c r="S9" s="57"/>
      <c r="T9" s="57"/>
      <c r="U9" s="57"/>
      <c r="V9" s="57"/>
      <c r="W9" s="57"/>
      <c r="X9" s="57"/>
      <c r="Y9" s="57"/>
    </row>
    <row r="10" spans="1:43" s="8" customFormat="1">
      <c r="A10" s="8" t="s">
        <v>34</v>
      </c>
      <c r="B10" s="9"/>
      <c r="C10" s="9"/>
      <c r="D10" s="9"/>
      <c r="E10" s="9"/>
      <c r="F10" s="9">
        <f>Drivers!F75</f>
        <v>297</v>
      </c>
      <c r="G10" s="9">
        <f>Drivers!G75</f>
        <v>0</v>
      </c>
      <c r="H10" s="9">
        <f>Drivers!H75</f>
        <v>0</v>
      </c>
      <c r="I10" s="9">
        <f>Drivers!I75</f>
        <v>168</v>
      </c>
      <c r="J10" s="9">
        <f>Drivers!J75</f>
        <v>198</v>
      </c>
      <c r="K10" s="9">
        <f>Drivers!K75</f>
        <v>192</v>
      </c>
      <c r="L10" s="9">
        <f>Drivers!L75</f>
        <v>176</v>
      </c>
      <c r="M10" s="9">
        <f>Drivers!M75</f>
        <v>155</v>
      </c>
      <c r="N10" s="9">
        <f>Drivers!N75</f>
        <v>215</v>
      </c>
      <c r="O10" s="9">
        <f>Drivers!O75</f>
        <v>218</v>
      </c>
      <c r="P10" s="9">
        <f>Drivers!P75</f>
        <v>176</v>
      </c>
      <c r="Q10" s="9">
        <f>Drivers!Q75</f>
        <v>155</v>
      </c>
      <c r="R10" s="9">
        <f>Drivers!R75</f>
        <v>215</v>
      </c>
      <c r="S10" s="9">
        <f>Drivers!S75</f>
        <v>218</v>
      </c>
      <c r="T10" s="9">
        <f>Drivers!T75</f>
        <v>176</v>
      </c>
      <c r="U10" s="9">
        <f>Drivers!U75</f>
        <v>155</v>
      </c>
      <c r="V10" s="9">
        <f>Drivers!V75</f>
        <v>215</v>
      </c>
      <c r="W10" s="9">
        <f>Drivers!W75</f>
        <v>218</v>
      </c>
      <c r="X10" s="9">
        <f>Drivers!X75</f>
        <v>176</v>
      </c>
      <c r="Y10" s="9">
        <f>Drivers!Y75</f>
        <v>155</v>
      </c>
      <c r="AF10" s="8">
        <v>541</v>
      </c>
      <c r="AG10" s="8">
        <v>657</v>
      </c>
      <c r="AH10" s="8">
        <v>721</v>
      </c>
    </row>
    <row r="11" spans="1:43" s="8" customFormat="1">
      <c r="A11" s="8" t="s">
        <v>150</v>
      </c>
      <c r="B11" s="9"/>
      <c r="C11" s="9"/>
      <c r="D11" s="9"/>
      <c r="E11" s="9"/>
      <c r="F11" s="9">
        <f>Drivers!F77</f>
        <v>0</v>
      </c>
      <c r="G11" s="9">
        <f>Drivers!G77</f>
        <v>0</v>
      </c>
      <c r="H11" s="9">
        <f>Drivers!H77</f>
        <v>0</v>
      </c>
      <c r="I11" s="9">
        <f>Drivers!I77</f>
        <v>717</v>
      </c>
      <c r="J11" s="9">
        <f>Drivers!J77</f>
        <v>534</v>
      </c>
      <c r="K11" s="9">
        <f>Drivers!K77</f>
        <v>305</v>
      </c>
      <c r="L11" s="9">
        <f>Drivers!L77</f>
        <v>558</v>
      </c>
      <c r="M11" s="9">
        <f>Drivers!M77</f>
        <v>877</v>
      </c>
      <c r="N11" s="9">
        <f>Drivers!N77</f>
        <v>695</v>
      </c>
      <c r="O11" s="9">
        <f>Drivers!O77</f>
        <v>452</v>
      </c>
      <c r="P11" s="9">
        <f>Drivers!P77</f>
        <v>452</v>
      </c>
      <c r="Q11" s="9">
        <f>Drivers!Q77</f>
        <v>452</v>
      </c>
      <c r="R11" s="9">
        <f>Drivers!R77</f>
        <v>452</v>
      </c>
      <c r="S11" s="9">
        <f>Drivers!S77</f>
        <v>452</v>
      </c>
      <c r="T11" s="9">
        <f>Drivers!T77</f>
        <v>452</v>
      </c>
      <c r="U11" s="9">
        <f>Drivers!U77</f>
        <v>452</v>
      </c>
      <c r="V11" s="9">
        <f>Drivers!V77</f>
        <v>452</v>
      </c>
      <c r="W11" s="9">
        <f>Drivers!W77</f>
        <v>452</v>
      </c>
      <c r="X11" s="9">
        <f>Drivers!X77</f>
        <v>452</v>
      </c>
      <c r="Y11" s="9">
        <f>Drivers!Y77</f>
        <v>452</v>
      </c>
      <c r="AF11" s="8">
        <v>501</v>
      </c>
      <c r="AG11" s="8">
        <v>1139</v>
      </c>
      <c r="AH11" s="8">
        <v>2274</v>
      </c>
    </row>
    <row r="12" spans="1:43" s="8" customFormat="1">
      <c r="A12" s="8" t="s">
        <v>61</v>
      </c>
      <c r="B12" s="9"/>
      <c r="C12" s="9"/>
      <c r="D12" s="9"/>
      <c r="E12" s="9"/>
      <c r="F12" s="9">
        <f>Drivers!F79</f>
        <v>17440</v>
      </c>
      <c r="G12" s="9">
        <f>Drivers!G79</f>
        <v>18321</v>
      </c>
      <c r="H12" s="9">
        <f>Drivers!H79</f>
        <v>21221</v>
      </c>
      <c r="I12" s="9">
        <f>Drivers!I79</f>
        <v>27187</v>
      </c>
      <c r="J12" s="9">
        <f>Drivers!J79</f>
        <v>25439</v>
      </c>
      <c r="K12" s="9">
        <f>Drivers!K79</f>
        <v>28580</v>
      </c>
      <c r="L12" s="9">
        <f>Drivers!L79</f>
        <v>28276</v>
      </c>
      <c r="M12" s="9">
        <f>Drivers!M79</f>
        <v>32639</v>
      </c>
      <c r="N12" s="9">
        <f>Drivers!N79</f>
        <v>26998</v>
      </c>
      <c r="O12" s="9">
        <f>Drivers!O79</f>
        <v>28152</v>
      </c>
      <c r="P12" s="9">
        <f>Drivers!P79</f>
        <v>26593.577999999998</v>
      </c>
      <c r="Q12" s="9">
        <f>Drivers!Q79</f>
        <v>30696.979499999998</v>
      </c>
      <c r="R12" s="9">
        <f>Drivers!R79</f>
        <v>26188.06</v>
      </c>
      <c r="S12" s="9">
        <f>Drivers!S79</f>
        <v>27307.439999999999</v>
      </c>
      <c r="T12" s="9">
        <f>Drivers!T79</f>
        <v>25795.770659999998</v>
      </c>
      <c r="U12" s="9">
        <f>Drivers!U79</f>
        <v>29776.070114999999</v>
      </c>
      <c r="V12" s="9">
        <f>Drivers!V79</f>
        <v>25656.442382000001</v>
      </c>
      <c r="W12" s="9">
        <f>Drivers!W79</f>
        <v>26753.098967999998</v>
      </c>
      <c r="X12" s="9">
        <f>Drivers!X79</f>
        <v>25272.116515601996</v>
      </c>
      <c r="Y12" s="9">
        <f>Drivers!Y79</f>
        <v>29171.6158916655</v>
      </c>
      <c r="AF12" s="8">
        <v>69655</v>
      </c>
      <c r="AG12" s="8">
        <f>SUM(F12:I12)</f>
        <v>84169</v>
      </c>
      <c r="AH12" s="8">
        <v>114934</v>
      </c>
    </row>
    <row r="13" spans="1:43" s="8" customFormat="1">
      <c r="B13" s="9"/>
      <c r="C13" s="9"/>
      <c r="D13" s="9"/>
      <c r="E13" s="9"/>
      <c r="F13" s="9"/>
      <c r="G13" s="9"/>
      <c r="H13" s="9"/>
      <c r="I13" s="9"/>
      <c r="J13" s="9"/>
      <c r="K13" s="9"/>
      <c r="L13" s="9"/>
      <c r="M13" s="9"/>
      <c r="N13" s="9"/>
      <c r="O13" s="9"/>
      <c r="P13" s="9"/>
      <c r="Q13" s="9"/>
      <c r="R13" s="9"/>
      <c r="S13" s="9"/>
      <c r="T13" s="9"/>
    </row>
    <row r="14" spans="1:43" s="42" customFormat="1">
      <c r="A14" s="40" t="s">
        <v>135</v>
      </c>
      <c r="B14" s="41"/>
      <c r="C14" s="41"/>
      <c r="D14" s="41"/>
      <c r="E14" s="41"/>
      <c r="F14" s="41">
        <f>SUM(F10:F12)</f>
        <v>17737</v>
      </c>
      <c r="G14" s="41">
        <v>18687</v>
      </c>
      <c r="H14" s="41">
        <v>21470</v>
      </c>
      <c r="I14" s="41">
        <v>28072</v>
      </c>
      <c r="J14" s="41">
        <f>SUM(J10:J12)</f>
        <v>26171</v>
      </c>
      <c r="K14" s="41">
        <f t="shared" ref="K14:N14" si="4">SUM(K10:K12)</f>
        <v>29077</v>
      </c>
      <c r="L14" s="41">
        <f t="shared" si="4"/>
        <v>29010</v>
      </c>
      <c r="M14" s="41">
        <f t="shared" si="4"/>
        <v>33671</v>
      </c>
      <c r="N14" s="41">
        <f t="shared" si="4"/>
        <v>27908</v>
      </c>
      <c r="O14" s="41">
        <f>SUM(O10,O11,O12)</f>
        <v>28822</v>
      </c>
      <c r="P14" s="41">
        <f t="shared" ref="P14:Y14" si="5">SUM(P10,P11,P12)</f>
        <v>27221.577999999998</v>
      </c>
      <c r="Q14" s="41">
        <f t="shared" si="5"/>
        <v>31303.979499999998</v>
      </c>
      <c r="R14" s="41">
        <f t="shared" si="5"/>
        <v>26855.06</v>
      </c>
      <c r="S14" s="41">
        <f t="shared" si="5"/>
        <v>27977.439999999999</v>
      </c>
      <c r="T14" s="41">
        <f t="shared" si="5"/>
        <v>26423.770659999998</v>
      </c>
      <c r="U14" s="41">
        <f t="shared" si="5"/>
        <v>30383.070114999999</v>
      </c>
      <c r="V14" s="41">
        <f t="shared" si="5"/>
        <v>26323.442382000001</v>
      </c>
      <c r="W14" s="41">
        <f t="shared" si="5"/>
        <v>27423.098967999998</v>
      </c>
      <c r="X14" s="41">
        <f t="shared" si="5"/>
        <v>25900.116515601996</v>
      </c>
      <c r="Y14" s="41">
        <f t="shared" si="5"/>
        <v>29778.6158916655</v>
      </c>
      <c r="AF14" s="42">
        <f>SUM(AF10:AF12)</f>
        <v>70697</v>
      </c>
      <c r="AG14" s="42">
        <f>SUM(F14:I14)</f>
        <v>85966</v>
      </c>
      <c r="AH14" s="42">
        <f t="shared" ref="AH14" si="6">SUM(AH10:AH12)</f>
        <v>117929</v>
      </c>
      <c r="AI14" s="42">
        <f>SUM(N14:Q14)</f>
        <v>115255.5575</v>
      </c>
      <c r="AJ14" s="42">
        <f>+AI14*1.03</f>
        <v>118713.224225</v>
      </c>
      <c r="AK14" s="42">
        <f t="shared" ref="AK14:AQ14" si="7">+AJ14*1.03</f>
        <v>122274.62095175</v>
      </c>
      <c r="AL14" s="42">
        <f t="shared" si="7"/>
        <v>125942.85958030249</v>
      </c>
      <c r="AM14" s="42">
        <f t="shared" si="7"/>
        <v>129721.14536771158</v>
      </c>
      <c r="AN14" s="42">
        <f t="shared" si="7"/>
        <v>133612.77972874293</v>
      </c>
      <c r="AO14" s="42">
        <f t="shared" si="7"/>
        <v>137621.16312060523</v>
      </c>
      <c r="AP14" s="42">
        <f t="shared" si="7"/>
        <v>141749.7980142234</v>
      </c>
      <c r="AQ14" s="42">
        <f t="shared" si="7"/>
        <v>146002.29195465011</v>
      </c>
    </row>
    <row r="15" spans="1:43" s="11" customFormat="1">
      <c r="A15" s="11" t="s">
        <v>137</v>
      </c>
      <c r="B15" s="12"/>
      <c r="C15" s="12"/>
      <c r="D15" s="12"/>
      <c r="E15" s="12"/>
      <c r="F15" s="12"/>
      <c r="G15" s="12"/>
      <c r="H15" s="12"/>
      <c r="I15" s="12"/>
      <c r="J15" s="54">
        <f>J14/F14-1</f>
        <v>0.47550318543158365</v>
      </c>
      <c r="K15" s="54">
        <f t="shared" ref="K15:Y15" si="8">K14/G14-1</f>
        <v>0.5560014983678494</v>
      </c>
      <c r="L15" s="54">
        <f t="shared" si="8"/>
        <v>0.35118770377270603</v>
      </c>
      <c r="M15" s="54">
        <f t="shared" si="8"/>
        <v>0.19945141065830718</v>
      </c>
      <c r="N15" s="54">
        <f t="shared" si="8"/>
        <v>6.6371174200450911E-2</v>
      </c>
      <c r="O15" s="54">
        <f t="shared" si="8"/>
        <v>-8.7698180692643568E-3</v>
      </c>
      <c r="P15" s="54">
        <f t="shared" si="8"/>
        <v>-6.1648466046191008E-2</v>
      </c>
      <c r="Q15" s="54">
        <f t="shared" si="8"/>
        <v>-7.0298491283300235E-2</v>
      </c>
      <c r="R15" s="54">
        <f t="shared" si="8"/>
        <v>-3.7728966604557823E-2</v>
      </c>
      <c r="S15" s="54">
        <f t="shared" si="8"/>
        <v>-2.9302616057178543E-2</v>
      </c>
      <c r="T15" s="54">
        <f t="shared" si="8"/>
        <v>-2.9307901988635643E-2</v>
      </c>
      <c r="U15" s="54">
        <f t="shared" si="8"/>
        <v>-2.9418284822221974E-2</v>
      </c>
      <c r="V15" s="54">
        <f t="shared" si="8"/>
        <v>-1.9795808238745383E-2</v>
      </c>
      <c r="W15" s="54">
        <f t="shared" si="8"/>
        <v>-1.9813858308694421E-2</v>
      </c>
      <c r="X15" s="54">
        <f t="shared" si="8"/>
        <v>-1.9817540468995309E-2</v>
      </c>
      <c r="Y15" s="54">
        <f t="shared" si="8"/>
        <v>-1.9894441906187832E-2</v>
      </c>
    </row>
    <row r="16" spans="1:43" s="11" customFormat="1">
      <c r="A16" s="11" t="s">
        <v>161</v>
      </c>
      <c r="B16" s="12"/>
      <c r="C16" s="12"/>
      <c r="D16" s="12"/>
      <c r="E16" s="12"/>
      <c r="F16" s="12"/>
      <c r="G16" s="54">
        <f>G14/F14-1</f>
        <v>5.3560354062130111E-2</v>
      </c>
      <c r="H16" s="54">
        <f t="shared" ref="H16:Y16" si="9">H14/G14-1</f>
        <v>0.14892706159362112</v>
      </c>
      <c r="I16" s="54">
        <f t="shared" si="9"/>
        <v>0.3074988355845365</v>
      </c>
      <c r="J16" s="54">
        <f t="shared" si="9"/>
        <v>-6.7718723282986559E-2</v>
      </c>
      <c r="K16" s="54">
        <f t="shared" si="9"/>
        <v>0.11103893622712158</v>
      </c>
      <c r="L16" s="54">
        <f t="shared" si="9"/>
        <v>-2.3042267083949186E-3</v>
      </c>
      <c r="M16" s="54">
        <f t="shared" si="9"/>
        <v>0.16066873491899347</v>
      </c>
      <c r="N16" s="54">
        <f t="shared" si="9"/>
        <v>-0.1711561878174096</v>
      </c>
      <c r="O16" s="54">
        <f t="shared" si="9"/>
        <v>3.2750465816253405E-2</v>
      </c>
      <c r="P16" s="54">
        <f t="shared" si="9"/>
        <v>-5.5527791270557292E-2</v>
      </c>
      <c r="Q16" s="54">
        <f t="shared" si="9"/>
        <v>0.14996931845758543</v>
      </c>
      <c r="R16" s="54">
        <f t="shared" si="9"/>
        <v>-0.14211993398475098</v>
      </c>
      <c r="S16" s="54">
        <f t="shared" si="9"/>
        <v>4.1793985937845557E-2</v>
      </c>
      <c r="T16" s="54">
        <f t="shared" si="9"/>
        <v>-5.5532934392853672E-2</v>
      </c>
      <c r="U16" s="54">
        <f t="shared" si="9"/>
        <v>0.14983854900744897</v>
      </c>
      <c r="V16" s="54">
        <f t="shared" si="9"/>
        <v>-0.13361479658356767</v>
      </c>
      <c r="W16" s="54">
        <f t="shared" si="9"/>
        <v>4.1774801716357057E-2</v>
      </c>
      <c r="X16" s="54">
        <f t="shared" si="9"/>
        <v>-5.5536482371126961E-2</v>
      </c>
      <c r="Y16" s="54">
        <f t="shared" si="9"/>
        <v>0.14974833699018819</v>
      </c>
    </row>
    <row r="17" spans="1:43" s="15" customFormat="1">
      <c r="B17" s="16"/>
      <c r="C17" s="16"/>
      <c r="D17" s="16"/>
      <c r="E17" s="16"/>
      <c r="F17" s="16"/>
      <c r="G17" s="16"/>
      <c r="H17" s="16"/>
      <c r="I17" s="16"/>
      <c r="J17" s="16"/>
      <c r="K17" s="16"/>
      <c r="L17" s="16"/>
      <c r="M17" s="16"/>
      <c r="N17" s="16"/>
      <c r="O17" s="16"/>
      <c r="P17" s="16"/>
      <c r="Q17" s="16"/>
      <c r="R17" s="16"/>
      <c r="S17" s="16"/>
      <c r="T17" s="16"/>
    </row>
    <row r="18" spans="1:43" s="8" customFormat="1">
      <c r="A18" s="8" t="s">
        <v>160</v>
      </c>
      <c r="B18" s="9"/>
      <c r="C18" s="9"/>
      <c r="D18" s="9"/>
      <c r="E18" s="9"/>
      <c r="F18" s="9">
        <v>-3459</v>
      </c>
      <c r="G18" s="9">
        <v>-3829</v>
      </c>
      <c r="H18" s="9">
        <v>-4194</v>
      </c>
      <c r="I18" s="9">
        <v>-5210</v>
      </c>
      <c r="J18" s="9">
        <v>-5131</v>
      </c>
      <c r="K18" s="9">
        <v>-5399</v>
      </c>
      <c r="L18" s="9">
        <v>-5771</v>
      </c>
      <c r="M18" s="9">
        <v>-6348</v>
      </c>
      <c r="N18" s="9">
        <v>-6005</v>
      </c>
      <c r="O18" s="9">
        <v>-5192</v>
      </c>
      <c r="P18" s="9">
        <f>P19*P14</f>
        <v>-5988.7471599999999</v>
      </c>
      <c r="Q18" s="9">
        <f t="shared" ref="Q18:Y18" si="10">Q19*Q14</f>
        <v>-6886.8754899999994</v>
      </c>
      <c r="R18" s="9">
        <f t="shared" si="10"/>
        <v>-5908.1132000000007</v>
      </c>
      <c r="S18" s="9">
        <f t="shared" si="10"/>
        <v>-6155.0367999999999</v>
      </c>
      <c r="T18" s="9">
        <f t="shared" si="10"/>
        <v>-5813.2295451999998</v>
      </c>
      <c r="U18" s="9">
        <f t="shared" si="10"/>
        <v>-6684.2754252999994</v>
      </c>
      <c r="V18" s="9">
        <f t="shared" si="10"/>
        <v>-5791.1573240400003</v>
      </c>
      <c r="W18" s="9">
        <f t="shared" si="10"/>
        <v>-6033.0817729599994</v>
      </c>
      <c r="X18" s="9">
        <f t="shared" si="10"/>
        <v>-5698.0256334324395</v>
      </c>
      <c r="Y18" s="9">
        <f t="shared" si="10"/>
        <v>-6551.29549616641</v>
      </c>
      <c r="AG18" s="8">
        <v>16692</v>
      </c>
      <c r="AH18" s="8">
        <v>22649</v>
      </c>
      <c r="AI18" s="8">
        <f>+AI14-AI23</f>
        <v>21898.555924999993</v>
      </c>
      <c r="AJ18" s="8">
        <f t="shared" ref="AJ18:AQ18" si="11">+AJ14-AJ23</f>
        <v>22555.512602749994</v>
      </c>
      <c r="AK18" s="8">
        <f t="shared" si="11"/>
        <v>23232.177980832494</v>
      </c>
      <c r="AL18" s="8">
        <f t="shared" si="11"/>
        <v>23929.14332025747</v>
      </c>
      <c r="AM18" s="8">
        <f t="shared" si="11"/>
        <v>24647.01761986519</v>
      </c>
      <c r="AN18" s="8">
        <f t="shared" si="11"/>
        <v>25386.428148461142</v>
      </c>
      <c r="AO18" s="8">
        <f t="shared" si="11"/>
        <v>26148.020992914986</v>
      </c>
      <c r="AP18" s="8">
        <f t="shared" si="11"/>
        <v>26932.461622702438</v>
      </c>
      <c r="AQ18" s="8">
        <f t="shared" si="11"/>
        <v>27740.435471383506</v>
      </c>
    </row>
    <row r="19" spans="1:43" s="11" customFormat="1">
      <c r="A19" s="11" t="s">
        <v>158</v>
      </c>
      <c r="B19" s="12"/>
      <c r="C19" s="12"/>
      <c r="D19" s="12"/>
      <c r="E19" s="12"/>
      <c r="F19" s="65">
        <f t="shared" ref="F19:M19" si="12">(-F18/F14)*-1</f>
        <v>-0.19501606810621863</v>
      </c>
      <c r="G19" s="65">
        <f t="shared" si="12"/>
        <v>-0.20490180339273292</v>
      </c>
      <c r="H19" s="65">
        <f t="shared" si="12"/>
        <v>-0.19534233814625057</v>
      </c>
      <c r="I19" s="65">
        <f t="shared" si="12"/>
        <v>-0.18559418637788544</v>
      </c>
      <c r="J19" s="65">
        <f t="shared" si="12"/>
        <v>-0.19605670398532726</v>
      </c>
      <c r="K19" s="65">
        <f t="shared" si="12"/>
        <v>-0.18567940296454241</v>
      </c>
      <c r="L19" s="65">
        <f t="shared" si="12"/>
        <v>-0.19893140296449499</v>
      </c>
      <c r="M19" s="65">
        <f t="shared" si="12"/>
        <v>-0.18853018918357042</v>
      </c>
      <c r="N19" s="65">
        <f t="shared" ref="N19" si="13">(-N18/N14)*-1</f>
        <v>-0.21517127705317471</v>
      </c>
      <c r="O19" s="65">
        <f t="shared" ref="O19" si="14">(-O18/O14)*-1</f>
        <v>-0.18014017070293525</v>
      </c>
      <c r="P19" s="65">
        <v>-0.22</v>
      </c>
      <c r="Q19" s="65">
        <v>-0.22</v>
      </c>
      <c r="R19" s="65">
        <v>-0.22</v>
      </c>
      <c r="S19" s="65">
        <v>-0.22</v>
      </c>
      <c r="T19" s="65">
        <v>-0.22</v>
      </c>
      <c r="U19" s="65">
        <v>-0.22</v>
      </c>
      <c r="V19" s="65">
        <v>-0.22</v>
      </c>
      <c r="W19" s="65">
        <v>-0.22</v>
      </c>
      <c r="X19" s="65">
        <v>-0.22</v>
      </c>
      <c r="Y19" s="65">
        <v>-0.22</v>
      </c>
    </row>
    <row r="20" spans="1:43" s="8" customFormat="1">
      <c r="A20" s="8" t="s">
        <v>162</v>
      </c>
      <c r="B20" s="9"/>
      <c r="C20" s="9"/>
      <c r="D20" s="9"/>
      <c r="E20" s="9"/>
      <c r="F20" s="39"/>
      <c r="G20" s="39"/>
      <c r="H20" s="39"/>
      <c r="I20" s="39"/>
      <c r="J20" s="39">
        <f>J18/F18-1</f>
        <v>0.48337669846776521</v>
      </c>
      <c r="K20" s="39">
        <f t="shared" ref="K20:Y20" si="15">K18/G18-1</f>
        <v>0.41002872812744839</v>
      </c>
      <c r="L20" s="39">
        <f t="shared" si="15"/>
        <v>0.37601335240820211</v>
      </c>
      <c r="M20" s="39">
        <f t="shared" si="15"/>
        <v>0.2184261036468329</v>
      </c>
      <c r="N20" s="39">
        <f t="shared" si="15"/>
        <v>0.17033716624439688</v>
      </c>
      <c r="O20" s="39">
        <f t="shared" si="15"/>
        <v>-3.8340433413595165E-2</v>
      </c>
      <c r="P20" s="39">
        <f t="shared" si="15"/>
        <v>3.7731270143822604E-2</v>
      </c>
      <c r="Q20" s="39">
        <f t="shared" si="15"/>
        <v>8.4889018588531817E-2</v>
      </c>
      <c r="R20" s="39">
        <f t="shared" si="15"/>
        <v>-1.6134354704412823E-2</v>
      </c>
      <c r="S20" s="39">
        <f t="shared" si="15"/>
        <v>0.18548474576271179</v>
      </c>
      <c r="T20" s="39">
        <f t="shared" si="15"/>
        <v>-2.9307901988635643E-2</v>
      </c>
      <c r="U20" s="39">
        <f t="shared" si="15"/>
        <v>-2.9418284822222085E-2</v>
      </c>
      <c r="V20" s="39">
        <f t="shared" si="15"/>
        <v>-1.9795808238745383E-2</v>
      </c>
      <c r="W20" s="39">
        <f t="shared" si="15"/>
        <v>-1.9813858308694532E-2</v>
      </c>
      <c r="X20" s="39">
        <f t="shared" si="15"/>
        <v>-1.9817540468995309E-2</v>
      </c>
      <c r="Y20" s="39">
        <f t="shared" si="15"/>
        <v>-1.9894441906187721E-2</v>
      </c>
    </row>
    <row r="21" spans="1:43" s="8" customFormat="1">
      <c r="B21" s="9"/>
      <c r="C21" s="9"/>
      <c r="D21" s="9"/>
      <c r="E21" s="9"/>
      <c r="F21" s="39"/>
      <c r="G21" s="39"/>
      <c r="H21" s="39"/>
      <c r="I21" s="39"/>
      <c r="J21" s="39"/>
      <c r="K21" s="39"/>
      <c r="L21" s="39"/>
      <c r="M21" s="39"/>
      <c r="N21" s="39"/>
      <c r="O21" s="39"/>
      <c r="P21" s="39"/>
      <c r="Q21" s="39"/>
      <c r="R21" s="39"/>
      <c r="S21" s="39"/>
      <c r="T21" s="39"/>
      <c r="U21" s="39"/>
      <c r="V21" s="39"/>
      <c r="W21" s="39"/>
      <c r="X21" s="39"/>
      <c r="Y21" s="39"/>
    </row>
    <row r="22" spans="1:43" s="8" customFormat="1">
      <c r="B22" s="9"/>
      <c r="C22" s="9"/>
      <c r="D22" s="9"/>
      <c r="E22" s="9"/>
      <c r="F22" s="9"/>
      <c r="G22" s="9"/>
      <c r="H22" s="9"/>
      <c r="I22" s="9"/>
      <c r="J22" s="9"/>
      <c r="K22" s="9"/>
      <c r="L22" s="9"/>
      <c r="M22" s="9"/>
      <c r="N22" s="9"/>
      <c r="O22" s="9"/>
      <c r="P22" s="9"/>
      <c r="Q22" s="9"/>
      <c r="R22" s="9"/>
      <c r="S22" s="9"/>
      <c r="T22" s="9"/>
    </row>
    <row r="23" spans="1:43" s="61" customFormat="1">
      <c r="A23" s="59" t="s">
        <v>136</v>
      </c>
      <c r="B23" s="60"/>
      <c r="C23" s="60"/>
      <c r="D23" s="60"/>
      <c r="E23" s="60"/>
      <c r="F23" s="60">
        <f>F14+F18</f>
        <v>14278</v>
      </c>
      <c r="G23" s="60">
        <f t="shared" ref="G23:Y23" si="16">G14+G18</f>
        <v>14858</v>
      </c>
      <c r="H23" s="60">
        <f t="shared" si="16"/>
        <v>17276</v>
      </c>
      <c r="I23" s="60">
        <f t="shared" si="16"/>
        <v>22862</v>
      </c>
      <c r="J23" s="60">
        <f t="shared" si="16"/>
        <v>21040</v>
      </c>
      <c r="K23" s="60">
        <f t="shared" si="16"/>
        <v>23678</v>
      </c>
      <c r="L23" s="60">
        <f t="shared" si="16"/>
        <v>23239</v>
      </c>
      <c r="M23" s="60">
        <f t="shared" si="16"/>
        <v>27323</v>
      </c>
      <c r="N23" s="60">
        <f t="shared" si="16"/>
        <v>21903</v>
      </c>
      <c r="O23" s="60">
        <f t="shared" si="16"/>
        <v>23630</v>
      </c>
      <c r="P23" s="60">
        <f t="shared" si="16"/>
        <v>21232.830839999999</v>
      </c>
      <c r="Q23" s="60">
        <f t="shared" si="16"/>
        <v>24417.104009999999</v>
      </c>
      <c r="R23" s="60">
        <f t="shared" si="16"/>
        <v>20946.946800000002</v>
      </c>
      <c r="S23" s="60">
        <f t="shared" si="16"/>
        <v>21822.403200000001</v>
      </c>
      <c r="T23" s="60">
        <f t="shared" si="16"/>
        <v>20610.541114799998</v>
      </c>
      <c r="U23" s="60">
        <f t="shared" si="16"/>
        <v>23698.7946897</v>
      </c>
      <c r="V23" s="60">
        <f t="shared" si="16"/>
        <v>20532.285057960002</v>
      </c>
      <c r="W23" s="60">
        <f t="shared" si="16"/>
        <v>21390.01719504</v>
      </c>
      <c r="X23" s="60">
        <f t="shared" si="16"/>
        <v>20202.090882169556</v>
      </c>
      <c r="Y23" s="60">
        <f t="shared" si="16"/>
        <v>23227.320395499089</v>
      </c>
      <c r="AG23" s="61">
        <f>+AG14-AG18</f>
        <v>69274</v>
      </c>
      <c r="AH23" s="61">
        <f t="shared" ref="AH23" si="17">+AH14-AH18</f>
        <v>95280</v>
      </c>
      <c r="AI23" s="61">
        <f>+AI14*0.81</f>
        <v>93357.001575000002</v>
      </c>
      <c r="AJ23" s="61">
        <f t="shared" ref="AJ23:AQ23" si="18">+AJ14*0.81</f>
        <v>96157.711622250004</v>
      </c>
      <c r="AK23" s="61">
        <f t="shared" si="18"/>
        <v>99042.442970917502</v>
      </c>
      <c r="AL23" s="61">
        <f t="shared" si="18"/>
        <v>102013.71626004502</v>
      </c>
      <c r="AM23" s="61">
        <f t="shared" si="18"/>
        <v>105074.12774784639</v>
      </c>
      <c r="AN23" s="61">
        <f t="shared" si="18"/>
        <v>108226.35158028179</v>
      </c>
      <c r="AO23" s="61">
        <f t="shared" si="18"/>
        <v>111473.14212769024</v>
      </c>
      <c r="AP23" s="61">
        <f t="shared" si="18"/>
        <v>114817.33639152096</v>
      </c>
      <c r="AQ23" s="61">
        <f t="shared" si="18"/>
        <v>118261.8564832666</v>
      </c>
    </row>
    <row r="24" spans="1:43" s="11" customFormat="1">
      <c r="A24" s="11" t="s">
        <v>137</v>
      </c>
      <c r="B24" s="12"/>
      <c r="C24" s="12"/>
      <c r="D24" s="12"/>
      <c r="E24" s="12"/>
      <c r="F24" s="12"/>
      <c r="G24" s="12"/>
      <c r="H24" s="12"/>
      <c r="I24" s="12"/>
      <c r="J24" s="65">
        <f>J23/F23-1</f>
        <v>0.47359574170051832</v>
      </c>
      <c r="K24" s="65">
        <f t="shared" ref="K24:Y24" si="19">K23/G23-1</f>
        <v>0.59361959886929605</v>
      </c>
      <c r="L24" s="65">
        <f t="shared" si="19"/>
        <v>0.34516091687890715</v>
      </c>
      <c r="M24" s="65">
        <f t="shared" si="19"/>
        <v>0.19512728545184155</v>
      </c>
      <c r="N24" s="65">
        <f t="shared" si="19"/>
        <v>4.1017110266159618E-2</v>
      </c>
      <c r="O24" s="65">
        <f t="shared" si="19"/>
        <v>-2.0271982430948299E-3</v>
      </c>
      <c r="P24" s="65">
        <f t="shared" si="19"/>
        <v>-8.6327688799001767E-2</v>
      </c>
      <c r="Q24" s="65">
        <f t="shared" si="19"/>
        <v>-0.10635347472825096</v>
      </c>
      <c r="R24" s="65">
        <f t="shared" si="19"/>
        <v>-4.3649417887960507E-2</v>
      </c>
      <c r="S24" s="65">
        <f t="shared" si="19"/>
        <v>-7.6495844265763835E-2</v>
      </c>
      <c r="T24" s="65">
        <f t="shared" si="19"/>
        <v>-2.9307901988635643E-2</v>
      </c>
      <c r="U24" s="65">
        <f t="shared" si="19"/>
        <v>-2.9418284822221974E-2</v>
      </c>
      <c r="V24" s="65">
        <f t="shared" si="19"/>
        <v>-1.9795808238745272E-2</v>
      </c>
      <c r="W24" s="65">
        <f t="shared" si="19"/>
        <v>-1.9813858308694421E-2</v>
      </c>
      <c r="X24" s="65">
        <f t="shared" si="19"/>
        <v>-1.981754046899542E-2</v>
      </c>
      <c r="Y24" s="65">
        <f t="shared" si="19"/>
        <v>-1.9894441906187943E-2</v>
      </c>
    </row>
    <row r="25" spans="1:43" s="8" customFormat="1">
      <c r="A25" s="8" t="s">
        <v>20</v>
      </c>
      <c r="B25" s="9"/>
      <c r="C25" s="9"/>
      <c r="D25" s="9"/>
      <c r="E25" s="9"/>
      <c r="F25" s="39">
        <f t="shared" ref="F25:Y25" si="20">F23/F$14</f>
        <v>0.80498393189378137</v>
      </c>
      <c r="G25" s="39">
        <f t="shared" si="20"/>
        <v>0.7950981966072671</v>
      </c>
      <c r="H25" s="39">
        <f t="shared" si="20"/>
        <v>0.80465766185374943</v>
      </c>
      <c r="I25" s="39">
        <f t="shared" si="20"/>
        <v>0.81440581362211462</v>
      </c>
      <c r="J25" s="39">
        <f t="shared" si="20"/>
        <v>0.80394329601467274</v>
      </c>
      <c r="K25" s="39">
        <f t="shared" si="20"/>
        <v>0.81432059703545756</v>
      </c>
      <c r="L25" s="39">
        <f t="shared" si="20"/>
        <v>0.80106859703550504</v>
      </c>
      <c r="M25" s="39">
        <f t="shared" si="20"/>
        <v>0.81146981081642955</v>
      </c>
      <c r="N25" s="39">
        <f t="shared" si="20"/>
        <v>0.78482872294682526</v>
      </c>
      <c r="O25" s="39">
        <f t="shared" si="20"/>
        <v>0.81985982929706469</v>
      </c>
      <c r="P25" s="39">
        <f t="shared" si="20"/>
        <v>0.78</v>
      </c>
      <c r="Q25" s="39">
        <f t="shared" si="20"/>
        <v>0.78</v>
      </c>
      <c r="R25" s="39">
        <f t="shared" si="20"/>
        <v>0.78</v>
      </c>
      <c r="S25" s="39">
        <f t="shared" si="20"/>
        <v>0.78</v>
      </c>
      <c r="T25" s="39">
        <f t="shared" si="20"/>
        <v>0.78</v>
      </c>
      <c r="U25" s="39">
        <f t="shared" si="20"/>
        <v>0.78</v>
      </c>
      <c r="V25" s="39">
        <f t="shared" si="20"/>
        <v>0.78</v>
      </c>
      <c r="W25" s="39">
        <f t="shared" si="20"/>
        <v>0.78</v>
      </c>
      <c r="X25" s="39">
        <f t="shared" si="20"/>
        <v>0.77999999999999992</v>
      </c>
      <c r="Y25" s="39">
        <f t="shared" si="20"/>
        <v>0.78</v>
      </c>
    </row>
    <row r="26" spans="1:43" s="8" customFormat="1">
      <c r="B26" s="9"/>
      <c r="C26" s="9"/>
      <c r="D26" s="9"/>
      <c r="E26" s="9"/>
      <c r="F26" s="39"/>
      <c r="G26" s="39"/>
      <c r="H26" s="39"/>
      <c r="I26" s="39"/>
      <c r="J26" s="39"/>
      <c r="K26" s="39"/>
      <c r="L26" s="39"/>
      <c r="M26" s="39"/>
      <c r="N26" s="39"/>
      <c r="O26" s="39"/>
      <c r="P26" s="39"/>
      <c r="Q26" s="39"/>
      <c r="R26" s="39"/>
      <c r="S26" s="39"/>
      <c r="T26" s="39"/>
      <c r="U26" s="39"/>
      <c r="V26" s="39"/>
      <c r="W26" s="39"/>
      <c r="X26" s="39"/>
      <c r="Y26" s="39"/>
    </row>
    <row r="27" spans="1:43" s="64" customFormat="1">
      <c r="A27" s="62" t="s">
        <v>159</v>
      </c>
      <c r="B27" s="63"/>
      <c r="C27" s="63"/>
      <c r="D27" s="63"/>
      <c r="E27" s="63"/>
      <c r="F27" s="63"/>
      <c r="G27" s="63"/>
      <c r="H27" s="63"/>
      <c r="I27" s="63"/>
      <c r="J27" s="63"/>
      <c r="K27" s="63"/>
      <c r="L27" s="63"/>
      <c r="M27" s="63"/>
      <c r="N27" s="63"/>
      <c r="O27" s="63"/>
      <c r="P27" s="63"/>
      <c r="Q27" s="63"/>
      <c r="R27" s="63"/>
      <c r="S27" s="63"/>
      <c r="T27" s="63"/>
    </row>
    <row r="28" spans="1:43" s="8" customFormat="1">
      <c r="A28" s="8" t="s">
        <v>131</v>
      </c>
      <c r="B28" s="9"/>
      <c r="C28" s="9"/>
      <c r="D28" s="9"/>
      <c r="E28" s="9"/>
      <c r="F28" s="9">
        <v>-4015</v>
      </c>
      <c r="G28" s="9">
        <v>-4462</v>
      </c>
      <c r="H28" s="9">
        <v>-4763</v>
      </c>
      <c r="I28" s="9">
        <v>-5208</v>
      </c>
      <c r="J28" s="9">
        <v>-5197</v>
      </c>
      <c r="K28" s="9">
        <v>-6096</v>
      </c>
      <c r="L28" s="9">
        <v>-6316</v>
      </c>
      <c r="M28" s="9">
        <v>-7046</v>
      </c>
      <c r="N28" s="9">
        <v>-7707</v>
      </c>
      <c r="O28" s="9">
        <v>-8690</v>
      </c>
      <c r="P28" s="9">
        <f>L28*(1+P30)</f>
        <v>-7895</v>
      </c>
      <c r="Q28" s="9">
        <f t="shared" ref="Q28:Y28" si="21">M28*(1+Q30)</f>
        <v>-8455.1999999999989</v>
      </c>
      <c r="R28" s="9">
        <f t="shared" si="21"/>
        <v>-8477.7000000000007</v>
      </c>
      <c r="S28" s="9">
        <f t="shared" si="21"/>
        <v>-9124.5</v>
      </c>
      <c r="T28" s="9">
        <f t="shared" si="21"/>
        <v>-7500.25</v>
      </c>
      <c r="U28" s="9">
        <f t="shared" si="21"/>
        <v>-8032.4399999999987</v>
      </c>
      <c r="V28" s="9">
        <f t="shared" si="21"/>
        <v>-8053.8150000000005</v>
      </c>
      <c r="W28" s="9">
        <f t="shared" si="21"/>
        <v>-8668.2749999999996</v>
      </c>
      <c r="X28" s="9">
        <f t="shared" si="21"/>
        <v>-7125.2374999999993</v>
      </c>
      <c r="Y28" s="9">
        <f t="shared" si="21"/>
        <v>-7630.8179999999984</v>
      </c>
      <c r="AG28" s="8">
        <v>18447</v>
      </c>
      <c r="AH28" s="8">
        <v>24655</v>
      </c>
      <c r="AI28" s="8">
        <f>+AH28*0.9</f>
        <v>22189.5</v>
      </c>
      <c r="AJ28" s="8">
        <f t="shared" ref="AJ28:AQ28" si="22">+AI28*0.9</f>
        <v>19970.55</v>
      </c>
      <c r="AK28" s="8">
        <f t="shared" si="22"/>
        <v>17973.494999999999</v>
      </c>
      <c r="AL28" s="8">
        <f t="shared" si="22"/>
        <v>16176.145499999999</v>
      </c>
      <c r="AM28" s="8">
        <f t="shared" si="22"/>
        <v>14558.530949999998</v>
      </c>
      <c r="AN28" s="8">
        <f t="shared" si="22"/>
        <v>13102.677854999998</v>
      </c>
      <c r="AO28" s="8">
        <f t="shared" si="22"/>
        <v>11792.410069499998</v>
      </c>
      <c r="AP28" s="8">
        <f t="shared" si="22"/>
        <v>10613.169062549998</v>
      </c>
      <c r="AQ28" s="8">
        <f t="shared" si="22"/>
        <v>9551.8521562949991</v>
      </c>
    </row>
    <row r="29" spans="1:43" s="8" customFormat="1">
      <c r="A29" s="8" t="s">
        <v>158</v>
      </c>
      <c r="B29" s="9"/>
      <c r="C29" s="9"/>
      <c r="D29" s="9"/>
      <c r="E29" s="9"/>
      <c r="F29" s="39">
        <f>F28/F$14</f>
        <v>-0.22636297006258105</v>
      </c>
      <c r="G29" s="39">
        <f t="shared" ref="G29" si="23">G28/G$14</f>
        <v>-0.23877561941456626</v>
      </c>
      <c r="H29" s="39">
        <f t="shared" ref="H29" si="24">H28/H$14</f>
        <v>-0.22184443409408477</v>
      </c>
      <c r="I29" s="39">
        <f t="shared" ref="I29" si="25">I28/I$14</f>
        <v>-0.18552294100883443</v>
      </c>
      <c r="J29" s="39">
        <f t="shared" ref="J29" si="26">J28/J$14</f>
        <v>-0.19857857934354819</v>
      </c>
      <c r="K29" s="39">
        <f t="shared" ref="K29" si="27">K28/K$14</f>
        <v>-0.2096502390205317</v>
      </c>
      <c r="L29" s="39">
        <f t="shared" ref="L29" si="28">L28/L$14</f>
        <v>-0.21771802826611514</v>
      </c>
      <c r="M29" s="39">
        <f t="shared" ref="M29" si="29">M28/M$14</f>
        <v>-0.20926019423242553</v>
      </c>
      <c r="N29" s="39">
        <f t="shared" ref="N29" si="30">N28/N$14</f>
        <v>-0.27615737422961156</v>
      </c>
      <c r="O29" s="39">
        <f t="shared" ref="O29:P29" si="31">O28/O$14</f>
        <v>-0.30150579418499757</v>
      </c>
      <c r="P29" s="39">
        <f t="shared" si="31"/>
        <v>-0.29002727174743509</v>
      </c>
      <c r="Q29" s="39">
        <f t="shared" ref="Q29" si="32">Q28/Q$14</f>
        <v>-0.27009984465393605</v>
      </c>
      <c r="R29" s="39">
        <f t="shared" ref="R29" si="33">R28/R$14</f>
        <v>-0.31568352481804174</v>
      </c>
      <c r="S29" s="39">
        <f t="shared" ref="S29" si="34">S28/S$14</f>
        <v>-0.32613777386351289</v>
      </c>
      <c r="T29" s="39">
        <f t="shared" ref="T29" si="35">T28/T$14</f>
        <v>-0.28384480385132138</v>
      </c>
      <c r="U29" s="39">
        <f t="shared" ref="U29" si="36">U28/U$14</f>
        <v>-0.26437222998193377</v>
      </c>
      <c r="V29" s="39">
        <f t="shared" ref="V29" si="37">V28/V$14</f>
        <v>-0.30595599477928492</v>
      </c>
      <c r="W29" s="39">
        <f t="shared" ref="W29" si="38">W28/W$14</f>
        <v>-0.31609392542086528</v>
      </c>
      <c r="X29" s="39">
        <f t="shared" ref="X29" si="39">X28/X$14</f>
        <v>-0.27510445737600525</v>
      </c>
      <c r="Y29" s="39">
        <f t="shared" ref="Y29" si="40">Y28/Y$14</f>
        <v>-0.25625160107376671</v>
      </c>
    </row>
    <row r="30" spans="1:43" s="8" customFormat="1">
      <c r="A30" s="8" t="s">
        <v>137</v>
      </c>
      <c r="B30" s="9"/>
      <c r="C30" s="9"/>
      <c r="D30" s="9"/>
      <c r="E30" s="9"/>
      <c r="F30" s="9"/>
      <c r="G30" s="9"/>
      <c r="H30" s="9"/>
      <c r="I30" s="9"/>
      <c r="J30" s="39">
        <f>J28/F28-1</f>
        <v>0.29439601494396017</v>
      </c>
      <c r="K30" s="39">
        <f t="shared" ref="K30" si="41">K28/G28-1</f>
        <v>0.36620349619004933</v>
      </c>
      <c r="L30" s="39">
        <f t="shared" ref="L30" si="42">L28/H28-1</f>
        <v>0.32605500734830994</v>
      </c>
      <c r="M30" s="39">
        <f t="shared" ref="M30" si="43">M28/I28-1</f>
        <v>0.35291858678955457</v>
      </c>
      <c r="N30" s="39">
        <f t="shared" ref="N30" si="44">N28/J28-1</f>
        <v>0.48297094477583213</v>
      </c>
      <c r="O30" s="39">
        <v>0.4</v>
      </c>
      <c r="P30" s="39">
        <v>0.25</v>
      </c>
      <c r="Q30" s="39">
        <v>0.2</v>
      </c>
      <c r="R30" s="39">
        <v>0.1</v>
      </c>
      <c r="S30" s="39">
        <v>0.05</v>
      </c>
      <c r="T30" s="39">
        <v>-0.05</v>
      </c>
      <c r="U30" s="39">
        <v>-0.05</v>
      </c>
      <c r="V30" s="39">
        <v>-0.05</v>
      </c>
      <c r="W30" s="39">
        <v>-0.05</v>
      </c>
      <c r="X30" s="39">
        <v>-0.05</v>
      </c>
      <c r="Y30" s="39">
        <v>-0.05</v>
      </c>
    </row>
    <row r="31" spans="1:43" s="8" customFormat="1">
      <c r="B31" s="9"/>
      <c r="C31" s="9"/>
      <c r="D31" s="9"/>
      <c r="E31" s="9"/>
      <c r="F31" s="9"/>
      <c r="G31" s="9"/>
      <c r="H31" s="9"/>
      <c r="I31" s="9"/>
      <c r="J31" s="9"/>
      <c r="K31" s="9"/>
      <c r="L31" s="9"/>
      <c r="M31" s="9"/>
      <c r="N31" s="9"/>
      <c r="O31" s="9"/>
      <c r="P31" s="9"/>
      <c r="Q31" s="9"/>
      <c r="R31" s="9"/>
      <c r="S31" s="9"/>
      <c r="T31" s="9"/>
      <c r="U31" s="9"/>
      <c r="V31" s="9"/>
      <c r="W31" s="9"/>
      <c r="X31" s="9"/>
      <c r="Y31" s="9"/>
    </row>
    <row r="32" spans="1:43" s="8" customFormat="1">
      <c r="A32" s="8" t="s">
        <v>163</v>
      </c>
      <c r="B32" s="9"/>
      <c r="C32" s="9"/>
      <c r="D32" s="9"/>
      <c r="E32" s="9"/>
      <c r="F32" s="9">
        <v>-2787</v>
      </c>
      <c r="G32" s="9">
        <v>-2840</v>
      </c>
      <c r="H32" s="9">
        <v>-2683</v>
      </c>
      <c r="I32" s="9">
        <v>-3280</v>
      </c>
      <c r="J32" s="9">
        <v>-2843</v>
      </c>
      <c r="K32" s="9">
        <v>-3259</v>
      </c>
      <c r="L32" s="9">
        <v>-3554</v>
      </c>
      <c r="M32" s="9">
        <v>-4387</v>
      </c>
      <c r="N32" s="9">
        <v>-3312</v>
      </c>
      <c r="O32" s="9">
        <v>-3595</v>
      </c>
      <c r="P32" s="9">
        <f>L32*(1+P34)</f>
        <v>-3909.4</v>
      </c>
      <c r="Q32" s="9">
        <f t="shared" ref="Q32:Y32" si="45">M32*(1+Q34)</f>
        <v>-4825.7000000000007</v>
      </c>
      <c r="R32" s="9">
        <f t="shared" si="45"/>
        <v>-3643.2000000000003</v>
      </c>
      <c r="S32" s="9">
        <f t="shared" si="45"/>
        <v>-3774.75</v>
      </c>
      <c r="T32" s="9">
        <f t="shared" si="45"/>
        <v>-4104.87</v>
      </c>
      <c r="U32" s="9">
        <f t="shared" si="45"/>
        <v>-5066.9850000000006</v>
      </c>
      <c r="V32" s="9">
        <f t="shared" si="45"/>
        <v>-3825.3600000000006</v>
      </c>
      <c r="W32" s="9">
        <f t="shared" si="45"/>
        <v>-3963.4875000000002</v>
      </c>
      <c r="X32" s="9">
        <f t="shared" si="45"/>
        <v>-4310.1135000000004</v>
      </c>
      <c r="Y32" s="9">
        <f t="shared" si="45"/>
        <v>-5320.3342500000008</v>
      </c>
      <c r="AG32" s="8">
        <v>11591</v>
      </c>
      <c r="AH32" s="8">
        <v>14043</v>
      </c>
      <c r="AI32" s="8">
        <f>+AH32</f>
        <v>14043</v>
      </c>
      <c r="AJ32" s="8">
        <f t="shared" ref="AJ32:AQ32" si="46">+AI32</f>
        <v>14043</v>
      </c>
      <c r="AK32" s="8">
        <f t="shared" si="46"/>
        <v>14043</v>
      </c>
      <c r="AL32" s="8">
        <f t="shared" si="46"/>
        <v>14043</v>
      </c>
      <c r="AM32" s="8">
        <f t="shared" si="46"/>
        <v>14043</v>
      </c>
      <c r="AN32" s="8">
        <f t="shared" si="46"/>
        <v>14043</v>
      </c>
      <c r="AO32" s="8">
        <f t="shared" si="46"/>
        <v>14043</v>
      </c>
      <c r="AP32" s="8">
        <f t="shared" si="46"/>
        <v>14043</v>
      </c>
      <c r="AQ32" s="8">
        <f t="shared" si="46"/>
        <v>14043</v>
      </c>
    </row>
    <row r="33" spans="1:43" s="8" customFormat="1">
      <c r="A33" s="8" t="s">
        <v>158</v>
      </c>
      <c r="B33" s="9"/>
      <c r="C33" s="9"/>
      <c r="D33" s="9"/>
      <c r="E33" s="9"/>
      <c r="F33" s="39">
        <f>F32/F$14</f>
        <v>-0.15712916502226984</v>
      </c>
      <c r="G33" s="39">
        <f t="shared" ref="G33:P33" si="47">G32/G$14</f>
        <v>-0.15197731042971049</v>
      </c>
      <c r="H33" s="39">
        <f t="shared" si="47"/>
        <v>-0.12496506753609687</v>
      </c>
      <c r="I33" s="39">
        <f t="shared" si="47"/>
        <v>-0.11684240524365916</v>
      </c>
      <c r="J33" s="39">
        <f t="shared" si="47"/>
        <v>-0.10863169156700164</v>
      </c>
      <c r="K33" s="39">
        <f t="shared" si="47"/>
        <v>-0.1120817140695395</v>
      </c>
      <c r="L33" s="39">
        <f t="shared" si="47"/>
        <v>-0.1225094794898311</v>
      </c>
      <c r="M33" s="39">
        <f t="shared" si="47"/>
        <v>-0.13029016067238872</v>
      </c>
      <c r="N33" s="39">
        <f t="shared" si="47"/>
        <v>-0.11867564855955282</v>
      </c>
      <c r="O33" s="39">
        <f t="shared" si="47"/>
        <v>-0.12473110818125044</v>
      </c>
      <c r="P33" s="39">
        <f t="shared" si="47"/>
        <v>-0.14361401091442974</v>
      </c>
      <c r="Q33" s="39">
        <f t="shared" ref="Q33" si="48">Q32/Q$14</f>
        <v>-0.15415611935217377</v>
      </c>
      <c r="R33" s="39">
        <f t="shared" ref="R33" si="49">R32/R$14</f>
        <v>-0.13566158481865243</v>
      </c>
      <c r="S33" s="39">
        <f t="shared" ref="S33" si="50">S32/S$14</f>
        <v>-0.13492120794468687</v>
      </c>
      <c r="T33" s="39">
        <f t="shared" ref="T33" si="51">T32/T$14</f>
        <v>-0.15534762441054278</v>
      </c>
      <c r="U33" s="39">
        <f t="shared" ref="U33" si="52">U32/U$14</f>
        <v>-0.16677001306390202</v>
      </c>
      <c r="V33" s="39">
        <f t="shared" ref="V33" si="53">V32/V$14</f>
        <v>-0.14532141900315385</v>
      </c>
      <c r="W33" s="39">
        <f t="shared" ref="W33" si="54">W32/W$14</f>
        <v>-0.14453098479588292</v>
      </c>
      <c r="X33" s="39">
        <f t="shared" ref="X33" si="55">X32/X$14</f>
        <v>-0.16641290001161296</v>
      </c>
      <c r="Y33" s="39">
        <f t="shared" ref="Y33" si="56">Y32/Y$14</f>
        <v>-0.17866291265367598</v>
      </c>
    </row>
    <row r="34" spans="1:43" s="8" customFormat="1">
      <c r="A34" s="8" t="s">
        <v>137</v>
      </c>
      <c r="B34" s="9"/>
      <c r="C34" s="9"/>
      <c r="D34" s="9"/>
      <c r="E34" s="9"/>
      <c r="F34" s="9"/>
      <c r="G34" s="9"/>
      <c r="H34" s="9"/>
      <c r="I34" s="9"/>
      <c r="J34" s="39">
        <f>J32/F32-1</f>
        <v>2.0093290276282705E-2</v>
      </c>
      <c r="K34" s="39">
        <f t="shared" ref="K34:O34" si="57">K32/G32-1</f>
        <v>0.1475352112676056</v>
      </c>
      <c r="L34" s="39">
        <f t="shared" si="57"/>
        <v>0.32463660081997769</v>
      </c>
      <c r="M34" s="39">
        <f t="shared" si="57"/>
        <v>0.33749999999999991</v>
      </c>
      <c r="N34" s="39">
        <f t="shared" si="57"/>
        <v>0.16496658459373892</v>
      </c>
      <c r="O34" s="39">
        <f t="shared" si="57"/>
        <v>0.10309911015648976</v>
      </c>
      <c r="P34" s="39">
        <v>0.1</v>
      </c>
      <c r="Q34" s="39">
        <v>0.1</v>
      </c>
      <c r="R34" s="39">
        <v>0.1</v>
      </c>
      <c r="S34" s="39">
        <v>0.05</v>
      </c>
      <c r="T34" s="39">
        <v>0.05</v>
      </c>
      <c r="U34" s="39">
        <v>0.05</v>
      </c>
      <c r="V34" s="39">
        <v>0.05</v>
      </c>
      <c r="W34" s="39">
        <v>0.05</v>
      </c>
      <c r="X34" s="39">
        <v>0.05</v>
      </c>
      <c r="Y34" s="39">
        <v>0.05</v>
      </c>
    </row>
    <row r="35" spans="1:43" s="8" customFormat="1">
      <c r="B35" s="9"/>
      <c r="C35" s="9"/>
      <c r="D35" s="9"/>
      <c r="E35" s="9"/>
      <c r="F35" s="9"/>
      <c r="G35" s="9"/>
      <c r="H35" s="9"/>
      <c r="I35" s="9"/>
      <c r="J35" s="9"/>
      <c r="K35" s="9"/>
      <c r="L35" s="9"/>
      <c r="M35" s="9"/>
      <c r="N35" s="9"/>
      <c r="O35" s="9"/>
      <c r="P35" s="9"/>
      <c r="Q35" s="9"/>
      <c r="R35" s="9"/>
      <c r="S35" s="9"/>
      <c r="T35" s="9"/>
      <c r="U35" s="9"/>
      <c r="V35" s="9"/>
      <c r="W35" s="9"/>
      <c r="X35" s="9"/>
      <c r="Y35" s="9"/>
    </row>
    <row r="36" spans="1:43" s="8" customFormat="1">
      <c r="A36" s="8" t="s">
        <v>133</v>
      </c>
      <c r="B36" s="9"/>
      <c r="C36" s="9"/>
      <c r="D36" s="9"/>
      <c r="E36" s="9"/>
      <c r="F36" s="9">
        <v>-1583</v>
      </c>
      <c r="G36" s="9">
        <v>-1593</v>
      </c>
      <c r="H36" s="9">
        <v>-1790</v>
      </c>
      <c r="I36" s="9">
        <v>-1599</v>
      </c>
      <c r="J36" s="9">
        <v>-1622</v>
      </c>
      <c r="K36" s="9">
        <v>-1956</v>
      </c>
      <c r="L36" s="9">
        <v>-2946</v>
      </c>
      <c r="M36" s="9">
        <v>-3305</v>
      </c>
      <c r="N36" s="9">
        <v>-2360</v>
      </c>
      <c r="O36" s="9">
        <v>-2987</v>
      </c>
      <c r="P36" s="9">
        <f>L36*(1+P38)</f>
        <v>-3535.2</v>
      </c>
      <c r="Q36" s="9">
        <f t="shared" ref="Q36:Y36" si="58">M36*(1+Q38)</f>
        <v>-3800.7499999999995</v>
      </c>
      <c r="R36" s="9">
        <f t="shared" si="58"/>
        <v>-2596</v>
      </c>
      <c r="S36" s="9">
        <f t="shared" si="58"/>
        <v>-3225.96</v>
      </c>
      <c r="T36" s="9">
        <f t="shared" si="58"/>
        <v>-3818.0160000000001</v>
      </c>
      <c r="U36" s="9">
        <f t="shared" si="58"/>
        <v>-4104.8099999999995</v>
      </c>
      <c r="V36" s="9">
        <f t="shared" si="58"/>
        <v>-2803.6800000000003</v>
      </c>
      <c r="W36" s="9">
        <f t="shared" si="58"/>
        <v>-3484.0368000000003</v>
      </c>
      <c r="X36" s="9">
        <f t="shared" si="58"/>
        <v>-4123.4572800000005</v>
      </c>
      <c r="Y36" s="9">
        <f t="shared" si="58"/>
        <v>-4433.1947999999993</v>
      </c>
      <c r="AG36" s="8">
        <v>6564</v>
      </c>
      <c r="AH36" s="8">
        <v>9829</v>
      </c>
      <c r="AI36" s="8">
        <f t="shared" ref="AI36:AQ36" si="59">+AH36</f>
        <v>9829</v>
      </c>
      <c r="AJ36" s="8">
        <f t="shared" si="59"/>
        <v>9829</v>
      </c>
      <c r="AK36" s="8">
        <f t="shared" si="59"/>
        <v>9829</v>
      </c>
      <c r="AL36" s="8">
        <f t="shared" si="59"/>
        <v>9829</v>
      </c>
      <c r="AM36" s="8">
        <f t="shared" si="59"/>
        <v>9829</v>
      </c>
      <c r="AN36" s="8">
        <f t="shared" si="59"/>
        <v>9829</v>
      </c>
      <c r="AO36" s="8">
        <f t="shared" si="59"/>
        <v>9829</v>
      </c>
      <c r="AP36" s="8">
        <f t="shared" si="59"/>
        <v>9829</v>
      </c>
      <c r="AQ36" s="8">
        <f t="shared" si="59"/>
        <v>9829</v>
      </c>
    </row>
    <row r="37" spans="1:43" s="8" customFormat="1">
      <c r="A37" s="8" t="s">
        <v>158</v>
      </c>
      <c r="B37" s="9"/>
      <c r="C37" s="9"/>
      <c r="D37" s="9"/>
      <c r="E37" s="9"/>
      <c r="F37" s="39">
        <f>F36/F$14</f>
        <v>-8.9248463663528219E-2</v>
      </c>
      <c r="G37" s="39">
        <f t="shared" ref="G37" si="60">G36/G$14</f>
        <v>-8.5246427998073526E-2</v>
      </c>
      <c r="H37" s="39">
        <f t="shared" ref="H37" si="61">H36/H$14</f>
        <v>-8.3372147182114581E-2</v>
      </c>
      <c r="I37" s="39">
        <f t="shared" ref="I37" si="62">I36/I$14</f>
        <v>-5.6960672556283842E-2</v>
      </c>
      <c r="J37" s="39">
        <f t="shared" ref="J37" si="63">J36/J$14</f>
        <v>-6.1976997439914409E-2</v>
      </c>
      <c r="K37" s="39">
        <f t="shared" ref="K37" si="64">K36/K$14</f>
        <v>-6.7269663307769026E-2</v>
      </c>
      <c r="L37" s="39">
        <f t="shared" ref="L37" si="65">L36/L$14</f>
        <v>-0.10155118924508789</v>
      </c>
      <c r="M37" s="39">
        <f t="shared" ref="M37" si="66">M36/M$14</f>
        <v>-9.8155682931899857E-2</v>
      </c>
      <c r="N37" s="39">
        <f t="shared" ref="N37" si="67">N36/N$14</f>
        <v>-8.4563566002579901E-2</v>
      </c>
      <c r="O37" s="39">
        <f t="shared" ref="O37:P37" si="68">O36/O$14</f>
        <v>-0.1036361113038651</v>
      </c>
      <c r="P37" s="39">
        <f t="shared" si="68"/>
        <v>-0.12986756315155573</v>
      </c>
      <c r="Q37" s="39">
        <f t="shared" ref="Q37" si="69">Q36/Q$14</f>
        <v>-0.12141427577921841</v>
      </c>
      <c r="R37" s="39">
        <f t="shared" ref="R37" si="70">R36/R$14</f>
        <v>-9.6667071307976971E-2</v>
      </c>
      <c r="S37" s="39">
        <f t="shared" ref="S37" si="71">S36/S$14</f>
        <v>-0.1153057606414311</v>
      </c>
      <c r="T37" s="39">
        <f t="shared" ref="T37" si="72">T36/T$14</f>
        <v>-0.14449171729225113</v>
      </c>
      <c r="U37" s="39">
        <f t="shared" ref="U37" si="73">U36/U$14</f>
        <v>-0.13510188353129829</v>
      </c>
      <c r="V37" s="39">
        <f t="shared" ref="V37" si="74">V36/V$14</f>
        <v>-0.1065088661016904</v>
      </c>
      <c r="W37" s="39">
        <f t="shared" ref="W37" si="75">W36/W$14</f>
        <v>-0.12704752311420095</v>
      </c>
      <c r="X37" s="39">
        <f t="shared" ref="X37" si="76">X36/X$14</f>
        <v>-0.1592061285715092</v>
      </c>
      <c r="Y37" s="39">
        <f t="shared" ref="Y37" si="77">Y36/Y$14</f>
        <v>-0.14887175468893338</v>
      </c>
    </row>
    <row r="38" spans="1:43" s="8" customFormat="1">
      <c r="A38" s="8" t="s">
        <v>137</v>
      </c>
      <c r="B38" s="9"/>
      <c r="C38" s="9"/>
      <c r="D38" s="9"/>
      <c r="E38" s="9"/>
      <c r="F38" s="9"/>
      <c r="G38" s="9"/>
      <c r="H38" s="9"/>
      <c r="I38" s="9"/>
      <c r="J38" s="39">
        <f>J36/F36-1</f>
        <v>2.4636765634870494E-2</v>
      </c>
      <c r="K38" s="39">
        <f t="shared" ref="K38" si="78">K36/G36-1</f>
        <v>0.22787193973634645</v>
      </c>
      <c r="L38" s="39">
        <f t="shared" ref="L38" si="79">L36/H36-1</f>
        <v>0.64581005586592188</v>
      </c>
      <c r="M38" s="39">
        <f t="shared" ref="M38" si="80">M36/I36-1</f>
        <v>1.0669168230143842</v>
      </c>
      <c r="N38" s="39">
        <f t="shared" ref="N38" si="81">N36/J36-1</f>
        <v>0.45499383477188649</v>
      </c>
      <c r="O38" s="39">
        <f t="shared" ref="O38" si="82">O36/K36-1</f>
        <v>0.52709611451942751</v>
      </c>
      <c r="P38" s="39">
        <v>0.2</v>
      </c>
      <c r="Q38" s="39">
        <v>0.15</v>
      </c>
      <c r="R38" s="39">
        <v>0.1</v>
      </c>
      <c r="S38" s="39">
        <v>0.08</v>
      </c>
      <c r="T38" s="39">
        <v>0.08</v>
      </c>
      <c r="U38" s="39">
        <v>0.08</v>
      </c>
      <c r="V38" s="39">
        <v>0.08</v>
      </c>
      <c r="W38" s="39">
        <v>0.08</v>
      </c>
      <c r="X38" s="39">
        <v>0.08</v>
      </c>
      <c r="Y38" s="39">
        <v>0.08</v>
      </c>
    </row>
    <row r="39" spans="1:43" s="8" customFormat="1">
      <c r="B39" s="9"/>
      <c r="C39" s="9"/>
      <c r="D39" s="9"/>
      <c r="E39" s="9"/>
      <c r="F39" s="9"/>
      <c r="G39" s="9"/>
      <c r="H39" s="9"/>
      <c r="I39" s="9"/>
      <c r="J39" s="9"/>
      <c r="K39" s="9"/>
      <c r="L39" s="9"/>
      <c r="M39" s="9"/>
      <c r="N39" s="9"/>
      <c r="O39" s="9"/>
      <c r="P39" s="9"/>
      <c r="Q39" s="9"/>
      <c r="R39" s="9"/>
      <c r="S39" s="9"/>
      <c r="T39" s="9"/>
      <c r="U39" s="9"/>
      <c r="V39" s="9"/>
      <c r="W39" s="9"/>
      <c r="X39" s="9"/>
      <c r="Y39" s="9"/>
    </row>
    <row r="40" spans="1:43" s="15" customFormat="1">
      <c r="A40" s="15" t="s">
        <v>132</v>
      </c>
      <c r="B40" s="16"/>
      <c r="C40" s="16"/>
      <c r="D40" s="16"/>
      <c r="E40" s="16"/>
      <c r="F40" s="16">
        <f t="shared" ref="F40:Y40" si="83">+F36+F32+F28</f>
        <v>-8385</v>
      </c>
      <c r="G40" s="16">
        <f t="shared" si="83"/>
        <v>-8895</v>
      </c>
      <c r="H40" s="16">
        <f t="shared" si="83"/>
        <v>-9236</v>
      </c>
      <c r="I40" s="16">
        <f t="shared" si="83"/>
        <v>-10087</v>
      </c>
      <c r="J40" s="16">
        <f t="shared" si="83"/>
        <v>-9662</v>
      </c>
      <c r="K40" s="16">
        <f t="shared" si="83"/>
        <v>-11311</v>
      </c>
      <c r="L40" s="16">
        <f t="shared" si="83"/>
        <v>-12816</v>
      </c>
      <c r="M40" s="16">
        <f t="shared" si="83"/>
        <v>-14738</v>
      </c>
      <c r="N40" s="16">
        <f t="shared" si="83"/>
        <v>-13379</v>
      </c>
      <c r="O40" s="16">
        <f t="shared" si="83"/>
        <v>-15272</v>
      </c>
      <c r="P40" s="16">
        <f t="shared" si="83"/>
        <v>-15339.6</v>
      </c>
      <c r="Q40" s="16">
        <f t="shared" si="83"/>
        <v>-17081.650000000001</v>
      </c>
      <c r="R40" s="16">
        <f t="shared" si="83"/>
        <v>-14716.900000000001</v>
      </c>
      <c r="S40" s="16">
        <f t="shared" si="83"/>
        <v>-16125.21</v>
      </c>
      <c r="T40" s="16">
        <f t="shared" si="83"/>
        <v>-15423.136</v>
      </c>
      <c r="U40" s="16">
        <f t="shared" si="83"/>
        <v>-17204.235000000001</v>
      </c>
      <c r="V40" s="16">
        <f t="shared" si="83"/>
        <v>-14682.855000000001</v>
      </c>
      <c r="W40" s="16">
        <f t="shared" si="83"/>
        <v>-16115.799300000001</v>
      </c>
      <c r="X40" s="16">
        <f t="shared" si="83"/>
        <v>-15558.808280000001</v>
      </c>
      <c r="Y40" s="16">
        <f t="shared" si="83"/>
        <v>-17384.34705</v>
      </c>
      <c r="AG40" s="15">
        <f t="shared" ref="AG40:AQ40" si="84">SUM(AG28:AG36)</f>
        <v>36602</v>
      </c>
      <c r="AH40" s="15">
        <f t="shared" si="84"/>
        <v>48527</v>
      </c>
      <c r="AI40" s="15">
        <f t="shared" si="84"/>
        <v>46061.5</v>
      </c>
      <c r="AJ40" s="15">
        <f t="shared" si="84"/>
        <v>43842.55</v>
      </c>
      <c r="AK40" s="15">
        <f t="shared" si="84"/>
        <v>41845.494999999995</v>
      </c>
      <c r="AL40" s="15">
        <f t="shared" si="84"/>
        <v>40048.145499999999</v>
      </c>
      <c r="AM40" s="15">
        <f t="shared" si="84"/>
        <v>38430.53095</v>
      </c>
      <c r="AN40" s="15">
        <f t="shared" si="84"/>
        <v>36974.677855000002</v>
      </c>
      <c r="AO40" s="15">
        <f t="shared" si="84"/>
        <v>35664.410069499994</v>
      </c>
      <c r="AP40" s="15">
        <f t="shared" si="84"/>
        <v>34485.169062549998</v>
      </c>
      <c r="AQ40" s="15">
        <f t="shared" si="84"/>
        <v>33423.852156294997</v>
      </c>
    </row>
    <row r="41" spans="1:43" s="8" customFormat="1">
      <c r="A41" s="8" t="s">
        <v>137</v>
      </c>
      <c r="B41" s="9"/>
      <c r="C41" s="9"/>
      <c r="D41" s="9"/>
      <c r="E41" s="9"/>
      <c r="F41" s="9"/>
      <c r="G41" s="9"/>
      <c r="H41" s="9"/>
      <c r="I41" s="9"/>
      <c r="J41" s="39">
        <f>J40/F40-1</f>
        <v>0.15229576624925456</v>
      </c>
      <c r="K41" s="39">
        <f t="shared" ref="K41:Y41" si="85">K40/G40-1</f>
        <v>0.27161326587970769</v>
      </c>
      <c r="L41" s="39">
        <f t="shared" si="85"/>
        <v>0.38761368557817244</v>
      </c>
      <c r="M41" s="39">
        <f t="shared" si="85"/>
        <v>0.46108852979081982</v>
      </c>
      <c r="N41" s="39">
        <f t="shared" si="85"/>
        <v>0.38470296004967919</v>
      </c>
      <c r="O41" s="39">
        <f t="shared" si="85"/>
        <v>0.35019008045265676</v>
      </c>
      <c r="P41" s="39">
        <f t="shared" si="85"/>
        <v>0.19691011235955069</v>
      </c>
      <c r="Q41" s="39">
        <f t="shared" si="85"/>
        <v>0.15902089835798616</v>
      </c>
      <c r="R41" s="39">
        <f t="shared" si="85"/>
        <v>0.10000000000000009</v>
      </c>
      <c r="S41" s="39">
        <f t="shared" si="85"/>
        <v>5.5867600838135134E-2</v>
      </c>
      <c r="T41" s="39">
        <f t="shared" si="85"/>
        <v>5.4457743357063659E-3</v>
      </c>
      <c r="U41" s="39">
        <f t="shared" si="85"/>
        <v>7.1764144564487875E-3</v>
      </c>
      <c r="V41" s="39">
        <f t="shared" si="85"/>
        <v>-2.3133268555198816E-3</v>
      </c>
      <c r="W41" s="39">
        <f t="shared" si="85"/>
        <v>-5.8360170193128003E-4</v>
      </c>
      <c r="X41" s="39">
        <f t="shared" si="85"/>
        <v>8.7966727389294785E-3</v>
      </c>
      <c r="Y41" s="39">
        <f t="shared" si="85"/>
        <v>1.0469053113957072E-2</v>
      </c>
    </row>
    <row r="42" spans="1:43" s="8" customFormat="1">
      <c r="A42" s="8" t="s">
        <v>164</v>
      </c>
      <c r="B42" s="9"/>
      <c r="C42" s="9"/>
      <c r="D42" s="9"/>
      <c r="E42" s="9"/>
      <c r="F42" s="39">
        <f>-F40/F23</f>
        <v>0.58726712424709338</v>
      </c>
      <c r="G42" s="39">
        <f t="shared" ref="G42:Y42" si="86">-G40/G23</f>
        <v>0.59866738457396684</v>
      </c>
      <c r="H42" s="39">
        <f t="shared" si="86"/>
        <v>0.53461449409585549</v>
      </c>
      <c r="I42" s="39">
        <f t="shared" si="86"/>
        <v>0.44121249234537663</v>
      </c>
      <c r="J42" s="39">
        <f t="shared" si="86"/>
        <v>0.45922053231939164</v>
      </c>
      <c r="K42" s="39">
        <f t="shared" si="86"/>
        <v>0.47770081932595659</v>
      </c>
      <c r="L42" s="39">
        <f t="shared" si="86"/>
        <v>0.55148672490210426</v>
      </c>
      <c r="M42" s="39">
        <f t="shared" si="86"/>
        <v>0.53939904110090398</v>
      </c>
      <c r="N42" s="39">
        <f t="shared" si="86"/>
        <v>0.61082956672601929</v>
      </c>
      <c r="O42" s="39">
        <f t="shared" si="86"/>
        <v>0.6462970799830724</v>
      </c>
      <c r="P42" s="39">
        <f t="shared" si="86"/>
        <v>0.72244723822233403</v>
      </c>
      <c r="Q42" s="39">
        <f t="shared" si="86"/>
        <v>0.69957723049401066</v>
      </c>
      <c r="R42" s="39">
        <f t="shared" si="86"/>
        <v>0.70257971915983486</v>
      </c>
      <c r="S42" s="39">
        <f t="shared" si="86"/>
        <v>0.73892915698670614</v>
      </c>
      <c r="T42" s="39">
        <f t="shared" si="86"/>
        <v>0.74831300712066062</v>
      </c>
      <c r="U42" s="39">
        <f t="shared" si="86"/>
        <v>0.72595400843222324</v>
      </c>
      <c r="V42" s="39">
        <f t="shared" si="86"/>
        <v>0.71511061523606301</v>
      </c>
      <c r="W42" s="39">
        <f t="shared" si="86"/>
        <v>0.75342619657813992</v>
      </c>
      <c r="X42" s="39">
        <f t="shared" si="86"/>
        <v>0.77015831533221479</v>
      </c>
      <c r="Y42" s="39">
        <f t="shared" si="86"/>
        <v>0.74844393386714891</v>
      </c>
    </row>
    <row r="43" spans="1:43" s="8" customFormat="1">
      <c r="B43" s="9"/>
      <c r="C43" s="9"/>
      <c r="D43" s="9"/>
      <c r="E43" s="9"/>
      <c r="F43" s="9"/>
      <c r="G43" s="9"/>
      <c r="H43" s="9"/>
      <c r="I43" s="9"/>
      <c r="J43" s="9"/>
      <c r="K43" s="9"/>
      <c r="L43" s="9"/>
      <c r="M43" s="9"/>
      <c r="N43" s="9"/>
      <c r="O43" s="9"/>
      <c r="P43" s="9"/>
      <c r="Q43" s="9"/>
      <c r="R43" s="9"/>
      <c r="S43" s="9"/>
      <c r="T43" s="9"/>
      <c r="U43" s="9"/>
      <c r="V43" s="9"/>
      <c r="W43" s="9"/>
      <c r="X43" s="9"/>
      <c r="Y43" s="9"/>
    </row>
    <row r="44" spans="1:43" s="61" customFormat="1">
      <c r="A44" s="59" t="s">
        <v>21</v>
      </c>
      <c r="B44" s="60"/>
      <c r="C44" s="60"/>
      <c r="D44" s="60"/>
      <c r="E44" s="60"/>
      <c r="F44" s="60">
        <f t="shared" ref="F44:Y44" si="87">+F23+F40</f>
        <v>5893</v>
      </c>
      <c r="G44" s="60">
        <f t="shared" si="87"/>
        <v>5963</v>
      </c>
      <c r="H44" s="60">
        <f t="shared" si="87"/>
        <v>8040</v>
      </c>
      <c r="I44" s="60">
        <f t="shared" si="87"/>
        <v>12775</v>
      </c>
      <c r="J44" s="60">
        <f t="shared" si="87"/>
        <v>11378</v>
      </c>
      <c r="K44" s="60">
        <f t="shared" si="87"/>
        <v>12367</v>
      </c>
      <c r="L44" s="60">
        <f t="shared" si="87"/>
        <v>10423</v>
      </c>
      <c r="M44" s="60">
        <f t="shared" si="87"/>
        <v>12585</v>
      </c>
      <c r="N44" s="60">
        <f t="shared" si="87"/>
        <v>8524</v>
      </c>
      <c r="O44" s="60">
        <f t="shared" si="87"/>
        <v>8358</v>
      </c>
      <c r="P44" s="60">
        <f t="shared" si="87"/>
        <v>5893.2308399999984</v>
      </c>
      <c r="Q44" s="60">
        <f t="shared" si="87"/>
        <v>7335.4540099999977</v>
      </c>
      <c r="R44" s="60">
        <f t="shared" si="87"/>
        <v>6230.0468000000001</v>
      </c>
      <c r="S44" s="60">
        <f t="shared" si="87"/>
        <v>5697.1932000000015</v>
      </c>
      <c r="T44" s="60">
        <f t="shared" si="87"/>
        <v>5187.405114799998</v>
      </c>
      <c r="U44" s="60">
        <f t="shared" si="87"/>
        <v>6494.5596896999996</v>
      </c>
      <c r="V44" s="60">
        <f t="shared" si="87"/>
        <v>5849.4300579600003</v>
      </c>
      <c r="W44" s="60">
        <f t="shared" si="87"/>
        <v>5274.2178950399993</v>
      </c>
      <c r="X44" s="60">
        <f t="shared" si="87"/>
        <v>4643.2826021695546</v>
      </c>
      <c r="Y44" s="60">
        <f t="shared" si="87"/>
        <v>5842.9733454990892</v>
      </c>
      <c r="AG44" s="61">
        <f t="shared" ref="AG44:AQ44" si="88">AG23-AG40</f>
        <v>32672</v>
      </c>
      <c r="AH44" s="61">
        <f t="shared" si="88"/>
        <v>46753</v>
      </c>
      <c r="AI44" s="61">
        <f t="shared" si="88"/>
        <v>47295.501575000002</v>
      </c>
      <c r="AJ44" s="61">
        <f t="shared" si="88"/>
        <v>52315.161622250002</v>
      </c>
      <c r="AK44" s="61">
        <f t="shared" si="88"/>
        <v>57196.947970917507</v>
      </c>
      <c r="AL44" s="61">
        <f t="shared" si="88"/>
        <v>61965.570760045026</v>
      </c>
      <c r="AM44" s="61">
        <f t="shared" si="88"/>
        <v>66643.596797846389</v>
      </c>
      <c r="AN44" s="61">
        <f t="shared" si="88"/>
        <v>71251.673725281784</v>
      </c>
      <c r="AO44" s="61">
        <f t="shared" si="88"/>
        <v>75808.732058190246</v>
      </c>
      <c r="AP44" s="61">
        <f t="shared" si="88"/>
        <v>80332.167328970972</v>
      </c>
      <c r="AQ44" s="61">
        <f t="shared" si="88"/>
        <v>84838.004326971597</v>
      </c>
    </row>
    <row r="45" spans="1:43" s="11" customFormat="1">
      <c r="A45" s="11" t="s">
        <v>137</v>
      </c>
      <c r="B45" s="12"/>
      <c r="C45" s="12"/>
      <c r="D45" s="12"/>
      <c r="E45" s="12"/>
      <c r="F45" s="12"/>
      <c r="G45" s="12"/>
      <c r="H45" s="12"/>
      <c r="I45" s="12"/>
      <c r="J45" s="54">
        <f>J44/F44-1</f>
        <v>0.93076531478024771</v>
      </c>
      <c r="K45" s="54">
        <f t="shared" ref="K45:Y45" si="89">K44/G44-1</f>
        <v>1.0739560623847058</v>
      </c>
      <c r="L45" s="54">
        <f t="shared" si="89"/>
        <v>0.29639303482587054</v>
      </c>
      <c r="M45" s="54">
        <f t="shared" si="89"/>
        <v>-1.4872798434442225E-2</v>
      </c>
      <c r="N45" s="54">
        <f t="shared" si="89"/>
        <v>-0.25083494462998768</v>
      </c>
      <c r="O45" s="54">
        <f t="shared" si="89"/>
        <v>-0.32416915986092021</v>
      </c>
      <c r="P45" s="54">
        <f t="shared" si="89"/>
        <v>-0.43459360644728018</v>
      </c>
      <c r="Q45" s="54">
        <f t="shared" si="89"/>
        <v>-0.41712721414382214</v>
      </c>
      <c r="R45" s="54">
        <f t="shared" si="89"/>
        <v>-0.26911698732989209</v>
      </c>
      <c r="S45" s="54">
        <f t="shared" si="89"/>
        <v>-0.31835448671931066</v>
      </c>
      <c r="T45" s="54">
        <f t="shared" si="89"/>
        <v>-0.11976889152368597</v>
      </c>
      <c r="U45" s="54">
        <f t="shared" si="89"/>
        <v>-0.11463425701444729</v>
      </c>
      <c r="V45" s="54">
        <f t="shared" si="89"/>
        <v>-6.1093721164341752E-2</v>
      </c>
      <c r="W45" s="54">
        <f t="shared" si="89"/>
        <v>-7.424275254699142E-2</v>
      </c>
      <c r="X45" s="54">
        <f t="shared" si="89"/>
        <v>-0.10489300538298563</v>
      </c>
      <c r="Y45" s="54">
        <f t="shared" si="89"/>
        <v>-0.10032802458252699</v>
      </c>
    </row>
    <row r="46" spans="1:43" s="15" customFormat="1">
      <c r="B46" s="16"/>
      <c r="C46" s="16"/>
      <c r="D46" s="16"/>
      <c r="E46" s="16"/>
      <c r="F46" s="16"/>
      <c r="G46" s="16"/>
      <c r="H46" s="16"/>
      <c r="I46" s="16"/>
      <c r="J46" s="16"/>
      <c r="K46" s="16"/>
      <c r="L46" s="16"/>
      <c r="M46" s="16"/>
      <c r="N46" s="16"/>
      <c r="O46" s="16"/>
      <c r="P46" s="16"/>
      <c r="Q46" s="16"/>
      <c r="R46" s="16"/>
      <c r="S46" s="16"/>
      <c r="T46" s="16"/>
      <c r="U46" s="16"/>
      <c r="V46" s="16"/>
      <c r="W46" s="16"/>
      <c r="X46" s="16"/>
      <c r="Y46" s="16"/>
    </row>
    <row r="47" spans="1:43" s="8" customFormat="1">
      <c r="A47" s="8" t="s">
        <v>22</v>
      </c>
      <c r="B47" s="9"/>
      <c r="C47" s="9"/>
      <c r="D47" s="9"/>
      <c r="E47" s="9"/>
      <c r="F47" s="9">
        <v>-32</v>
      </c>
      <c r="G47" s="9">
        <v>168</v>
      </c>
      <c r="H47" s="9">
        <v>93</v>
      </c>
      <c r="I47" s="9">
        <v>280</v>
      </c>
      <c r="J47" s="9">
        <v>125</v>
      </c>
      <c r="K47" s="9">
        <v>146</v>
      </c>
      <c r="L47" s="9">
        <v>142</v>
      </c>
      <c r="M47" s="9">
        <v>117</v>
      </c>
      <c r="N47" s="9">
        <v>384</v>
      </c>
      <c r="O47" s="9">
        <f>+N47</f>
        <v>384</v>
      </c>
      <c r="P47" s="9">
        <f t="shared" ref="P47:Q47" si="90">+O47</f>
        <v>384</v>
      </c>
      <c r="Q47" s="9">
        <f t="shared" si="90"/>
        <v>384</v>
      </c>
      <c r="R47" s="9">
        <f t="shared" ref="R47" si="91">+Q47</f>
        <v>384</v>
      </c>
      <c r="S47" s="9">
        <f t="shared" ref="S47" si="92">+R47</f>
        <v>384</v>
      </c>
      <c r="T47" s="9">
        <f t="shared" ref="T47" si="93">+S47</f>
        <v>384</v>
      </c>
      <c r="U47" s="9">
        <f t="shared" ref="U47" si="94">+T47</f>
        <v>384</v>
      </c>
      <c r="V47" s="9">
        <f t="shared" ref="V47" si="95">+U47</f>
        <v>384</v>
      </c>
      <c r="W47" s="9">
        <f t="shared" ref="W47" si="96">+V47</f>
        <v>384</v>
      </c>
      <c r="X47" s="9">
        <f t="shared" ref="X47" si="97">+W47</f>
        <v>384</v>
      </c>
      <c r="Y47" s="9">
        <f t="shared" ref="Y47" si="98">+X47</f>
        <v>384</v>
      </c>
      <c r="AG47" s="8">
        <v>509</v>
      </c>
      <c r="AH47" s="8">
        <v>531</v>
      </c>
      <c r="AJ47" s="8">
        <f>+AI66*$AV$66</f>
        <v>0</v>
      </c>
      <c r="AK47" s="8">
        <f t="shared" ref="AK47:AQ47" si="99">+AJ66*$AV$66</f>
        <v>0</v>
      </c>
      <c r="AL47" s="8">
        <f t="shared" si="99"/>
        <v>0</v>
      </c>
      <c r="AM47" s="8">
        <f t="shared" si="99"/>
        <v>0</v>
      </c>
      <c r="AN47" s="8">
        <f t="shared" si="99"/>
        <v>0</v>
      </c>
      <c r="AO47" s="8">
        <f t="shared" si="99"/>
        <v>0</v>
      </c>
      <c r="AP47" s="8">
        <f t="shared" si="99"/>
        <v>0</v>
      </c>
      <c r="AQ47" s="8">
        <f t="shared" si="99"/>
        <v>0</v>
      </c>
    </row>
    <row r="48" spans="1:43" s="8" customFormat="1">
      <c r="A48" s="8" t="s">
        <v>23</v>
      </c>
      <c r="B48" s="9"/>
      <c r="C48" s="9"/>
      <c r="D48" s="9"/>
      <c r="E48" s="9"/>
      <c r="F48" s="9">
        <f t="shared" ref="F48:M48" si="100">+F44+F47</f>
        <v>5861</v>
      </c>
      <c r="G48" s="9">
        <f t="shared" si="100"/>
        <v>6131</v>
      </c>
      <c r="H48" s="9">
        <f t="shared" si="100"/>
        <v>8133</v>
      </c>
      <c r="I48" s="9">
        <f t="shared" si="100"/>
        <v>13055</v>
      </c>
      <c r="J48" s="9">
        <f t="shared" si="100"/>
        <v>11503</v>
      </c>
      <c r="K48" s="9">
        <f t="shared" si="100"/>
        <v>12513</v>
      </c>
      <c r="L48" s="9">
        <f t="shared" si="100"/>
        <v>10565</v>
      </c>
      <c r="M48" s="9">
        <f t="shared" si="100"/>
        <v>12702</v>
      </c>
      <c r="N48" s="9">
        <f>+N44+N47</f>
        <v>8908</v>
      </c>
      <c r="O48" s="9">
        <f t="shared" ref="O48:Q48" si="101">+O44+O47</f>
        <v>8742</v>
      </c>
      <c r="P48" s="9">
        <f t="shared" si="101"/>
        <v>6277.2308399999984</v>
      </c>
      <c r="Q48" s="9">
        <f t="shared" si="101"/>
        <v>7719.4540099999977</v>
      </c>
      <c r="R48" s="9">
        <f t="shared" ref="R48:Y48" si="102">+R44+R47</f>
        <v>6614.0468000000001</v>
      </c>
      <c r="S48" s="9">
        <f t="shared" si="102"/>
        <v>6081.1932000000015</v>
      </c>
      <c r="T48" s="9">
        <f t="shared" si="102"/>
        <v>5571.405114799998</v>
      </c>
      <c r="U48" s="9">
        <f t="shared" si="102"/>
        <v>6878.5596896999996</v>
      </c>
      <c r="V48" s="9">
        <f t="shared" si="102"/>
        <v>6233.4300579600003</v>
      </c>
      <c r="W48" s="9">
        <f t="shared" si="102"/>
        <v>5658.2178950399993</v>
      </c>
      <c r="X48" s="9">
        <f t="shared" si="102"/>
        <v>5027.2826021695546</v>
      </c>
      <c r="Y48" s="9">
        <f t="shared" si="102"/>
        <v>6226.9733454990892</v>
      </c>
      <c r="AG48" s="8">
        <f>+AG44+AG47</f>
        <v>33181</v>
      </c>
      <c r="AH48" s="8">
        <f t="shared" ref="AH48:AQ48" si="103">+AH44+AH47</f>
        <v>47284</v>
      </c>
      <c r="AI48" s="8">
        <f t="shared" si="103"/>
        <v>47295.501575000002</v>
      </c>
      <c r="AJ48" s="8">
        <f t="shared" si="103"/>
        <v>52315.161622250002</v>
      </c>
      <c r="AK48" s="8">
        <f t="shared" si="103"/>
        <v>57196.947970917507</v>
      </c>
      <c r="AL48" s="8">
        <f t="shared" si="103"/>
        <v>61965.570760045026</v>
      </c>
      <c r="AM48" s="8">
        <f t="shared" si="103"/>
        <v>66643.596797846389</v>
      </c>
      <c r="AN48" s="8">
        <f t="shared" si="103"/>
        <v>71251.673725281784</v>
      </c>
      <c r="AO48" s="8">
        <f t="shared" si="103"/>
        <v>75808.732058190246</v>
      </c>
      <c r="AP48" s="8">
        <f t="shared" si="103"/>
        <v>80332.167328970972</v>
      </c>
      <c r="AQ48" s="8">
        <f t="shared" si="103"/>
        <v>84838.004326971597</v>
      </c>
    </row>
    <row r="49" spans="1:99" s="8" customFormat="1">
      <c r="A49" s="8" t="s">
        <v>24</v>
      </c>
      <c r="B49" s="9"/>
      <c r="C49" s="9"/>
      <c r="D49" s="9"/>
      <c r="E49" s="9"/>
      <c r="F49" s="9">
        <v>959</v>
      </c>
      <c r="G49" s="9">
        <v>953</v>
      </c>
      <c r="H49" s="9">
        <v>287</v>
      </c>
      <c r="I49" s="9">
        <v>1836</v>
      </c>
      <c r="J49" s="9">
        <v>2006</v>
      </c>
      <c r="K49" s="9">
        <v>2119</v>
      </c>
      <c r="L49" s="9">
        <v>1371</v>
      </c>
      <c r="M49" s="9">
        <v>2417</v>
      </c>
      <c r="N49" s="9">
        <v>1443</v>
      </c>
      <c r="O49" s="9">
        <f>+O48*0.19</f>
        <v>1660.98</v>
      </c>
      <c r="P49" s="9">
        <f t="shared" ref="P49:Q49" si="104">+P48*0.19</f>
        <v>1192.6738595999998</v>
      </c>
      <c r="Q49" s="9">
        <f t="shared" si="104"/>
        <v>1466.6962618999996</v>
      </c>
      <c r="R49" s="9">
        <f t="shared" ref="R49:Y49" si="105">+R48*0.19</f>
        <v>1256.6688920000001</v>
      </c>
      <c r="S49" s="9">
        <f t="shared" si="105"/>
        <v>1155.4267080000002</v>
      </c>
      <c r="T49" s="9">
        <f t="shared" si="105"/>
        <v>1058.5669718119996</v>
      </c>
      <c r="U49" s="9">
        <f t="shared" si="105"/>
        <v>1306.9263410429999</v>
      </c>
      <c r="V49" s="9">
        <f t="shared" si="105"/>
        <v>1184.3517110124001</v>
      </c>
      <c r="W49" s="9">
        <f t="shared" si="105"/>
        <v>1075.0614000575999</v>
      </c>
      <c r="X49" s="9">
        <f t="shared" si="105"/>
        <v>955.18369441221535</v>
      </c>
      <c r="Y49" s="9">
        <f t="shared" si="105"/>
        <v>1183.124935644827</v>
      </c>
      <c r="AG49" s="8">
        <v>4034</v>
      </c>
      <c r="AH49" s="8">
        <v>7914</v>
      </c>
      <c r="AI49" s="8">
        <f>+AI48*0.18</f>
        <v>8513.1902835000001</v>
      </c>
      <c r="AJ49" s="8">
        <f t="shared" ref="AJ49:AQ49" si="106">+AJ48*0.18</f>
        <v>9416.729092005</v>
      </c>
      <c r="AK49" s="8">
        <f t="shared" si="106"/>
        <v>10295.450634765151</v>
      </c>
      <c r="AL49" s="8">
        <f t="shared" si="106"/>
        <v>11153.802736808104</v>
      </c>
      <c r="AM49" s="8">
        <f t="shared" si="106"/>
        <v>11995.847423612349</v>
      </c>
      <c r="AN49" s="8">
        <f t="shared" si="106"/>
        <v>12825.301270550721</v>
      </c>
      <c r="AO49" s="8">
        <f t="shared" si="106"/>
        <v>13645.571770474244</v>
      </c>
      <c r="AP49" s="8">
        <f t="shared" si="106"/>
        <v>14459.790119214775</v>
      </c>
      <c r="AQ49" s="8">
        <f t="shared" si="106"/>
        <v>15270.840778854887</v>
      </c>
    </row>
    <row r="50" spans="1:99" s="8" customFormat="1">
      <c r="A50" s="8" t="s">
        <v>25</v>
      </c>
      <c r="B50" s="9"/>
      <c r="C50" s="9"/>
      <c r="D50" s="9"/>
      <c r="E50" s="9"/>
      <c r="F50" s="9">
        <f t="shared" ref="F50:M50" si="107">+F48-F49</f>
        <v>4902</v>
      </c>
      <c r="G50" s="9">
        <f t="shared" si="107"/>
        <v>5178</v>
      </c>
      <c r="H50" s="9">
        <f t="shared" si="107"/>
        <v>7846</v>
      </c>
      <c r="I50" s="9">
        <f t="shared" si="107"/>
        <v>11219</v>
      </c>
      <c r="J50" s="9">
        <f t="shared" si="107"/>
        <v>9497</v>
      </c>
      <c r="K50" s="9">
        <f t="shared" si="107"/>
        <v>10394</v>
      </c>
      <c r="L50" s="9">
        <f t="shared" si="107"/>
        <v>9194</v>
      </c>
      <c r="M50" s="9">
        <f t="shared" si="107"/>
        <v>10285</v>
      </c>
      <c r="N50" s="9">
        <f>+N48-N49</f>
        <v>7465</v>
      </c>
      <c r="O50" s="9">
        <f t="shared" ref="O50:Q50" si="108">+O48-O49</f>
        <v>7081.02</v>
      </c>
      <c r="P50" s="9">
        <f t="shared" si="108"/>
        <v>5084.5569803999988</v>
      </c>
      <c r="Q50" s="9">
        <f t="shared" si="108"/>
        <v>6252.757748099998</v>
      </c>
      <c r="R50" s="9">
        <f t="shared" ref="R50:Y50" si="109">+R48-R49</f>
        <v>5357.3779080000004</v>
      </c>
      <c r="S50" s="9">
        <f t="shared" si="109"/>
        <v>4925.7664920000016</v>
      </c>
      <c r="T50" s="9">
        <f t="shared" si="109"/>
        <v>4512.8381429879983</v>
      </c>
      <c r="U50" s="9">
        <f t="shared" si="109"/>
        <v>5571.6333486570002</v>
      </c>
      <c r="V50" s="9">
        <f t="shared" si="109"/>
        <v>5049.0783469476</v>
      </c>
      <c r="W50" s="9">
        <f t="shared" si="109"/>
        <v>4583.1564949823996</v>
      </c>
      <c r="X50" s="9">
        <f t="shared" si="109"/>
        <v>4072.0989077573395</v>
      </c>
      <c r="Y50" s="9">
        <f t="shared" si="109"/>
        <v>5043.8484098542622</v>
      </c>
      <c r="AG50" s="8">
        <f>+AG48-AG49</f>
        <v>29147</v>
      </c>
      <c r="AH50" s="8">
        <f t="shared" ref="AH50:AQ50" si="110">+AH48-AH49</f>
        <v>39370</v>
      </c>
      <c r="AI50" s="8">
        <f t="shared" si="110"/>
        <v>38782.311291500002</v>
      </c>
      <c r="AJ50" s="8">
        <f t="shared" si="110"/>
        <v>42898.432530245002</v>
      </c>
      <c r="AK50" s="8">
        <f t="shared" si="110"/>
        <v>46901.497336152359</v>
      </c>
      <c r="AL50" s="8">
        <f t="shared" si="110"/>
        <v>50811.768023236924</v>
      </c>
      <c r="AM50" s="8">
        <f t="shared" si="110"/>
        <v>54647.749374234038</v>
      </c>
      <c r="AN50" s="8">
        <f t="shared" si="110"/>
        <v>58426.372454731063</v>
      </c>
      <c r="AO50" s="8">
        <f t="shared" si="110"/>
        <v>62163.160287716004</v>
      </c>
      <c r="AP50" s="8">
        <f t="shared" si="110"/>
        <v>65872.377209756203</v>
      </c>
      <c r="AQ50" s="8">
        <f t="shared" si="110"/>
        <v>69567.163548116718</v>
      </c>
      <c r="AR50" s="8">
        <f t="shared" ref="AR50:BW50" si="111">+AQ50*(1+$AV$65)</f>
        <v>69567.163548116718</v>
      </c>
      <c r="AS50" s="8">
        <f t="shared" si="111"/>
        <v>69567.163548116718</v>
      </c>
      <c r="AT50" s="8">
        <f t="shared" si="111"/>
        <v>69567.163548116718</v>
      </c>
      <c r="AU50" s="8">
        <f t="shared" si="111"/>
        <v>69567.163548116718</v>
      </c>
      <c r="AV50" s="8">
        <f t="shared" si="111"/>
        <v>69567.163548116718</v>
      </c>
      <c r="AW50" s="8">
        <f t="shared" si="111"/>
        <v>69567.163548116718</v>
      </c>
      <c r="AX50" s="8">
        <f t="shared" si="111"/>
        <v>69567.163548116718</v>
      </c>
      <c r="AY50" s="8">
        <f t="shared" si="111"/>
        <v>69567.163548116718</v>
      </c>
      <c r="AZ50" s="8">
        <f t="shared" si="111"/>
        <v>69567.163548116718</v>
      </c>
      <c r="BA50" s="8">
        <f t="shared" si="111"/>
        <v>69567.163548116718</v>
      </c>
      <c r="BB50" s="8">
        <f t="shared" si="111"/>
        <v>69567.163548116718</v>
      </c>
      <c r="BC50" s="8">
        <f t="shared" si="111"/>
        <v>69567.163548116718</v>
      </c>
      <c r="BD50" s="8">
        <f t="shared" si="111"/>
        <v>69567.163548116718</v>
      </c>
      <c r="BE50" s="8">
        <f t="shared" si="111"/>
        <v>69567.163548116718</v>
      </c>
      <c r="BF50" s="8">
        <f t="shared" si="111"/>
        <v>69567.163548116718</v>
      </c>
      <c r="BG50" s="8">
        <f t="shared" si="111"/>
        <v>69567.163548116718</v>
      </c>
      <c r="BH50" s="8">
        <f t="shared" si="111"/>
        <v>69567.163548116718</v>
      </c>
      <c r="BI50" s="8">
        <f t="shared" si="111"/>
        <v>69567.163548116718</v>
      </c>
      <c r="BJ50" s="8">
        <f t="shared" si="111"/>
        <v>69567.163548116718</v>
      </c>
      <c r="BK50" s="8">
        <f t="shared" si="111"/>
        <v>69567.163548116718</v>
      </c>
      <c r="BL50" s="8">
        <f t="shared" si="111"/>
        <v>69567.163548116718</v>
      </c>
      <c r="BM50" s="8">
        <f t="shared" si="111"/>
        <v>69567.163548116718</v>
      </c>
      <c r="BN50" s="8">
        <f t="shared" si="111"/>
        <v>69567.163548116718</v>
      </c>
      <c r="BO50" s="8">
        <f t="shared" si="111"/>
        <v>69567.163548116718</v>
      </c>
      <c r="BP50" s="8">
        <f t="shared" si="111"/>
        <v>69567.163548116718</v>
      </c>
      <c r="BQ50" s="8">
        <f t="shared" si="111"/>
        <v>69567.163548116718</v>
      </c>
      <c r="BR50" s="8">
        <f t="shared" si="111"/>
        <v>69567.163548116718</v>
      </c>
      <c r="BS50" s="8">
        <f t="shared" si="111"/>
        <v>69567.163548116718</v>
      </c>
      <c r="BT50" s="8">
        <f t="shared" si="111"/>
        <v>69567.163548116718</v>
      </c>
      <c r="BU50" s="8">
        <f t="shared" si="111"/>
        <v>69567.163548116718</v>
      </c>
      <c r="BV50" s="8">
        <f t="shared" si="111"/>
        <v>69567.163548116718</v>
      </c>
      <c r="BW50" s="8">
        <f t="shared" si="111"/>
        <v>69567.163548116718</v>
      </c>
      <c r="BX50" s="8">
        <f t="shared" ref="BX50:CU50" si="112">+BW50*(1+$AV$65)</f>
        <v>69567.163548116718</v>
      </c>
      <c r="BY50" s="8">
        <f t="shared" si="112"/>
        <v>69567.163548116718</v>
      </c>
      <c r="BZ50" s="8">
        <f t="shared" si="112"/>
        <v>69567.163548116718</v>
      </c>
      <c r="CA50" s="8">
        <f t="shared" si="112"/>
        <v>69567.163548116718</v>
      </c>
      <c r="CB50" s="8">
        <f t="shared" si="112"/>
        <v>69567.163548116718</v>
      </c>
      <c r="CC50" s="8">
        <f t="shared" si="112"/>
        <v>69567.163548116718</v>
      </c>
      <c r="CD50" s="8">
        <f t="shared" si="112"/>
        <v>69567.163548116718</v>
      </c>
      <c r="CE50" s="8">
        <f t="shared" si="112"/>
        <v>69567.163548116718</v>
      </c>
      <c r="CF50" s="8">
        <f t="shared" si="112"/>
        <v>69567.163548116718</v>
      </c>
      <c r="CG50" s="8">
        <f t="shared" si="112"/>
        <v>69567.163548116718</v>
      </c>
      <c r="CH50" s="8">
        <f t="shared" si="112"/>
        <v>69567.163548116718</v>
      </c>
      <c r="CI50" s="8">
        <f t="shared" si="112"/>
        <v>69567.163548116718</v>
      </c>
      <c r="CJ50" s="8">
        <f t="shared" si="112"/>
        <v>69567.163548116718</v>
      </c>
      <c r="CK50" s="8">
        <f t="shared" si="112"/>
        <v>69567.163548116718</v>
      </c>
      <c r="CL50" s="8">
        <f t="shared" si="112"/>
        <v>69567.163548116718</v>
      </c>
      <c r="CM50" s="8">
        <f t="shared" si="112"/>
        <v>69567.163548116718</v>
      </c>
      <c r="CN50" s="8">
        <f t="shared" si="112"/>
        <v>69567.163548116718</v>
      </c>
      <c r="CO50" s="8">
        <f t="shared" si="112"/>
        <v>69567.163548116718</v>
      </c>
      <c r="CP50" s="8">
        <f t="shared" si="112"/>
        <v>69567.163548116718</v>
      </c>
      <c r="CQ50" s="8">
        <f t="shared" si="112"/>
        <v>69567.163548116718</v>
      </c>
      <c r="CR50" s="8">
        <f t="shared" si="112"/>
        <v>69567.163548116718</v>
      </c>
      <c r="CS50" s="8">
        <f t="shared" si="112"/>
        <v>69567.163548116718</v>
      </c>
      <c r="CT50" s="8">
        <f t="shared" si="112"/>
        <v>69567.163548116718</v>
      </c>
      <c r="CU50" s="8">
        <f t="shared" si="112"/>
        <v>69567.163548116718</v>
      </c>
    </row>
    <row r="51" spans="1:99" s="8" customFormat="1">
      <c r="A51" s="8" t="s">
        <v>137</v>
      </c>
      <c r="B51" s="9"/>
      <c r="C51" s="9"/>
      <c r="D51" s="9"/>
      <c r="E51" s="9"/>
      <c r="F51" s="9"/>
      <c r="G51" s="9"/>
      <c r="H51" s="9"/>
      <c r="I51" s="9"/>
      <c r="J51" s="39">
        <f>J50/F50-1</f>
        <v>0.93737250101999181</v>
      </c>
      <c r="K51" s="39">
        <f t="shared" ref="K51:Q51" si="113">K50/G50-1</f>
        <v>1.0073387408265742</v>
      </c>
      <c r="L51" s="39">
        <f t="shared" si="113"/>
        <v>0.1718072903390262</v>
      </c>
      <c r="M51" s="39">
        <f t="shared" si="113"/>
        <v>-8.3251626704697435E-2</v>
      </c>
      <c r="N51" s="39">
        <f t="shared" si="113"/>
        <v>-0.21396230388543747</v>
      </c>
      <c r="O51" s="39">
        <f t="shared" si="113"/>
        <v>-0.31873965749470845</v>
      </c>
      <c r="P51" s="39">
        <f t="shared" si="113"/>
        <v>-0.44697009132042653</v>
      </c>
      <c r="Q51" s="39">
        <f t="shared" si="113"/>
        <v>-0.3920507780165291</v>
      </c>
      <c r="R51" s="39">
        <f t="shared" ref="R51" si="114">R50/N50-1</f>
        <v>-0.28233383683858004</v>
      </c>
      <c r="S51" s="39">
        <f t="shared" ref="S51" si="115">S50/O50-1</f>
        <v>-0.30437048730267657</v>
      </c>
      <c r="T51" s="39">
        <f t="shared" ref="T51" si="116">T50/P50-1</f>
        <v>-0.11244221268752974</v>
      </c>
      <c r="U51" s="39">
        <f t="shared" ref="U51" si="117">U50/Q50-1</f>
        <v>-0.1089318388594166</v>
      </c>
      <c r="V51" s="39">
        <f t="shared" ref="V51" si="118">V50/R50-1</f>
        <v>-5.7546726467070153E-2</v>
      </c>
      <c r="W51" s="39">
        <f t="shared" ref="W51" si="119">W50/S50-1</f>
        <v>-6.9554656635477774E-2</v>
      </c>
      <c r="X51" s="39">
        <f t="shared" ref="X51" si="120">X50/T50-1</f>
        <v>-9.7663426266566877E-2</v>
      </c>
      <c r="Y51" s="39">
        <f t="shared" ref="Y51" si="121">Y50/U50-1</f>
        <v>-9.4727148355868818E-2</v>
      </c>
    </row>
    <row r="52" spans="1:99" s="8" customFormat="1">
      <c r="B52" s="9"/>
      <c r="C52" s="9"/>
      <c r="D52" s="9"/>
      <c r="E52" s="9"/>
      <c r="F52" s="9"/>
      <c r="G52" s="9"/>
      <c r="H52" s="9"/>
      <c r="I52" s="9"/>
      <c r="J52" s="9"/>
      <c r="K52" s="9"/>
      <c r="L52" s="9"/>
      <c r="M52" s="9"/>
      <c r="N52" s="9"/>
      <c r="O52" s="9"/>
      <c r="P52" s="9"/>
      <c r="Q52" s="9"/>
      <c r="R52" s="9"/>
      <c r="S52" s="9"/>
      <c r="T52" s="9"/>
    </row>
    <row r="53" spans="1:99">
      <c r="A53" s="8" t="s">
        <v>26</v>
      </c>
      <c r="F53" s="10">
        <f t="shared" ref="F53:Q53" si="122">+F50/F55</f>
        <v>1.7092050209205021</v>
      </c>
      <c r="G53" s="10">
        <f t="shared" si="122"/>
        <v>1.7985411601250434</v>
      </c>
      <c r="H53" s="10">
        <f t="shared" si="122"/>
        <v>2.7139398132134209</v>
      </c>
      <c r="I53" s="10">
        <f t="shared" si="122"/>
        <v>3.882006920415225</v>
      </c>
      <c r="J53" s="10">
        <f t="shared" si="122"/>
        <v>3.2952810548230396</v>
      </c>
      <c r="K53" s="10">
        <f t="shared" si="122"/>
        <v>3.6127911018421965</v>
      </c>
      <c r="L53" s="10">
        <f t="shared" si="122"/>
        <v>3.2158097236796084</v>
      </c>
      <c r="M53" s="10">
        <f t="shared" si="122"/>
        <v>3.6745266166488033</v>
      </c>
      <c r="N53" s="10">
        <f t="shared" si="122"/>
        <v>2.7224653537563821</v>
      </c>
      <c r="O53" s="10">
        <f t="shared" si="122"/>
        <v>2.5824288840262586</v>
      </c>
      <c r="P53" s="10">
        <f t="shared" si="122"/>
        <v>1.8543242087527347</v>
      </c>
      <c r="Q53" s="10">
        <f t="shared" si="122"/>
        <v>2.2803638760393867</v>
      </c>
      <c r="R53" s="10">
        <f t="shared" ref="R53:Y53" si="123">+R50/R55</f>
        <v>1.9538212647702409</v>
      </c>
      <c r="S53" s="10">
        <f t="shared" si="123"/>
        <v>1.7964137461706788</v>
      </c>
      <c r="T53" s="10">
        <f t="shared" si="123"/>
        <v>1.6458198916805244</v>
      </c>
      <c r="U53" s="10">
        <f t="shared" si="123"/>
        <v>2.0319596457538296</v>
      </c>
      <c r="V53" s="10">
        <f t="shared" si="123"/>
        <v>1.8413852468809628</v>
      </c>
      <c r="W53" s="10">
        <f t="shared" si="123"/>
        <v>1.671464804880525</v>
      </c>
      <c r="X53" s="10">
        <f t="shared" si="123"/>
        <v>1.4850834820413346</v>
      </c>
      <c r="Y53" s="10">
        <f t="shared" si="123"/>
        <v>1.8394779029373676</v>
      </c>
      <c r="AG53" s="17">
        <f t="shared" ref="AG53:AQ53" si="124">+AG50/AG55</f>
        <v>10.092451523545707</v>
      </c>
      <c r="AH53" s="17">
        <f t="shared" si="124"/>
        <v>13.770549143057012</v>
      </c>
      <c r="AI53" s="17">
        <f t="shared" si="124"/>
        <v>14.143804263858499</v>
      </c>
      <c r="AJ53" s="17">
        <f t="shared" si="124"/>
        <v>15.644942571205325</v>
      </c>
      <c r="AK53" s="17">
        <f t="shared" si="124"/>
        <v>17.104849502608445</v>
      </c>
      <c r="AL53" s="17">
        <f t="shared" si="124"/>
        <v>18.530914669305954</v>
      </c>
      <c r="AM53" s="17">
        <f t="shared" si="124"/>
        <v>19.929886715621457</v>
      </c>
      <c r="AN53" s="17">
        <f t="shared" si="124"/>
        <v>21.307940355481787</v>
      </c>
      <c r="AO53" s="17">
        <f t="shared" si="124"/>
        <v>22.670736793477754</v>
      </c>
      <c r="AP53" s="17">
        <f t="shared" si="124"/>
        <v>24.023478194659447</v>
      </c>
      <c r="AQ53" s="17">
        <f t="shared" si="124"/>
        <v>25.370956800917842</v>
      </c>
    </row>
    <row r="54" spans="1:99">
      <c r="A54" s="8"/>
      <c r="F54" s="10"/>
      <c r="G54" s="10"/>
      <c r="H54" s="10"/>
      <c r="I54" s="10"/>
      <c r="J54" s="10"/>
      <c r="K54" s="10"/>
      <c r="L54" s="10"/>
      <c r="M54" s="10"/>
      <c r="N54" s="10"/>
      <c r="O54" s="10"/>
      <c r="P54" s="10"/>
      <c r="Q54" s="10"/>
      <c r="R54" s="10"/>
      <c r="S54" s="10"/>
      <c r="T54" s="10"/>
      <c r="AG54" s="17"/>
      <c r="AH54" s="17"/>
      <c r="AI54" s="17"/>
      <c r="AJ54" s="17"/>
      <c r="AK54" s="17"/>
      <c r="AL54" s="17"/>
      <c r="AM54" s="17"/>
      <c r="AN54" s="17"/>
      <c r="AO54" s="17"/>
      <c r="AP54" s="17"/>
      <c r="AQ54" s="17"/>
    </row>
    <row r="55" spans="1:99" s="8" customFormat="1">
      <c r="A55" s="8" t="s">
        <v>2</v>
      </c>
      <c r="B55" s="9"/>
      <c r="C55" s="9"/>
      <c r="D55" s="9"/>
      <c r="E55" s="9"/>
      <c r="F55" s="9">
        <v>2868</v>
      </c>
      <c r="G55" s="9">
        <v>2879</v>
      </c>
      <c r="H55" s="9">
        <v>2891</v>
      </c>
      <c r="I55" s="9">
        <v>2890</v>
      </c>
      <c r="J55" s="9">
        <v>2882</v>
      </c>
      <c r="K55" s="9">
        <v>2877</v>
      </c>
      <c r="L55" s="9">
        <v>2859</v>
      </c>
      <c r="M55" s="9">
        <v>2799</v>
      </c>
      <c r="N55" s="9">
        <v>2742</v>
      </c>
      <c r="O55" s="9">
        <f>+N55</f>
        <v>2742</v>
      </c>
      <c r="P55" s="9">
        <f>+O55</f>
        <v>2742</v>
      </c>
      <c r="Q55" s="9">
        <f>+P55</f>
        <v>2742</v>
      </c>
      <c r="R55" s="9">
        <f t="shared" ref="R55:Y55" si="125">+Q55</f>
        <v>2742</v>
      </c>
      <c r="S55" s="9">
        <f t="shared" si="125"/>
        <v>2742</v>
      </c>
      <c r="T55" s="9">
        <f t="shared" si="125"/>
        <v>2742</v>
      </c>
      <c r="U55" s="9">
        <f t="shared" si="125"/>
        <v>2742</v>
      </c>
      <c r="V55" s="9">
        <f t="shared" si="125"/>
        <v>2742</v>
      </c>
      <c r="W55" s="9">
        <f t="shared" si="125"/>
        <v>2742</v>
      </c>
      <c r="X55" s="9">
        <f t="shared" si="125"/>
        <v>2742</v>
      </c>
      <c r="Y55" s="9">
        <f t="shared" si="125"/>
        <v>2742</v>
      </c>
      <c r="AG55" s="8">
        <v>2888</v>
      </c>
      <c r="AH55" s="8">
        <v>2859</v>
      </c>
      <c r="AI55" s="8">
        <f>AVERAGE(N55:Q55)</f>
        <v>2742</v>
      </c>
      <c r="AJ55" s="8">
        <f t="shared" ref="AJ55:AQ55" si="126">+AI55</f>
        <v>2742</v>
      </c>
      <c r="AK55" s="8">
        <f t="shared" si="126"/>
        <v>2742</v>
      </c>
      <c r="AL55" s="8">
        <f t="shared" si="126"/>
        <v>2742</v>
      </c>
      <c r="AM55" s="8">
        <f t="shared" si="126"/>
        <v>2742</v>
      </c>
      <c r="AN55" s="8">
        <f t="shared" si="126"/>
        <v>2742</v>
      </c>
      <c r="AO55" s="8">
        <f t="shared" si="126"/>
        <v>2742</v>
      </c>
      <c r="AP55" s="8">
        <f t="shared" si="126"/>
        <v>2742</v>
      </c>
      <c r="AQ55" s="8">
        <f t="shared" si="126"/>
        <v>2742</v>
      </c>
    </row>
    <row r="56" spans="1:99">
      <c r="N56" s="9"/>
    </row>
    <row r="57" spans="1:99" s="20" customFormat="1">
      <c r="A57" s="15" t="s">
        <v>27</v>
      </c>
      <c r="B57" s="18"/>
      <c r="C57" s="18"/>
      <c r="D57" s="18"/>
      <c r="E57" s="18"/>
      <c r="F57" s="18"/>
      <c r="G57" s="18"/>
      <c r="H57" s="18"/>
      <c r="I57" s="18"/>
      <c r="J57" s="19">
        <f t="shared" ref="J57:Q57" si="127">+J14/F14-1</f>
        <v>0.47550318543158365</v>
      </c>
      <c r="K57" s="19">
        <f t="shared" si="127"/>
        <v>0.5560014983678494</v>
      </c>
      <c r="L57" s="19">
        <f t="shared" si="127"/>
        <v>0.35118770377270603</v>
      </c>
      <c r="M57" s="19">
        <f t="shared" si="127"/>
        <v>0.19945141065830718</v>
      </c>
      <c r="N57" s="19">
        <f t="shared" si="127"/>
        <v>6.6371174200450911E-2</v>
      </c>
      <c r="O57" s="19">
        <f t="shared" si="127"/>
        <v>-8.7698180692643568E-3</v>
      </c>
      <c r="P57" s="19">
        <f t="shared" si="127"/>
        <v>-6.1648466046191008E-2</v>
      </c>
      <c r="Q57" s="19">
        <f t="shared" si="127"/>
        <v>-7.0298491283300235E-2</v>
      </c>
      <c r="R57" s="19"/>
      <c r="S57" s="19"/>
      <c r="T57" s="19"/>
      <c r="AH57" s="21">
        <f t="shared" ref="AH57:AQ57" si="128">+AH14/AG14-1</f>
        <v>0.37180978526394148</v>
      </c>
      <c r="AI57" s="21">
        <f t="shared" si="128"/>
        <v>-2.2669932756149924E-2</v>
      </c>
      <c r="AJ57" s="21">
        <f t="shared" si="128"/>
        <v>3.0000000000000027E-2</v>
      </c>
      <c r="AK57" s="21">
        <f t="shared" si="128"/>
        <v>3.0000000000000027E-2</v>
      </c>
      <c r="AL57" s="21">
        <f t="shared" si="128"/>
        <v>3.0000000000000027E-2</v>
      </c>
      <c r="AM57" s="21">
        <f t="shared" si="128"/>
        <v>3.0000000000000027E-2</v>
      </c>
      <c r="AN57" s="21">
        <f t="shared" si="128"/>
        <v>3.0000000000000027E-2</v>
      </c>
      <c r="AO57" s="21">
        <f t="shared" si="128"/>
        <v>3.0000000000000027E-2</v>
      </c>
      <c r="AP57" s="21">
        <f t="shared" si="128"/>
        <v>3.0000000000000027E-2</v>
      </c>
      <c r="AQ57" s="21">
        <f t="shared" si="128"/>
        <v>3.0000000000000027E-2</v>
      </c>
    </row>
    <row r="58" spans="1:99" s="20" customFormat="1">
      <c r="A58" s="15"/>
      <c r="B58" s="18"/>
      <c r="C58" s="18"/>
      <c r="D58" s="18"/>
      <c r="E58" s="18"/>
      <c r="F58" s="18"/>
      <c r="G58" s="18"/>
      <c r="H58" s="18"/>
      <c r="I58" s="18"/>
      <c r="J58" s="19"/>
      <c r="K58" s="19"/>
      <c r="L58" s="19"/>
      <c r="M58" s="19"/>
      <c r="N58" s="19"/>
      <c r="O58" s="18"/>
      <c r="P58" s="18"/>
      <c r="Q58" s="18"/>
      <c r="R58" s="18"/>
      <c r="S58" s="18"/>
      <c r="T58" s="18"/>
    </row>
    <row r="59" spans="1:99" s="8" customFormat="1">
      <c r="A59" s="8" t="s">
        <v>75</v>
      </c>
      <c r="B59" s="9"/>
      <c r="C59" s="9"/>
      <c r="D59" s="9"/>
      <c r="E59" s="9"/>
      <c r="F59" s="9"/>
      <c r="G59" s="9"/>
      <c r="H59" s="9"/>
      <c r="I59" s="9"/>
      <c r="J59" s="9"/>
      <c r="K59" s="9"/>
      <c r="L59" s="9"/>
      <c r="M59" s="9"/>
      <c r="N59" s="22">
        <v>0.15</v>
      </c>
      <c r="O59" s="9"/>
      <c r="P59" s="9"/>
      <c r="Q59" s="9"/>
      <c r="R59" s="9"/>
      <c r="S59" s="9"/>
      <c r="T59" s="9"/>
    </row>
    <row r="60" spans="1:99" s="8" customFormat="1">
      <c r="A60" s="8" t="s">
        <v>74</v>
      </c>
      <c r="B60" s="9"/>
      <c r="C60" s="9"/>
      <c r="D60" s="9"/>
      <c r="E60" s="9"/>
      <c r="F60" s="9"/>
      <c r="G60" s="9"/>
      <c r="H60" s="9"/>
      <c r="I60" s="9"/>
      <c r="J60" s="9"/>
      <c r="K60" s="9"/>
      <c r="L60" s="9"/>
      <c r="M60" s="9"/>
      <c r="N60" s="22">
        <v>-0.08</v>
      </c>
      <c r="O60" s="9"/>
      <c r="P60" s="9"/>
      <c r="Q60" s="9"/>
      <c r="R60" s="9"/>
      <c r="S60" s="9"/>
      <c r="T60" s="9"/>
    </row>
    <row r="61" spans="1:99" s="8" customFormat="1">
      <c r="A61" s="8" t="s">
        <v>85</v>
      </c>
      <c r="B61" s="9"/>
      <c r="C61" s="9"/>
      <c r="D61" s="9"/>
      <c r="E61" s="9"/>
      <c r="F61" s="9"/>
      <c r="G61" s="9"/>
      <c r="H61" s="9"/>
      <c r="I61" s="9"/>
      <c r="J61" s="22"/>
      <c r="K61" s="22"/>
      <c r="L61" s="22"/>
      <c r="M61" s="22">
        <f>+M11/I11-1</f>
        <v>0.22315202231520215</v>
      </c>
      <c r="N61" s="22">
        <f>+N11/J11-1</f>
        <v>0.30149812734082393</v>
      </c>
      <c r="O61" s="9"/>
      <c r="P61" s="9"/>
      <c r="Q61" s="9"/>
      <c r="R61" s="9"/>
      <c r="S61" s="9"/>
      <c r="T61" s="9"/>
      <c r="AG61" s="23">
        <f>AG11/AF11-1</f>
        <v>1.2734530938123751</v>
      </c>
      <c r="AH61" s="23">
        <f>AH11/AG11-1</f>
        <v>0.99648814749780512</v>
      </c>
    </row>
    <row r="62" spans="1:99" s="8" customFormat="1">
      <c r="B62" s="9"/>
      <c r="C62" s="9"/>
      <c r="D62" s="9"/>
      <c r="E62" s="9"/>
      <c r="F62" s="9"/>
      <c r="G62" s="9"/>
      <c r="H62" s="9"/>
      <c r="I62" s="9"/>
      <c r="J62" s="9"/>
      <c r="K62" s="9"/>
      <c r="L62" s="22"/>
      <c r="M62" s="22"/>
      <c r="N62" s="22"/>
      <c r="O62" s="9"/>
      <c r="P62" s="9"/>
      <c r="Q62" s="9"/>
      <c r="R62" s="9"/>
      <c r="S62" s="9"/>
      <c r="T62" s="9"/>
    </row>
    <row r="63" spans="1:99" s="8" customFormat="1">
      <c r="A63" s="8" t="s">
        <v>20</v>
      </c>
      <c r="B63" s="9"/>
      <c r="C63" s="9"/>
      <c r="D63" s="9"/>
      <c r="E63" s="9"/>
      <c r="F63" s="22">
        <f t="shared" ref="F63:Q63" si="129">+F23/F14</f>
        <v>0.80498393189378137</v>
      </c>
      <c r="G63" s="22">
        <f t="shared" si="129"/>
        <v>0.7950981966072671</v>
      </c>
      <c r="H63" s="22">
        <f t="shared" si="129"/>
        <v>0.80465766185374943</v>
      </c>
      <c r="I63" s="22">
        <f t="shared" si="129"/>
        <v>0.81440581362211462</v>
      </c>
      <c r="J63" s="22">
        <f t="shared" si="129"/>
        <v>0.80394329601467274</v>
      </c>
      <c r="K63" s="22">
        <f t="shared" si="129"/>
        <v>0.81432059703545756</v>
      </c>
      <c r="L63" s="22">
        <f t="shared" si="129"/>
        <v>0.80106859703550504</v>
      </c>
      <c r="M63" s="22">
        <f t="shared" si="129"/>
        <v>0.81146981081642955</v>
      </c>
      <c r="N63" s="22">
        <f t="shared" si="129"/>
        <v>0.78482872294682526</v>
      </c>
      <c r="O63" s="22">
        <f t="shared" si="129"/>
        <v>0.81985982929706469</v>
      </c>
      <c r="P63" s="22">
        <f t="shared" si="129"/>
        <v>0.78</v>
      </c>
      <c r="Q63" s="22">
        <f t="shared" si="129"/>
        <v>0.78</v>
      </c>
      <c r="R63" s="22"/>
      <c r="S63" s="22"/>
      <c r="T63" s="22"/>
      <c r="AG63" s="23">
        <f t="shared" ref="AG63:AQ63" si="130">+AG23/AG14</f>
        <v>0.80583021194425708</v>
      </c>
      <c r="AH63" s="23">
        <f t="shared" si="130"/>
        <v>0.80794376277251567</v>
      </c>
      <c r="AI63" s="23">
        <f t="shared" si="130"/>
        <v>0.81</v>
      </c>
      <c r="AJ63" s="23">
        <f t="shared" si="130"/>
        <v>0.81</v>
      </c>
      <c r="AK63" s="23">
        <f t="shared" si="130"/>
        <v>0.81</v>
      </c>
      <c r="AL63" s="23">
        <f t="shared" si="130"/>
        <v>0.81</v>
      </c>
      <c r="AM63" s="23">
        <f t="shared" si="130"/>
        <v>0.81</v>
      </c>
      <c r="AN63" s="23">
        <f t="shared" si="130"/>
        <v>0.81</v>
      </c>
      <c r="AO63" s="23">
        <f t="shared" si="130"/>
        <v>0.81</v>
      </c>
      <c r="AP63" s="23">
        <f t="shared" si="130"/>
        <v>0.81</v>
      </c>
      <c r="AQ63" s="23">
        <f t="shared" si="130"/>
        <v>0.81</v>
      </c>
      <c r="AU63" s="5" t="s">
        <v>89</v>
      </c>
      <c r="AV63" s="8">
        <f>NPV(AV64,AJ50:CU50)</f>
        <v>1238750.2433694396</v>
      </c>
    </row>
    <row r="64" spans="1:99" s="8" customFormat="1">
      <c r="A64" s="8" t="s">
        <v>87</v>
      </c>
      <c r="B64" s="9"/>
      <c r="C64" s="9"/>
      <c r="D64" s="9"/>
      <c r="E64" s="9"/>
      <c r="F64" s="9"/>
      <c r="G64" s="9"/>
      <c r="H64" s="22">
        <f t="shared" ref="H64:Q64" si="131">+H49/H48</f>
        <v>3.5288331488995447E-2</v>
      </c>
      <c r="I64" s="22">
        <f t="shared" si="131"/>
        <v>0.14063577173496744</v>
      </c>
      <c r="J64" s="22">
        <f t="shared" si="131"/>
        <v>0.17438928975049986</v>
      </c>
      <c r="K64" s="22">
        <f t="shared" si="131"/>
        <v>0.16934388236234316</v>
      </c>
      <c r="L64" s="22">
        <f t="shared" si="131"/>
        <v>0.12976810222432561</v>
      </c>
      <c r="M64" s="22">
        <f t="shared" si="131"/>
        <v>0.19028499448905684</v>
      </c>
      <c r="N64" s="22">
        <f t="shared" si="131"/>
        <v>0.1619892231701841</v>
      </c>
      <c r="O64" s="22">
        <f t="shared" si="131"/>
        <v>0.19</v>
      </c>
      <c r="P64" s="22">
        <f t="shared" si="131"/>
        <v>0.19</v>
      </c>
      <c r="Q64" s="22">
        <f t="shared" si="131"/>
        <v>0.19</v>
      </c>
      <c r="R64" s="22"/>
      <c r="S64" s="22"/>
      <c r="T64" s="22"/>
      <c r="AG64" s="23">
        <f t="shared" ref="AG64:AQ64" si="132">+AG49/AG48</f>
        <v>0.12157560049425876</v>
      </c>
      <c r="AH64" s="23">
        <f t="shared" si="132"/>
        <v>0.16737162676592504</v>
      </c>
      <c r="AI64" s="23">
        <f t="shared" si="132"/>
        <v>0.18</v>
      </c>
      <c r="AJ64" s="23">
        <f t="shared" si="132"/>
        <v>0.18</v>
      </c>
      <c r="AK64" s="23">
        <f t="shared" si="132"/>
        <v>0.18</v>
      </c>
      <c r="AL64" s="23">
        <f t="shared" si="132"/>
        <v>0.18</v>
      </c>
      <c r="AM64" s="23">
        <f t="shared" si="132"/>
        <v>0.18</v>
      </c>
      <c r="AN64" s="23">
        <f t="shared" si="132"/>
        <v>0.18</v>
      </c>
      <c r="AO64" s="23">
        <f t="shared" si="132"/>
        <v>0.18</v>
      </c>
      <c r="AP64" s="23">
        <f t="shared" si="132"/>
        <v>0.18</v>
      </c>
      <c r="AQ64" s="23">
        <f t="shared" si="132"/>
        <v>0.18</v>
      </c>
      <c r="AU64" s="8" t="s">
        <v>90</v>
      </c>
      <c r="AV64" s="23">
        <v>0.05</v>
      </c>
    </row>
    <row r="65" spans="1:48">
      <c r="N65" s="9"/>
      <c r="AV65" s="23"/>
    </row>
    <row r="66" spans="1:48">
      <c r="A66" s="8"/>
      <c r="I66" s="9"/>
      <c r="M66" s="9"/>
      <c r="N66" s="9"/>
      <c r="O66" s="9"/>
      <c r="P66" s="9"/>
      <c r="Q66" s="9"/>
      <c r="R66" s="9"/>
      <c r="S66" s="9"/>
      <c r="T66" s="9"/>
      <c r="AH66" s="8"/>
      <c r="AI66" s="8"/>
      <c r="AJ66" s="8"/>
      <c r="AK66" s="8"/>
      <c r="AL66" s="8"/>
      <c r="AM66" s="8"/>
      <c r="AN66" s="8"/>
      <c r="AO66" s="8"/>
      <c r="AP66" s="8"/>
      <c r="AQ66" s="8"/>
      <c r="AV66" s="23"/>
    </row>
    <row r="67" spans="1:48">
      <c r="I67" s="9"/>
      <c r="M67" s="9"/>
      <c r="N67" s="9"/>
      <c r="AV67" s="17"/>
    </row>
    <row r="68" spans="1:48">
      <c r="A68" s="8"/>
      <c r="I68" s="9"/>
      <c r="M68" s="9"/>
      <c r="N68" s="9"/>
      <c r="AV68" s="23"/>
    </row>
    <row r="69" spans="1:48">
      <c r="I69" s="9"/>
      <c r="M69" s="9"/>
      <c r="N69" s="9"/>
    </row>
    <row r="70" spans="1:48">
      <c r="A70" s="8"/>
      <c r="I70" s="9"/>
      <c r="M70" s="9"/>
      <c r="N70" s="9"/>
    </row>
    <row r="71" spans="1:48">
      <c r="I71" s="9"/>
      <c r="M71" s="9"/>
      <c r="N71" s="9"/>
    </row>
    <row r="72" spans="1:48">
      <c r="A72" s="8"/>
      <c r="I72" s="9"/>
      <c r="M72" s="9"/>
      <c r="N72" s="9"/>
    </row>
    <row r="73" spans="1:48">
      <c r="I73" s="9"/>
      <c r="M73" s="9"/>
      <c r="N73" s="9"/>
    </row>
    <row r="74" spans="1:48">
      <c r="N74" s="9"/>
    </row>
    <row r="75" spans="1:48">
      <c r="I75" s="9"/>
      <c r="M75" s="9"/>
      <c r="N75" s="9"/>
    </row>
    <row r="76" spans="1:48">
      <c r="I76" s="9"/>
      <c r="M76" s="9"/>
      <c r="N76" s="9"/>
    </row>
    <row r="77" spans="1:48">
      <c r="I77" s="9"/>
      <c r="M77" s="9"/>
      <c r="N77" s="9"/>
    </row>
    <row r="78" spans="1:48">
      <c r="I78" s="9"/>
      <c r="M78" s="9"/>
      <c r="N78" s="9"/>
    </row>
    <row r="79" spans="1:48">
      <c r="I79" s="9"/>
      <c r="M79" s="9"/>
      <c r="N79" s="9"/>
    </row>
    <row r="80" spans="1:48">
      <c r="I80" s="9"/>
      <c r="M80" s="9"/>
      <c r="N80" s="9"/>
    </row>
    <row r="81" spans="9:14">
      <c r="I81" s="9"/>
      <c r="M81" s="9"/>
      <c r="N81" s="9"/>
    </row>
    <row r="82" spans="9:14">
      <c r="I82" s="9"/>
      <c r="M82" s="9"/>
      <c r="N82" s="9"/>
    </row>
    <row r="83" spans="9:14">
      <c r="I83" s="9"/>
      <c r="M83" s="9"/>
      <c r="N83" s="9"/>
    </row>
    <row r="84" spans="9:14">
      <c r="I84" s="9"/>
      <c r="M84" s="9"/>
      <c r="N84" s="9"/>
    </row>
    <row r="85" spans="9:14">
      <c r="N85" s="9"/>
    </row>
    <row r="86" spans="9:14">
      <c r="M86" s="9"/>
      <c r="N86" s="9"/>
    </row>
    <row r="87" spans="9:14">
      <c r="M87" s="9"/>
      <c r="N87" s="9"/>
    </row>
    <row r="88" spans="9:14">
      <c r="M88" s="9"/>
      <c r="N88" s="9"/>
    </row>
    <row r="89" spans="9:14">
      <c r="M89" s="9"/>
      <c r="N89" s="9"/>
    </row>
    <row r="90" spans="9:14">
      <c r="M90" s="9"/>
      <c r="N90" s="9"/>
    </row>
    <row r="91" spans="9:14">
      <c r="M91" s="9"/>
      <c r="N91" s="9"/>
    </row>
    <row r="92" spans="9:14">
      <c r="M92" s="9"/>
      <c r="N92" s="9"/>
    </row>
    <row r="93" spans="9:14">
      <c r="M93" s="9"/>
      <c r="N93" s="9"/>
    </row>
    <row r="94" spans="9:14">
      <c r="N94" s="9"/>
    </row>
    <row r="95" spans="9:14">
      <c r="M95" s="9"/>
      <c r="N95" s="9"/>
    </row>
    <row r="96" spans="9:14">
      <c r="M96" s="9"/>
      <c r="N96" s="9"/>
    </row>
    <row r="97" spans="2:20">
      <c r="M97" s="9"/>
      <c r="N97" s="9"/>
    </row>
    <row r="98" spans="2:20">
      <c r="M98" s="9"/>
      <c r="N98" s="9"/>
    </row>
    <row r="99" spans="2:20">
      <c r="N99" s="9"/>
    </row>
    <row r="100" spans="2:20">
      <c r="M100" s="9"/>
      <c r="N100" s="9"/>
    </row>
    <row r="101" spans="2:20" s="20" customFormat="1">
      <c r="B101" s="18"/>
      <c r="C101" s="18"/>
      <c r="D101" s="18"/>
      <c r="E101" s="18"/>
      <c r="F101" s="18"/>
      <c r="G101" s="18"/>
      <c r="H101" s="18"/>
      <c r="I101" s="18"/>
      <c r="J101" s="18"/>
      <c r="K101" s="18"/>
      <c r="L101" s="18"/>
      <c r="M101" s="16"/>
      <c r="N101" s="16"/>
      <c r="O101" s="18"/>
      <c r="P101" s="18"/>
      <c r="Q101" s="18"/>
      <c r="R101" s="18"/>
      <c r="S101" s="18"/>
      <c r="T101" s="18"/>
    </row>
    <row r="102" spans="2:20">
      <c r="M102" s="9"/>
      <c r="N102" s="9"/>
    </row>
    <row r="103" spans="2:20">
      <c r="M103" s="9"/>
      <c r="N103" s="9"/>
    </row>
    <row r="104" spans="2:20">
      <c r="N104" s="9"/>
    </row>
    <row r="105" spans="2:20">
      <c r="M105" s="9"/>
      <c r="N105" s="9"/>
    </row>
    <row r="106" spans="2:20">
      <c r="N106" s="9"/>
    </row>
    <row r="107" spans="2:20" s="8" customFormat="1">
      <c r="B107" s="9"/>
      <c r="C107" s="9"/>
      <c r="D107" s="9"/>
      <c r="E107" s="9"/>
      <c r="F107" s="9"/>
      <c r="G107" s="9"/>
      <c r="H107" s="9"/>
      <c r="I107" s="9"/>
      <c r="J107" s="9"/>
      <c r="K107" s="9"/>
      <c r="L107" s="9"/>
      <c r="M107" s="9"/>
      <c r="N107" s="9"/>
      <c r="O107" s="9"/>
      <c r="P107" s="9"/>
      <c r="Q107" s="9"/>
      <c r="R107" s="9"/>
      <c r="S107" s="9"/>
      <c r="T107" s="9"/>
    </row>
    <row r="108" spans="2:20">
      <c r="N108" s="9"/>
    </row>
  </sheetData>
  <conditionalFormatting sqref="A1:XFD1048576">
    <cfRule type="cellIs" dxfId="0" priority="1" operator="lessThan">
      <formula>0</formula>
    </cfRule>
  </conditionalFormatting>
  <hyperlinks>
    <hyperlink ref="A5" location="Main!A1" display="Main" xr:uid="{6B7741CE-F79E-B44D-8329-4F0D0E5FD9AB}"/>
    <hyperlink ref="A6" location="Drivers!A1" display="Drivers" xr:uid="{DA8A75D9-C9A1-0949-B00C-3243FF7F75F2}"/>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B028-896D-E741-B77A-EF6942BEC5EC}">
  <dimension ref="A1:AV52"/>
  <sheetViews>
    <sheetView workbookViewId="0">
      <pane xSplit="1" ySplit="8" topLeftCell="B13" activePane="bottomRight" state="frozen"/>
      <selection pane="topRight" activeCell="B1" sqref="B1"/>
      <selection pane="bottomLeft" activeCell="A9" sqref="A9"/>
      <selection pane="bottomRight"/>
    </sheetView>
  </sheetViews>
  <sheetFormatPr baseColWidth="10" defaultColWidth="8.83203125" defaultRowHeight="16"/>
  <cols>
    <col min="1" max="1" width="29.5" style="5" customWidth="1"/>
    <col min="2" max="20" width="9.33203125" style="6" bestFit="1" customWidth="1"/>
    <col min="21" max="21" width="9.1640625" style="5" bestFit="1" customWidth="1"/>
    <col min="22" max="24" width="9" style="5" bestFit="1" customWidth="1"/>
    <col min="25" max="25" width="9.1640625" style="5" bestFit="1" customWidth="1"/>
    <col min="26" max="27" width="8.83203125" style="5"/>
    <col min="28" max="99" width="9" style="5" bestFit="1" customWidth="1"/>
    <col min="100" max="16384" width="8.83203125" style="5"/>
  </cols>
  <sheetData>
    <row r="1" spans="1:48" ht="58" customHeight="1">
      <c r="A1" s="24" t="s">
        <v>170</v>
      </c>
    </row>
    <row r="2" spans="1:48" ht="26">
      <c r="A2" s="25" t="s">
        <v>94</v>
      </c>
    </row>
    <row r="3" spans="1:48">
      <c r="A3" s="5" t="s">
        <v>138</v>
      </c>
    </row>
    <row r="6" spans="1:48">
      <c r="A6" s="7" t="s">
        <v>7</v>
      </c>
    </row>
    <row r="7" spans="1:48">
      <c r="B7" s="26" t="s">
        <v>95</v>
      </c>
      <c r="C7" s="27" t="s">
        <v>96</v>
      </c>
      <c r="D7" s="27" t="s">
        <v>97</v>
      </c>
      <c r="E7" s="27" t="s">
        <v>98</v>
      </c>
      <c r="F7" s="27" t="s">
        <v>99</v>
      </c>
      <c r="G7" s="27" t="s">
        <v>100</v>
      </c>
      <c r="H7" s="27" t="s">
        <v>101</v>
      </c>
      <c r="I7" s="27" t="s">
        <v>102</v>
      </c>
      <c r="J7" s="27" t="s">
        <v>103</v>
      </c>
      <c r="K7" s="27" t="s">
        <v>104</v>
      </c>
      <c r="L7" s="27" t="s">
        <v>105</v>
      </c>
      <c r="M7" s="27" t="s">
        <v>106</v>
      </c>
      <c r="N7" s="27" t="s">
        <v>107</v>
      </c>
      <c r="O7" s="27" t="s">
        <v>108</v>
      </c>
      <c r="P7" s="27" t="s">
        <v>109</v>
      </c>
      <c r="Q7" s="27" t="s">
        <v>110</v>
      </c>
      <c r="R7" s="27" t="s">
        <v>111</v>
      </c>
      <c r="S7" s="27" t="s">
        <v>112</v>
      </c>
      <c r="T7" s="27" t="s">
        <v>113</v>
      </c>
      <c r="U7" s="27" t="s">
        <v>114</v>
      </c>
      <c r="V7" s="27" t="s">
        <v>115</v>
      </c>
      <c r="W7" s="27" t="s">
        <v>116</v>
      </c>
      <c r="X7" s="27" t="s">
        <v>117</v>
      </c>
      <c r="Y7" s="28" t="s">
        <v>118</v>
      </c>
      <c r="AF7" s="32" t="s">
        <v>119</v>
      </c>
      <c r="AG7" s="33" t="s">
        <v>120</v>
      </c>
      <c r="AH7" s="33" t="s">
        <v>121</v>
      </c>
      <c r="AI7" s="33" t="s">
        <v>122</v>
      </c>
      <c r="AJ7" s="33" t="s">
        <v>123</v>
      </c>
      <c r="AK7" s="33" t="s">
        <v>124</v>
      </c>
      <c r="AL7" s="33" t="s">
        <v>125</v>
      </c>
      <c r="AM7" s="33" t="s">
        <v>126</v>
      </c>
      <c r="AN7" s="33" t="s">
        <v>127</v>
      </c>
      <c r="AO7" s="33" t="s">
        <v>128</v>
      </c>
      <c r="AP7" s="33" t="s">
        <v>129</v>
      </c>
      <c r="AQ7" s="34" t="s">
        <v>130</v>
      </c>
    </row>
    <row r="8" spans="1:48">
      <c r="B8" s="29">
        <v>43555</v>
      </c>
      <c r="C8" s="30">
        <v>43646</v>
      </c>
      <c r="D8" s="30">
        <v>43738</v>
      </c>
      <c r="E8" s="30">
        <v>43830</v>
      </c>
      <c r="F8" s="30">
        <f>B8+366</f>
        <v>43921</v>
      </c>
      <c r="G8" s="30">
        <f t="shared" ref="G8:I8" si="0">C8+366</f>
        <v>44012</v>
      </c>
      <c r="H8" s="30">
        <f t="shared" si="0"/>
        <v>44104</v>
      </c>
      <c r="I8" s="30">
        <f t="shared" si="0"/>
        <v>44196</v>
      </c>
      <c r="J8" s="30">
        <f>F8+365</f>
        <v>44286</v>
      </c>
      <c r="K8" s="30">
        <f t="shared" ref="K8:U8" si="1">G8+365</f>
        <v>44377</v>
      </c>
      <c r="L8" s="30">
        <f t="shared" si="1"/>
        <v>44469</v>
      </c>
      <c r="M8" s="30">
        <f t="shared" si="1"/>
        <v>44561</v>
      </c>
      <c r="N8" s="30">
        <f t="shared" si="1"/>
        <v>44651</v>
      </c>
      <c r="O8" s="30">
        <f t="shared" si="1"/>
        <v>44742</v>
      </c>
      <c r="P8" s="30">
        <f t="shared" si="1"/>
        <v>44834</v>
      </c>
      <c r="Q8" s="30">
        <f t="shared" si="1"/>
        <v>44926</v>
      </c>
      <c r="R8" s="30">
        <f t="shared" si="1"/>
        <v>45016</v>
      </c>
      <c r="S8" s="30">
        <f t="shared" si="1"/>
        <v>45107</v>
      </c>
      <c r="T8" s="30">
        <f t="shared" si="1"/>
        <v>45199</v>
      </c>
      <c r="U8" s="30">
        <f t="shared" si="1"/>
        <v>45291</v>
      </c>
      <c r="V8" s="30">
        <f>R8+366</f>
        <v>45382</v>
      </c>
      <c r="W8" s="30">
        <f t="shared" ref="W8:Y8" si="2">S8+366</f>
        <v>45473</v>
      </c>
      <c r="X8" s="30">
        <f t="shared" si="2"/>
        <v>45565</v>
      </c>
      <c r="Y8" s="31">
        <f t="shared" si="2"/>
        <v>45657</v>
      </c>
      <c r="AF8" s="35">
        <v>2019</v>
      </c>
      <c r="AG8" s="36">
        <f t="shared" ref="AG8:AQ8" si="3">+AF8+1</f>
        <v>2020</v>
      </c>
      <c r="AH8" s="36">
        <f t="shared" si="3"/>
        <v>2021</v>
      </c>
      <c r="AI8" s="36">
        <f t="shared" si="3"/>
        <v>2022</v>
      </c>
      <c r="AJ8" s="36">
        <f t="shared" si="3"/>
        <v>2023</v>
      </c>
      <c r="AK8" s="36">
        <f t="shared" si="3"/>
        <v>2024</v>
      </c>
      <c r="AL8" s="36">
        <f t="shared" si="3"/>
        <v>2025</v>
      </c>
      <c r="AM8" s="36">
        <f t="shared" si="3"/>
        <v>2026</v>
      </c>
      <c r="AN8" s="36">
        <f t="shared" si="3"/>
        <v>2027</v>
      </c>
      <c r="AO8" s="36">
        <f t="shared" si="3"/>
        <v>2028</v>
      </c>
      <c r="AP8" s="36">
        <f t="shared" si="3"/>
        <v>2029</v>
      </c>
      <c r="AQ8" s="37">
        <f t="shared" si="3"/>
        <v>2030</v>
      </c>
    </row>
    <row r="9" spans="1:48">
      <c r="N9" s="9"/>
      <c r="AU9" s="5" t="s">
        <v>91</v>
      </c>
      <c r="AV9" s="23">
        <v>-0.05</v>
      </c>
    </row>
    <row r="10" spans="1:48">
      <c r="A10" s="8" t="s">
        <v>4</v>
      </c>
      <c r="I10" s="9">
        <f>17576+44378+6234</f>
        <v>68188</v>
      </c>
      <c r="M10" s="9">
        <f>16601+31397+6775</f>
        <v>54773</v>
      </c>
      <c r="N10" s="9">
        <f>14886+29004+6775</f>
        <v>50665</v>
      </c>
      <c r="O10" s="9" t="e">
        <f>+N10+#REF!</f>
        <v>#REF!</v>
      </c>
      <c r="P10" s="9" t="e">
        <f>+O10+#REF!</f>
        <v>#REF!</v>
      </c>
      <c r="Q10" s="9" t="e">
        <f>+P10+#REF!</f>
        <v>#REF!</v>
      </c>
      <c r="R10" s="9"/>
      <c r="S10" s="9"/>
      <c r="T10" s="9"/>
      <c r="AH10" s="8">
        <f>+M10</f>
        <v>54773</v>
      </c>
      <c r="AI10" s="8" t="e">
        <f>+Q10</f>
        <v>#REF!</v>
      </c>
      <c r="AJ10" s="8" t="e">
        <f>+AI10+#REF!</f>
        <v>#REF!</v>
      </c>
      <c r="AK10" s="8" t="e">
        <f>+AJ10+#REF!</f>
        <v>#REF!</v>
      </c>
      <c r="AL10" s="8" t="e">
        <f>+AK10+#REF!</f>
        <v>#REF!</v>
      </c>
      <c r="AM10" s="8" t="e">
        <f>+AL10+#REF!</f>
        <v>#REF!</v>
      </c>
      <c r="AN10" s="8" t="e">
        <f>+AM10+#REF!</f>
        <v>#REF!</v>
      </c>
      <c r="AO10" s="8" t="e">
        <f>+AN10+#REF!</f>
        <v>#REF!</v>
      </c>
      <c r="AP10" s="8" t="e">
        <f>+AO10+#REF!</f>
        <v>#REF!</v>
      </c>
      <c r="AQ10" s="8" t="e">
        <f>+AP10+#REF!</f>
        <v>#REF!</v>
      </c>
      <c r="AU10" s="5" t="s">
        <v>88</v>
      </c>
      <c r="AV10" s="23">
        <v>0.01</v>
      </c>
    </row>
    <row r="11" spans="1:48">
      <c r="A11" s="5" t="s">
        <v>28</v>
      </c>
      <c r="I11" s="9">
        <v>11335</v>
      </c>
      <c r="M11" s="9">
        <v>14039</v>
      </c>
      <c r="N11" s="9">
        <v>11390</v>
      </c>
      <c r="AU11" s="5" t="s">
        <v>92</v>
      </c>
      <c r="AV11" s="17" t="e">
        <f>#REF!/Main!M3</f>
        <v>#REF!</v>
      </c>
    </row>
    <row r="12" spans="1:48">
      <c r="A12" s="8" t="s">
        <v>29</v>
      </c>
      <c r="I12" s="9">
        <v>2381</v>
      </c>
      <c r="M12" s="9">
        <v>4629</v>
      </c>
      <c r="N12" s="9">
        <v>3985</v>
      </c>
      <c r="AU12" s="5" t="s">
        <v>93</v>
      </c>
      <c r="AV12" s="23" t="e">
        <f>AV11/Main!M2-1</f>
        <v>#REF!</v>
      </c>
    </row>
    <row r="13" spans="1:48">
      <c r="A13" s="5" t="s">
        <v>30</v>
      </c>
      <c r="I13" s="9">
        <v>45633</v>
      </c>
      <c r="M13" s="9">
        <v>57809</v>
      </c>
      <c r="N13" s="9">
        <v>61582</v>
      </c>
    </row>
    <row r="14" spans="1:48">
      <c r="A14" s="8" t="s">
        <v>31</v>
      </c>
      <c r="I14" s="9">
        <v>9348</v>
      </c>
      <c r="M14" s="9">
        <v>12155</v>
      </c>
      <c r="N14" s="9">
        <v>12241</v>
      </c>
    </row>
    <row r="15" spans="1:48">
      <c r="A15" s="5" t="s">
        <v>33</v>
      </c>
      <c r="I15" s="9">
        <f>623+19050</f>
        <v>19673</v>
      </c>
      <c r="M15" s="9">
        <f>19197+634</f>
        <v>19831</v>
      </c>
      <c r="N15" s="9">
        <f>910+19923</f>
        <v>20833</v>
      </c>
    </row>
    <row r="16" spans="1:48">
      <c r="A16" s="8" t="s">
        <v>34</v>
      </c>
      <c r="I16" s="9">
        <v>2758</v>
      </c>
      <c r="M16" s="9">
        <v>2751</v>
      </c>
      <c r="N16" s="9">
        <v>3522</v>
      </c>
    </row>
    <row r="17" spans="1:14">
      <c r="A17" s="5" t="s">
        <v>32</v>
      </c>
      <c r="I17" s="9">
        <f t="shared" ref="I17" si="4">SUM(I10:I16)</f>
        <v>159316</v>
      </c>
      <c r="M17" s="9">
        <f t="shared" ref="M17" si="5">SUM(M10:M16)</f>
        <v>165987</v>
      </c>
      <c r="N17" s="9">
        <f>SUM(N10:N16)</f>
        <v>164218</v>
      </c>
    </row>
    <row r="18" spans="1:14">
      <c r="N18" s="9"/>
    </row>
    <row r="19" spans="1:14">
      <c r="A19" s="5" t="s">
        <v>35</v>
      </c>
      <c r="I19" s="9">
        <v>1331</v>
      </c>
      <c r="M19" s="9">
        <v>4083</v>
      </c>
      <c r="N19" s="9">
        <v>3246</v>
      </c>
    </row>
    <row r="20" spans="1:14">
      <c r="A20" s="5" t="s">
        <v>36</v>
      </c>
      <c r="I20" s="9">
        <v>1093</v>
      </c>
      <c r="M20" s="9">
        <v>1052</v>
      </c>
      <c r="N20" s="9">
        <v>935</v>
      </c>
    </row>
    <row r="21" spans="1:14">
      <c r="A21" s="5" t="s">
        <v>37</v>
      </c>
      <c r="I21" s="9">
        <f>1023+9631</f>
        <v>10654</v>
      </c>
      <c r="M21" s="9">
        <f>1127+12746</f>
        <v>13873</v>
      </c>
      <c r="N21" s="9">
        <f>1159+12894</f>
        <v>14053</v>
      </c>
    </row>
    <row r="22" spans="1:14">
      <c r="A22" s="5" t="s">
        <v>38</v>
      </c>
      <c r="I22" s="9">
        <v>11152</v>
      </c>
      <c r="M22" s="9">
        <v>14312</v>
      </c>
      <c r="N22" s="9">
        <v>15226</v>
      </c>
    </row>
    <row r="23" spans="1:14">
      <c r="A23" s="5" t="s">
        <v>39</v>
      </c>
      <c r="I23" s="9">
        <v>382</v>
      </c>
      <c r="M23" s="9">
        <v>561</v>
      </c>
      <c r="N23" s="9">
        <v>520</v>
      </c>
    </row>
    <row r="24" spans="1:14">
      <c r="A24" s="5" t="s">
        <v>44</v>
      </c>
      <c r="I24" s="9">
        <v>6414</v>
      </c>
      <c r="M24" s="9">
        <v>7227</v>
      </c>
      <c r="N24" s="9">
        <v>7010</v>
      </c>
    </row>
    <row r="25" spans="1:14">
      <c r="A25" s="5" t="s">
        <v>43</v>
      </c>
      <c r="I25" s="9">
        <v>50018</v>
      </c>
      <c r="M25" s="9">
        <v>55811</v>
      </c>
      <c r="N25" s="9">
        <v>57512</v>
      </c>
    </row>
    <row r="26" spans="1:14">
      <c r="A26" s="5" t="s">
        <v>42</v>
      </c>
      <c r="I26" s="9">
        <v>927</v>
      </c>
      <c r="M26" s="9">
        <v>-693</v>
      </c>
      <c r="N26" s="9">
        <v>-1996</v>
      </c>
    </row>
    <row r="27" spans="1:14">
      <c r="A27" s="5" t="s">
        <v>41</v>
      </c>
      <c r="I27" s="9">
        <v>77345</v>
      </c>
      <c r="M27" s="9">
        <v>69761</v>
      </c>
      <c r="N27" s="9">
        <v>67712</v>
      </c>
    </row>
    <row r="28" spans="1:14">
      <c r="A28" s="5" t="s">
        <v>40</v>
      </c>
      <c r="I28" s="9">
        <f t="shared" ref="I28" si="6">SUM(I19:I27)</f>
        <v>159316</v>
      </c>
      <c r="M28" s="9">
        <f t="shared" ref="M28" si="7">SUM(M19:M27)</f>
        <v>165987</v>
      </c>
      <c r="N28" s="9">
        <f>SUM(N19:N27)</f>
        <v>164218</v>
      </c>
    </row>
    <row r="29" spans="1:14">
      <c r="N29" s="9"/>
    </row>
    <row r="30" spans="1:14">
      <c r="A30" s="5" t="s">
        <v>45</v>
      </c>
      <c r="M30" s="9" t="e">
        <f>#REF!</f>
        <v>#REF!</v>
      </c>
      <c r="N30" s="9" t="e">
        <f>#REF!</f>
        <v>#REF!</v>
      </c>
    </row>
    <row r="31" spans="1:14">
      <c r="A31" s="5" t="s">
        <v>46</v>
      </c>
      <c r="M31" s="9">
        <v>10285</v>
      </c>
      <c r="N31" s="9">
        <v>7465</v>
      </c>
    </row>
    <row r="32" spans="1:14">
      <c r="A32" s="5" t="s">
        <v>48</v>
      </c>
      <c r="M32" s="9">
        <v>2014</v>
      </c>
      <c r="N32" s="9">
        <v>2156</v>
      </c>
    </row>
    <row r="33" spans="1:20">
      <c r="A33" s="5" t="s">
        <v>49</v>
      </c>
      <c r="M33" s="9">
        <v>2406</v>
      </c>
      <c r="N33" s="9">
        <v>2498</v>
      </c>
    </row>
    <row r="34" spans="1:20">
      <c r="A34" s="5" t="s">
        <v>50</v>
      </c>
      <c r="M34" s="9">
        <v>748</v>
      </c>
      <c r="N34" s="9">
        <v>-563</v>
      </c>
    </row>
    <row r="35" spans="1:20">
      <c r="A35" s="5" t="s">
        <v>34</v>
      </c>
      <c r="M35" s="9">
        <v>34</v>
      </c>
      <c r="N35" s="9">
        <v>-221</v>
      </c>
    </row>
    <row r="36" spans="1:20">
      <c r="A36" s="5" t="s">
        <v>51</v>
      </c>
      <c r="M36" s="9">
        <f>-2038+817-165+876+151+2462+100+414</f>
        <v>2617</v>
      </c>
      <c r="N36" s="9">
        <f>2557+573-108-882-105+763-52-5</f>
        <v>2741</v>
      </c>
    </row>
    <row r="37" spans="1:20">
      <c r="A37" s="5" t="s">
        <v>47</v>
      </c>
      <c r="M37" s="9">
        <f>SUM(M31:M36)</f>
        <v>18104</v>
      </c>
      <c r="N37" s="9">
        <f>SUM(N31:N36)</f>
        <v>14076</v>
      </c>
    </row>
    <row r="38" spans="1:20">
      <c r="N38" s="9"/>
    </row>
    <row r="39" spans="1:20">
      <c r="A39" s="5" t="s">
        <v>52</v>
      </c>
      <c r="M39" s="9">
        <v>-5370</v>
      </c>
      <c r="N39" s="9">
        <f>-5441+126</f>
        <v>-5315</v>
      </c>
    </row>
    <row r="40" spans="1:20">
      <c r="A40" s="5" t="s">
        <v>53</v>
      </c>
      <c r="M40" s="9">
        <f>-6093+16340+1598-2-123</f>
        <v>11720</v>
      </c>
      <c r="N40" s="9">
        <f>-4068+5065+402-10</f>
        <v>1389</v>
      </c>
    </row>
    <row r="41" spans="1:20">
      <c r="A41" s="5" t="s">
        <v>54</v>
      </c>
      <c r="M41" s="9">
        <v>-521</v>
      </c>
      <c r="N41" s="9">
        <v>-853</v>
      </c>
    </row>
    <row r="42" spans="1:20">
      <c r="A42" s="5" t="s">
        <v>55</v>
      </c>
      <c r="M42" s="9">
        <f>SUM(M39:M41)</f>
        <v>5829</v>
      </c>
      <c r="N42" s="9">
        <f>SUM(N39:N41)</f>
        <v>-4779</v>
      </c>
    </row>
    <row r="43" spans="1:20">
      <c r="N43" s="9"/>
    </row>
    <row r="44" spans="1:20">
      <c r="A44" s="5" t="s">
        <v>56</v>
      </c>
      <c r="M44" s="9">
        <v>-1507</v>
      </c>
      <c r="N44" s="9">
        <v>-925</v>
      </c>
    </row>
    <row r="45" spans="1:20" s="20" customFormat="1">
      <c r="A45" s="20" t="s">
        <v>57</v>
      </c>
      <c r="B45" s="18"/>
      <c r="C45" s="18"/>
      <c r="D45" s="18"/>
      <c r="E45" s="18"/>
      <c r="F45" s="18"/>
      <c r="G45" s="18"/>
      <c r="H45" s="18"/>
      <c r="I45" s="18"/>
      <c r="J45" s="18"/>
      <c r="K45" s="18"/>
      <c r="L45" s="18"/>
      <c r="M45" s="16">
        <v>-20063</v>
      </c>
      <c r="N45" s="16">
        <v>-9506</v>
      </c>
      <c r="O45" s="18"/>
      <c r="P45" s="18"/>
      <c r="Q45" s="18"/>
      <c r="R45" s="18"/>
      <c r="S45" s="18"/>
      <c r="T45" s="18"/>
    </row>
    <row r="46" spans="1:20">
      <c r="A46" s="5" t="s">
        <v>34</v>
      </c>
      <c r="M46" s="9">
        <v>-172</v>
      </c>
      <c r="N46" s="9">
        <f>-233+20-16</f>
        <v>-229</v>
      </c>
    </row>
    <row r="47" spans="1:20">
      <c r="A47" s="5" t="s">
        <v>58</v>
      </c>
      <c r="M47" s="9">
        <f t="shared" ref="M47" si="8">SUM(M44:M46)</f>
        <v>-21742</v>
      </c>
      <c r="N47" s="9">
        <f>SUM(N44:N46)</f>
        <v>-10660</v>
      </c>
    </row>
    <row r="48" spans="1:20">
      <c r="A48" s="5" t="s">
        <v>59</v>
      </c>
      <c r="M48" s="6">
        <v>-130</v>
      </c>
      <c r="N48" s="9">
        <v>-149</v>
      </c>
    </row>
    <row r="49" spans="1:20">
      <c r="A49" s="5" t="s">
        <v>60</v>
      </c>
      <c r="M49" s="9">
        <f>+M48+M47+M42+M37</f>
        <v>2061</v>
      </c>
      <c r="N49" s="9">
        <f>+N48+N47+N42+N37</f>
        <v>-1512</v>
      </c>
    </row>
    <row r="50" spans="1:20">
      <c r="N50" s="9"/>
    </row>
    <row r="51" spans="1:20" s="8" customFormat="1">
      <c r="A51" s="8" t="s">
        <v>19</v>
      </c>
      <c r="B51" s="9"/>
      <c r="C51" s="9"/>
      <c r="D51" s="9"/>
      <c r="E51" s="9"/>
      <c r="F51" s="9"/>
      <c r="G51" s="9"/>
      <c r="H51" s="9"/>
      <c r="I51" s="9"/>
      <c r="J51" s="9"/>
      <c r="K51" s="9"/>
      <c r="L51" s="9"/>
      <c r="M51" s="9">
        <v>71970</v>
      </c>
      <c r="N51" s="9">
        <v>77805</v>
      </c>
      <c r="O51" s="9"/>
      <c r="P51" s="9"/>
      <c r="Q51" s="9"/>
      <c r="R51" s="9"/>
      <c r="S51" s="9"/>
      <c r="T51" s="9"/>
    </row>
    <row r="52" spans="1:20">
      <c r="N52" s="9">
        <f>+N51-M51</f>
        <v>5835</v>
      </c>
    </row>
  </sheetData>
  <hyperlinks>
    <hyperlink ref="A6" location="Main!A1" display="Main" xr:uid="{6061244D-CECC-964E-984B-889C91B5A38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433BB-D28F-B845-869A-14843B9F746B}">
  <dimension ref="A1:CU52"/>
  <sheetViews>
    <sheetView workbookViewId="0">
      <pane xSplit="1" ySplit="8" topLeftCell="B29" activePane="bottomRight" state="frozen"/>
      <selection pane="topRight" activeCell="B1" sqref="B1"/>
      <selection pane="bottomLeft" activeCell="A9" sqref="A9"/>
      <selection pane="bottomRight" activeCell="A2" sqref="A2"/>
    </sheetView>
  </sheetViews>
  <sheetFormatPr baseColWidth="10" defaultColWidth="8.83203125" defaultRowHeight="16"/>
  <cols>
    <col min="1" max="1" width="29.5" style="5" customWidth="1"/>
    <col min="2" max="20" width="9.33203125" style="6" bestFit="1" customWidth="1"/>
    <col min="21" max="21" width="9.1640625" style="5" bestFit="1" customWidth="1"/>
    <col min="22" max="24" width="9" style="5" bestFit="1" customWidth="1"/>
    <col min="25" max="25" width="9.1640625" style="5" bestFit="1" customWidth="1"/>
    <col min="26" max="27" width="8.83203125" style="5"/>
    <col min="28" max="99" width="9" style="5" bestFit="1" customWidth="1"/>
    <col min="100" max="16384" width="8.83203125" style="5"/>
  </cols>
  <sheetData>
    <row r="1" spans="1:99" ht="58" customHeight="1">
      <c r="A1" s="24" t="s">
        <v>170</v>
      </c>
    </row>
    <row r="2" spans="1:99" ht="26">
      <c r="A2" s="25" t="s">
        <v>94</v>
      </c>
    </row>
    <row r="3" spans="1:99">
      <c r="A3" s="5" t="s">
        <v>138</v>
      </c>
    </row>
    <row r="6" spans="1:99">
      <c r="A6" s="7" t="s">
        <v>7</v>
      </c>
    </row>
    <row r="7" spans="1:99">
      <c r="B7" s="26" t="s">
        <v>95</v>
      </c>
      <c r="C7" s="27" t="s">
        <v>96</v>
      </c>
      <c r="D7" s="27" t="s">
        <v>97</v>
      </c>
      <c r="E7" s="27" t="s">
        <v>98</v>
      </c>
      <c r="F7" s="27" t="s">
        <v>99</v>
      </c>
      <c r="G7" s="27" t="s">
        <v>100</v>
      </c>
      <c r="H7" s="27" t="s">
        <v>101</v>
      </c>
      <c r="I7" s="27" t="s">
        <v>102</v>
      </c>
      <c r="J7" s="27" t="s">
        <v>103</v>
      </c>
      <c r="K7" s="27" t="s">
        <v>104</v>
      </c>
      <c r="L7" s="27" t="s">
        <v>105</v>
      </c>
      <c r="M7" s="27" t="s">
        <v>106</v>
      </c>
      <c r="N7" s="27" t="s">
        <v>107</v>
      </c>
      <c r="O7" s="27" t="s">
        <v>108</v>
      </c>
      <c r="P7" s="27" t="s">
        <v>109</v>
      </c>
      <c r="Q7" s="27" t="s">
        <v>110</v>
      </c>
      <c r="R7" s="27" t="s">
        <v>111</v>
      </c>
      <c r="S7" s="27" t="s">
        <v>112</v>
      </c>
      <c r="T7" s="27" t="s">
        <v>113</v>
      </c>
      <c r="U7" s="27" t="s">
        <v>114</v>
      </c>
      <c r="V7" s="27" t="s">
        <v>115</v>
      </c>
      <c r="W7" s="27" t="s">
        <v>116</v>
      </c>
      <c r="X7" s="27" t="s">
        <v>117</v>
      </c>
      <c r="Y7" s="28" t="s">
        <v>118</v>
      </c>
      <c r="AF7" s="32" t="s">
        <v>119</v>
      </c>
      <c r="AG7" s="33" t="s">
        <v>120</v>
      </c>
      <c r="AH7" s="33" t="s">
        <v>121</v>
      </c>
      <c r="AI7" s="33" t="s">
        <v>122</v>
      </c>
      <c r="AJ7" s="33" t="s">
        <v>123</v>
      </c>
      <c r="AK7" s="33" t="s">
        <v>124</v>
      </c>
      <c r="AL7" s="33" t="s">
        <v>125</v>
      </c>
      <c r="AM7" s="33" t="s">
        <v>126</v>
      </c>
      <c r="AN7" s="33" t="s">
        <v>127</v>
      </c>
      <c r="AO7" s="33" t="s">
        <v>128</v>
      </c>
      <c r="AP7" s="33" t="s">
        <v>129</v>
      </c>
      <c r="AQ7" s="34" t="s">
        <v>130</v>
      </c>
    </row>
    <row r="8" spans="1:99">
      <c r="B8" s="29">
        <v>43555</v>
      </c>
      <c r="C8" s="30">
        <v>43646</v>
      </c>
      <c r="D8" s="30">
        <v>43738</v>
      </c>
      <c r="E8" s="30">
        <v>43830</v>
      </c>
      <c r="F8" s="30">
        <f>B8+366</f>
        <v>43921</v>
      </c>
      <c r="G8" s="30">
        <f t="shared" ref="G8:I8" si="0">C8+366</f>
        <v>44012</v>
      </c>
      <c r="H8" s="30">
        <f t="shared" si="0"/>
        <v>44104</v>
      </c>
      <c r="I8" s="30">
        <f t="shared" si="0"/>
        <v>44196</v>
      </c>
      <c r="J8" s="30">
        <f>F8+365</f>
        <v>44286</v>
      </c>
      <c r="K8" s="30">
        <f t="shared" ref="K8:U8" si="1">G8+365</f>
        <v>44377</v>
      </c>
      <c r="L8" s="30">
        <f t="shared" si="1"/>
        <v>44469</v>
      </c>
      <c r="M8" s="30">
        <f t="shared" si="1"/>
        <v>44561</v>
      </c>
      <c r="N8" s="30">
        <f t="shared" si="1"/>
        <v>44651</v>
      </c>
      <c r="O8" s="30">
        <f t="shared" si="1"/>
        <v>44742</v>
      </c>
      <c r="P8" s="30">
        <f t="shared" si="1"/>
        <v>44834</v>
      </c>
      <c r="Q8" s="30">
        <f t="shared" si="1"/>
        <v>44926</v>
      </c>
      <c r="R8" s="30">
        <f t="shared" si="1"/>
        <v>45016</v>
      </c>
      <c r="S8" s="30">
        <f t="shared" si="1"/>
        <v>45107</v>
      </c>
      <c r="T8" s="30">
        <f t="shared" si="1"/>
        <v>45199</v>
      </c>
      <c r="U8" s="30">
        <f t="shared" si="1"/>
        <v>45291</v>
      </c>
      <c r="V8" s="30">
        <f>R8+366</f>
        <v>45382</v>
      </c>
      <c r="W8" s="30">
        <f t="shared" ref="W8:Y8" si="2">S8+366</f>
        <v>45473</v>
      </c>
      <c r="X8" s="30">
        <f t="shared" si="2"/>
        <v>45565</v>
      </c>
      <c r="Y8" s="31">
        <f t="shared" si="2"/>
        <v>45657</v>
      </c>
      <c r="AF8" s="35">
        <v>2019</v>
      </c>
      <c r="AG8" s="36">
        <f t="shared" ref="AG8:AQ8" si="3">+AF8+1</f>
        <v>2020</v>
      </c>
      <c r="AH8" s="36">
        <f t="shared" si="3"/>
        <v>2021</v>
      </c>
      <c r="AI8" s="36">
        <f t="shared" si="3"/>
        <v>2022</v>
      </c>
      <c r="AJ8" s="36">
        <f t="shared" si="3"/>
        <v>2023</v>
      </c>
      <c r="AK8" s="36">
        <f t="shared" si="3"/>
        <v>2024</v>
      </c>
      <c r="AL8" s="36">
        <f t="shared" si="3"/>
        <v>2025</v>
      </c>
      <c r="AM8" s="36">
        <f t="shared" si="3"/>
        <v>2026</v>
      </c>
      <c r="AN8" s="36">
        <f t="shared" si="3"/>
        <v>2027</v>
      </c>
      <c r="AO8" s="36">
        <f t="shared" si="3"/>
        <v>2028</v>
      </c>
      <c r="AP8" s="36">
        <f t="shared" si="3"/>
        <v>2029</v>
      </c>
      <c r="AQ8" s="37">
        <f t="shared" si="3"/>
        <v>2030</v>
      </c>
    </row>
    <row r="9" spans="1:99" s="8" customFormat="1">
      <c r="A9" s="8" t="s">
        <v>25</v>
      </c>
      <c r="B9" s="9"/>
      <c r="C9" s="9"/>
      <c r="D9" s="9"/>
      <c r="E9" s="9"/>
      <c r="F9" s="9" t="e">
        <f>+#REF!-#REF!</f>
        <v>#REF!</v>
      </c>
      <c r="G9" s="9" t="e">
        <f>+#REF!-#REF!</f>
        <v>#REF!</v>
      </c>
      <c r="H9" s="9" t="e">
        <f>+#REF!-#REF!</f>
        <v>#REF!</v>
      </c>
      <c r="I9" s="9" t="e">
        <f>+#REF!-#REF!</f>
        <v>#REF!</v>
      </c>
      <c r="J9" s="9" t="e">
        <f>+#REF!-#REF!</f>
        <v>#REF!</v>
      </c>
      <c r="K9" s="9" t="e">
        <f>+#REF!-#REF!</f>
        <v>#REF!</v>
      </c>
      <c r="L9" s="9" t="e">
        <f>+#REF!-#REF!</f>
        <v>#REF!</v>
      </c>
      <c r="M9" s="9" t="e">
        <f>+#REF!-#REF!</f>
        <v>#REF!</v>
      </c>
      <c r="N9" s="9" t="e">
        <f>+#REF!-#REF!</f>
        <v>#REF!</v>
      </c>
      <c r="O9" s="9" t="e">
        <f>+#REF!-#REF!</f>
        <v>#REF!</v>
      </c>
      <c r="P9" s="9" t="e">
        <f>+#REF!-#REF!</f>
        <v>#REF!</v>
      </c>
      <c r="Q9" s="9" t="e">
        <f>+#REF!-#REF!</f>
        <v>#REF!</v>
      </c>
      <c r="R9" s="9"/>
      <c r="S9" s="9"/>
      <c r="T9" s="9"/>
      <c r="AG9" s="8" t="e">
        <f>+#REF!-#REF!</f>
        <v>#REF!</v>
      </c>
      <c r="AH9" s="8" t="e">
        <f>+#REF!-#REF!</f>
        <v>#REF!</v>
      </c>
      <c r="AI9" s="8" t="e">
        <f>+#REF!-#REF!</f>
        <v>#REF!</v>
      </c>
      <c r="AJ9" s="8" t="e">
        <f>+#REF!-#REF!</f>
        <v>#REF!</v>
      </c>
      <c r="AK9" s="8" t="e">
        <f>+#REF!-#REF!</f>
        <v>#REF!</v>
      </c>
      <c r="AL9" s="8" t="e">
        <f>+#REF!-#REF!</f>
        <v>#REF!</v>
      </c>
      <c r="AM9" s="8" t="e">
        <f>+#REF!-#REF!</f>
        <v>#REF!</v>
      </c>
      <c r="AN9" s="8" t="e">
        <f>+#REF!-#REF!</f>
        <v>#REF!</v>
      </c>
      <c r="AO9" s="8" t="e">
        <f>+#REF!-#REF!</f>
        <v>#REF!</v>
      </c>
      <c r="AP9" s="8" t="e">
        <f>+#REF!-#REF!</f>
        <v>#REF!</v>
      </c>
      <c r="AQ9" s="8" t="e">
        <f>+#REF!-#REF!</f>
        <v>#REF!</v>
      </c>
      <c r="AR9" s="8" t="e">
        <f>+AQ9*(1+#REF!)</f>
        <v>#REF!</v>
      </c>
      <c r="AS9" s="8" t="e">
        <f>+AR9*(1+#REF!)</f>
        <v>#REF!</v>
      </c>
      <c r="AT9" s="8" t="e">
        <f>+AS9*(1+#REF!)</f>
        <v>#REF!</v>
      </c>
      <c r="AU9" s="8" t="e">
        <f>+AT9*(1+#REF!)</f>
        <v>#REF!</v>
      </c>
      <c r="AV9" s="8" t="e">
        <f>+AU9*(1+#REF!)</f>
        <v>#REF!</v>
      </c>
      <c r="AW9" s="8" t="e">
        <f>+AV9*(1+#REF!)</f>
        <v>#REF!</v>
      </c>
      <c r="AX9" s="8" t="e">
        <f>+AW9*(1+#REF!)</f>
        <v>#REF!</v>
      </c>
      <c r="AY9" s="8" t="e">
        <f>+AX9*(1+#REF!)</f>
        <v>#REF!</v>
      </c>
      <c r="AZ9" s="8" t="e">
        <f>+AY9*(1+#REF!)</f>
        <v>#REF!</v>
      </c>
      <c r="BA9" s="8" t="e">
        <f>+AZ9*(1+#REF!)</f>
        <v>#REF!</v>
      </c>
      <c r="BB9" s="8" t="e">
        <f>+BA9*(1+#REF!)</f>
        <v>#REF!</v>
      </c>
      <c r="BC9" s="8" t="e">
        <f>+BB9*(1+#REF!)</f>
        <v>#REF!</v>
      </c>
      <c r="BD9" s="8" t="e">
        <f>+BC9*(1+#REF!)</f>
        <v>#REF!</v>
      </c>
      <c r="BE9" s="8" t="e">
        <f>+BD9*(1+#REF!)</f>
        <v>#REF!</v>
      </c>
      <c r="BF9" s="8" t="e">
        <f>+BE9*(1+#REF!)</f>
        <v>#REF!</v>
      </c>
      <c r="BG9" s="8" t="e">
        <f>+BF9*(1+#REF!)</f>
        <v>#REF!</v>
      </c>
      <c r="BH9" s="8" t="e">
        <f>+BG9*(1+#REF!)</f>
        <v>#REF!</v>
      </c>
      <c r="BI9" s="8" t="e">
        <f>+BH9*(1+#REF!)</f>
        <v>#REF!</v>
      </c>
      <c r="BJ9" s="8" t="e">
        <f>+BI9*(1+#REF!)</f>
        <v>#REF!</v>
      </c>
      <c r="BK9" s="8" t="e">
        <f>+BJ9*(1+#REF!)</f>
        <v>#REF!</v>
      </c>
      <c r="BL9" s="8" t="e">
        <f>+BK9*(1+#REF!)</f>
        <v>#REF!</v>
      </c>
      <c r="BM9" s="8" t="e">
        <f>+BL9*(1+#REF!)</f>
        <v>#REF!</v>
      </c>
      <c r="BN9" s="8" t="e">
        <f>+BM9*(1+#REF!)</f>
        <v>#REF!</v>
      </c>
      <c r="BO9" s="8" t="e">
        <f>+BN9*(1+#REF!)</f>
        <v>#REF!</v>
      </c>
      <c r="BP9" s="8" t="e">
        <f>+BO9*(1+#REF!)</f>
        <v>#REF!</v>
      </c>
      <c r="BQ9" s="8" t="e">
        <f>+BP9*(1+#REF!)</f>
        <v>#REF!</v>
      </c>
      <c r="BR9" s="8" t="e">
        <f>+BQ9*(1+#REF!)</f>
        <v>#REF!</v>
      </c>
      <c r="BS9" s="8" t="e">
        <f>+BR9*(1+#REF!)</f>
        <v>#REF!</v>
      </c>
      <c r="BT9" s="8" t="e">
        <f>+BS9*(1+#REF!)</f>
        <v>#REF!</v>
      </c>
      <c r="BU9" s="8" t="e">
        <f>+BT9*(1+#REF!)</f>
        <v>#REF!</v>
      </c>
      <c r="BV9" s="8" t="e">
        <f>+BU9*(1+#REF!)</f>
        <v>#REF!</v>
      </c>
      <c r="BW9" s="8" t="e">
        <f>+BV9*(1+#REF!)</f>
        <v>#REF!</v>
      </c>
      <c r="BX9" s="8" t="e">
        <f>+BW9*(1+#REF!)</f>
        <v>#REF!</v>
      </c>
      <c r="BY9" s="8" t="e">
        <f>+BX9*(1+#REF!)</f>
        <v>#REF!</v>
      </c>
      <c r="BZ9" s="8" t="e">
        <f>+BY9*(1+#REF!)</f>
        <v>#REF!</v>
      </c>
      <c r="CA9" s="8" t="e">
        <f>+BZ9*(1+#REF!)</f>
        <v>#REF!</v>
      </c>
      <c r="CB9" s="8" t="e">
        <f>+CA9*(1+#REF!)</f>
        <v>#REF!</v>
      </c>
      <c r="CC9" s="8" t="e">
        <f>+CB9*(1+#REF!)</f>
        <v>#REF!</v>
      </c>
      <c r="CD9" s="8" t="e">
        <f>+CC9*(1+#REF!)</f>
        <v>#REF!</v>
      </c>
      <c r="CE9" s="8" t="e">
        <f>+CD9*(1+#REF!)</f>
        <v>#REF!</v>
      </c>
      <c r="CF9" s="8" t="e">
        <f>+CE9*(1+#REF!)</f>
        <v>#REF!</v>
      </c>
      <c r="CG9" s="8" t="e">
        <f>+CF9*(1+#REF!)</f>
        <v>#REF!</v>
      </c>
      <c r="CH9" s="8" t="e">
        <f>+CG9*(1+#REF!)</f>
        <v>#REF!</v>
      </c>
      <c r="CI9" s="8" t="e">
        <f>+CH9*(1+#REF!)</f>
        <v>#REF!</v>
      </c>
      <c r="CJ9" s="8" t="e">
        <f>+CI9*(1+#REF!)</f>
        <v>#REF!</v>
      </c>
      <c r="CK9" s="8" t="e">
        <f>+CJ9*(1+#REF!)</f>
        <v>#REF!</v>
      </c>
      <c r="CL9" s="8" t="e">
        <f>+CK9*(1+#REF!)</f>
        <v>#REF!</v>
      </c>
      <c r="CM9" s="8" t="e">
        <f>+CL9*(1+#REF!)</f>
        <v>#REF!</v>
      </c>
      <c r="CN9" s="8" t="e">
        <f>+CM9*(1+#REF!)</f>
        <v>#REF!</v>
      </c>
      <c r="CO9" s="8" t="e">
        <f>+CN9*(1+#REF!)</f>
        <v>#REF!</v>
      </c>
      <c r="CP9" s="8" t="e">
        <f>+CO9*(1+#REF!)</f>
        <v>#REF!</v>
      </c>
      <c r="CQ9" s="8" t="e">
        <f>+CP9*(1+#REF!)</f>
        <v>#REF!</v>
      </c>
      <c r="CR9" s="8" t="e">
        <f>+CQ9*(1+#REF!)</f>
        <v>#REF!</v>
      </c>
      <c r="CS9" s="8" t="e">
        <f>+CR9*(1+#REF!)</f>
        <v>#REF!</v>
      </c>
      <c r="CT9" s="8" t="e">
        <f>+CS9*(1+#REF!)</f>
        <v>#REF!</v>
      </c>
      <c r="CU9" s="8" t="e">
        <f>+CT9*(1+#REF!)</f>
        <v>#REF!</v>
      </c>
    </row>
    <row r="10" spans="1:99">
      <c r="A10" s="8" t="s">
        <v>4</v>
      </c>
      <c r="I10" s="9">
        <f>17576+44378+6234</f>
        <v>68188</v>
      </c>
      <c r="M10" s="9">
        <f>16601+31397+6775</f>
        <v>54773</v>
      </c>
      <c r="N10" s="9">
        <f>14886+29004+6775</f>
        <v>50665</v>
      </c>
      <c r="O10" s="9" t="e">
        <f>+N10+O9</f>
        <v>#REF!</v>
      </c>
      <c r="P10" s="9" t="e">
        <f>+O10+P9</f>
        <v>#REF!</v>
      </c>
      <c r="Q10" s="9" t="e">
        <f>+P10+Q9</f>
        <v>#REF!</v>
      </c>
      <c r="R10" s="9"/>
      <c r="S10" s="9"/>
      <c r="T10" s="9"/>
      <c r="AH10" s="8">
        <f>+M10</f>
        <v>54773</v>
      </c>
      <c r="AI10" s="8" t="e">
        <f>+Q10</f>
        <v>#REF!</v>
      </c>
      <c r="AJ10" s="8" t="e">
        <f t="shared" ref="AJ10:AQ10" si="4">+AI10+AJ9</f>
        <v>#REF!</v>
      </c>
      <c r="AK10" s="8" t="e">
        <f t="shared" si="4"/>
        <v>#REF!</v>
      </c>
      <c r="AL10" s="8" t="e">
        <f t="shared" si="4"/>
        <v>#REF!</v>
      </c>
      <c r="AM10" s="8" t="e">
        <f t="shared" si="4"/>
        <v>#REF!</v>
      </c>
      <c r="AN10" s="8" t="e">
        <f t="shared" si="4"/>
        <v>#REF!</v>
      </c>
      <c r="AO10" s="8" t="e">
        <f t="shared" si="4"/>
        <v>#REF!</v>
      </c>
      <c r="AP10" s="8" t="e">
        <f t="shared" si="4"/>
        <v>#REF!</v>
      </c>
      <c r="AQ10" s="8" t="e">
        <f t="shared" si="4"/>
        <v>#REF!</v>
      </c>
      <c r="AU10" s="5" t="s">
        <v>88</v>
      </c>
      <c r="AV10" s="23">
        <v>0.01</v>
      </c>
    </row>
    <row r="11" spans="1:99">
      <c r="A11" s="5" t="s">
        <v>28</v>
      </c>
      <c r="I11" s="9">
        <v>11335</v>
      </c>
      <c r="M11" s="9">
        <v>14039</v>
      </c>
      <c r="N11" s="9">
        <v>11390</v>
      </c>
      <c r="AU11" s="5" t="s">
        <v>92</v>
      </c>
      <c r="AV11" s="17" t="e">
        <f>#REF!/Main!M3</f>
        <v>#REF!</v>
      </c>
    </row>
    <row r="12" spans="1:99">
      <c r="A12" s="8" t="s">
        <v>29</v>
      </c>
      <c r="I12" s="9">
        <v>2381</v>
      </c>
      <c r="M12" s="9">
        <v>4629</v>
      </c>
      <c r="N12" s="9">
        <v>3985</v>
      </c>
      <c r="AU12" s="5" t="s">
        <v>93</v>
      </c>
      <c r="AV12" s="23" t="e">
        <f>AV11/Main!M2-1</f>
        <v>#REF!</v>
      </c>
    </row>
    <row r="13" spans="1:99">
      <c r="A13" s="5" t="s">
        <v>30</v>
      </c>
      <c r="I13" s="9">
        <v>45633</v>
      </c>
      <c r="M13" s="9">
        <v>57809</v>
      </c>
      <c r="N13" s="9">
        <v>61582</v>
      </c>
    </row>
    <row r="14" spans="1:99">
      <c r="A14" s="8" t="s">
        <v>31</v>
      </c>
      <c r="I14" s="9">
        <v>9348</v>
      </c>
      <c r="M14" s="9">
        <v>12155</v>
      </c>
      <c r="N14" s="9">
        <v>12241</v>
      </c>
    </row>
    <row r="15" spans="1:99">
      <c r="A15" s="5" t="s">
        <v>33</v>
      </c>
      <c r="I15" s="9">
        <f>623+19050</f>
        <v>19673</v>
      </c>
      <c r="M15" s="9">
        <f>19197+634</f>
        <v>19831</v>
      </c>
      <c r="N15" s="9">
        <f>910+19923</f>
        <v>20833</v>
      </c>
    </row>
    <row r="16" spans="1:99">
      <c r="A16" s="8" t="s">
        <v>34</v>
      </c>
      <c r="I16" s="9">
        <v>2758</v>
      </c>
      <c r="M16" s="9">
        <v>2751</v>
      </c>
      <c r="N16" s="9">
        <v>3522</v>
      </c>
    </row>
    <row r="17" spans="1:14">
      <c r="A17" s="5" t="s">
        <v>32</v>
      </c>
      <c r="I17" s="9">
        <f t="shared" ref="I17" si="5">SUM(I10:I16)</f>
        <v>159316</v>
      </c>
      <c r="M17" s="9">
        <f t="shared" ref="M17" si="6">SUM(M10:M16)</f>
        <v>165987</v>
      </c>
      <c r="N17" s="9">
        <f>SUM(N10:N16)</f>
        <v>164218</v>
      </c>
    </row>
    <row r="18" spans="1:14">
      <c r="N18" s="9"/>
    </row>
    <row r="19" spans="1:14">
      <c r="A19" s="5" t="s">
        <v>35</v>
      </c>
      <c r="I19" s="9">
        <v>1331</v>
      </c>
      <c r="M19" s="9">
        <v>4083</v>
      </c>
      <c r="N19" s="9">
        <v>3246</v>
      </c>
    </row>
    <row r="20" spans="1:14">
      <c r="A20" s="5" t="s">
        <v>36</v>
      </c>
      <c r="I20" s="9">
        <v>1093</v>
      </c>
      <c r="M20" s="9">
        <v>1052</v>
      </c>
      <c r="N20" s="9">
        <v>935</v>
      </c>
    </row>
    <row r="21" spans="1:14">
      <c r="A21" s="5" t="s">
        <v>37</v>
      </c>
      <c r="I21" s="9">
        <f>1023+9631</f>
        <v>10654</v>
      </c>
      <c r="M21" s="9">
        <f>1127+12746</f>
        <v>13873</v>
      </c>
      <c r="N21" s="9">
        <f>1159+12894</f>
        <v>14053</v>
      </c>
    </row>
    <row r="22" spans="1:14">
      <c r="A22" s="5" t="s">
        <v>38</v>
      </c>
      <c r="I22" s="9">
        <v>11152</v>
      </c>
      <c r="M22" s="9">
        <v>14312</v>
      </c>
      <c r="N22" s="9">
        <v>15226</v>
      </c>
    </row>
    <row r="23" spans="1:14">
      <c r="A23" s="5" t="s">
        <v>39</v>
      </c>
      <c r="I23" s="9">
        <v>382</v>
      </c>
      <c r="M23" s="9">
        <v>561</v>
      </c>
      <c r="N23" s="9">
        <v>520</v>
      </c>
    </row>
    <row r="24" spans="1:14">
      <c r="A24" s="5" t="s">
        <v>44</v>
      </c>
      <c r="I24" s="9">
        <v>6414</v>
      </c>
      <c r="M24" s="9">
        <v>7227</v>
      </c>
      <c r="N24" s="9">
        <v>7010</v>
      </c>
    </row>
    <row r="25" spans="1:14">
      <c r="A25" s="5" t="s">
        <v>43</v>
      </c>
      <c r="I25" s="9">
        <v>50018</v>
      </c>
      <c r="M25" s="9">
        <v>55811</v>
      </c>
      <c r="N25" s="9">
        <v>57512</v>
      </c>
    </row>
    <row r="26" spans="1:14">
      <c r="A26" s="5" t="s">
        <v>42</v>
      </c>
      <c r="I26" s="9">
        <v>927</v>
      </c>
      <c r="M26" s="9">
        <v>-693</v>
      </c>
      <c r="N26" s="9">
        <v>-1996</v>
      </c>
    </row>
    <row r="27" spans="1:14">
      <c r="A27" s="5" t="s">
        <v>41</v>
      </c>
      <c r="I27" s="9">
        <v>77345</v>
      </c>
      <c r="M27" s="9">
        <v>69761</v>
      </c>
      <c r="N27" s="9">
        <v>67712</v>
      </c>
    </row>
    <row r="28" spans="1:14">
      <c r="A28" s="5" t="s">
        <v>40</v>
      </c>
      <c r="I28" s="9">
        <f t="shared" ref="I28" si="7">SUM(I19:I27)</f>
        <v>159316</v>
      </c>
      <c r="M28" s="9">
        <f t="shared" ref="M28" si="8">SUM(M19:M27)</f>
        <v>165987</v>
      </c>
      <c r="N28" s="9">
        <f>SUM(N19:N27)</f>
        <v>164218</v>
      </c>
    </row>
    <row r="29" spans="1:14">
      <c r="N29" s="9"/>
    </row>
    <row r="30" spans="1:14">
      <c r="A30" s="5" t="s">
        <v>45</v>
      </c>
      <c r="M30" s="9" t="e">
        <f>M9</f>
        <v>#REF!</v>
      </c>
      <c r="N30" s="9" t="e">
        <f>N9</f>
        <v>#REF!</v>
      </c>
    </row>
    <row r="31" spans="1:14">
      <c r="A31" s="5" t="s">
        <v>46</v>
      </c>
      <c r="M31" s="9">
        <v>10285</v>
      </c>
      <c r="N31" s="9">
        <v>7465</v>
      </c>
    </row>
    <row r="32" spans="1:14">
      <c r="A32" s="5" t="s">
        <v>48</v>
      </c>
      <c r="M32" s="9">
        <v>2014</v>
      </c>
      <c r="N32" s="9">
        <v>2156</v>
      </c>
    </row>
    <row r="33" spans="1:20">
      <c r="A33" s="5" t="s">
        <v>49</v>
      </c>
      <c r="M33" s="9">
        <v>2406</v>
      </c>
      <c r="N33" s="9">
        <v>2498</v>
      </c>
    </row>
    <row r="34" spans="1:20">
      <c r="A34" s="5" t="s">
        <v>50</v>
      </c>
      <c r="M34" s="9">
        <v>748</v>
      </c>
      <c r="N34" s="9">
        <v>-563</v>
      </c>
    </row>
    <row r="35" spans="1:20">
      <c r="A35" s="5" t="s">
        <v>34</v>
      </c>
      <c r="M35" s="9">
        <v>34</v>
      </c>
      <c r="N35" s="9">
        <v>-221</v>
      </c>
    </row>
    <row r="36" spans="1:20">
      <c r="A36" s="5" t="s">
        <v>51</v>
      </c>
      <c r="M36" s="9">
        <f>-2038+817-165+876+151+2462+100+414</f>
        <v>2617</v>
      </c>
      <c r="N36" s="9">
        <f>2557+573-108-882-105+763-52-5</f>
        <v>2741</v>
      </c>
    </row>
    <row r="37" spans="1:20">
      <c r="A37" s="5" t="s">
        <v>47</v>
      </c>
      <c r="M37" s="9">
        <f>SUM(M31:M36)</f>
        <v>18104</v>
      </c>
      <c r="N37" s="9">
        <f>SUM(N31:N36)</f>
        <v>14076</v>
      </c>
    </row>
    <row r="38" spans="1:20">
      <c r="N38" s="9"/>
    </row>
    <row r="39" spans="1:20">
      <c r="A39" s="5" t="s">
        <v>52</v>
      </c>
      <c r="M39" s="9">
        <v>-5370</v>
      </c>
      <c r="N39" s="9">
        <f>-5441+126</f>
        <v>-5315</v>
      </c>
    </row>
    <row r="40" spans="1:20">
      <c r="A40" s="5" t="s">
        <v>53</v>
      </c>
      <c r="M40" s="9">
        <f>-6093+16340+1598-2-123</f>
        <v>11720</v>
      </c>
      <c r="N40" s="9">
        <f>-4068+5065+402-10</f>
        <v>1389</v>
      </c>
    </row>
    <row r="41" spans="1:20">
      <c r="A41" s="5" t="s">
        <v>54</v>
      </c>
      <c r="M41" s="9">
        <v>-521</v>
      </c>
      <c r="N41" s="9">
        <v>-853</v>
      </c>
    </row>
    <row r="42" spans="1:20">
      <c r="A42" s="5" t="s">
        <v>55</v>
      </c>
      <c r="M42" s="9">
        <f>SUM(M39:M41)</f>
        <v>5829</v>
      </c>
      <c r="N42" s="9">
        <f>SUM(N39:N41)</f>
        <v>-4779</v>
      </c>
    </row>
    <row r="43" spans="1:20">
      <c r="N43" s="9"/>
    </row>
    <row r="44" spans="1:20">
      <c r="A44" s="5" t="s">
        <v>56</v>
      </c>
      <c r="M44" s="9">
        <v>-1507</v>
      </c>
      <c r="N44" s="9">
        <v>-925</v>
      </c>
    </row>
    <row r="45" spans="1:20" s="20" customFormat="1">
      <c r="A45" s="20" t="s">
        <v>57</v>
      </c>
      <c r="B45" s="18"/>
      <c r="C45" s="18"/>
      <c r="D45" s="18"/>
      <c r="E45" s="18"/>
      <c r="F45" s="18"/>
      <c r="G45" s="18"/>
      <c r="H45" s="18"/>
      <c r="I45" s="18"/>
      <c r="J45" s="18"/>
      <c r="K45" s="18"/>
      <c r="L45" s="18"/>
      <c r="M45" s="16">
        <v>-20063</v>
      </c>
      <c r="N45" s="16">
        <v>-9506</v>
      </c>
      <c r="O45" s="18"/>
      <c r="P45" s="18"/>
      <c r="Q45" s="18"/>
      <c r="R45" s="18"/>
      <c r="S45" s="18"/>
      <c r="T45" s="18"/>
    </row>
    <row r="46" spans="1:20">
      <c r="A46" s="5" t="s">
        <v>34</v>
      </c>
      <c r="M46" s="9">
        <v>-172</v>
      </c>
      <c r="N46" s="9">
        <f>-233+20-16</f>
        <v>-229</v>
      </c>
    </row>
    <row r="47" spans="1:20">
      <c r="A47" s="5" t="s">
        <v>58</v>
      </c>
      <c r="M47" s="9">
        <f t="shared" ref="M47" si="9">SUM(M44:M46)</f>
        <v>-21742</v>
      </c>
      <c r="N47" s="9">
        <f>SUM(N44:N46)</f>
        <v>-10660</v>
      </c>
    </row>
    <row r="48" spans="1:20">
      <c r="A48" s="5" t="s">
        <v>59</v>
      </c>
      <c r="M48" s="6">
        <v>-130</v>
      </c>
      <c r="N48" s="9">
        <v>-149</v>
      </c>
    </row>
    <row r="49" spans="1:20">
      <c r="A49" s="5" t="s">
        <v>60</v>
      </c>
      <c r="M49" s="9">
        <f>+M48+M47+M42+M37</f>
        <v>2061</v>
      </c>
      <c r="N49" s="9">
        <f>+N48+N47+N42+N37</f>
        <v>-1512</v>
      </c>
    </row>
    <row r="50" spans="1:20">
      <c r="N50" s="9"/>
    </row>
    <row r="51" spans="1:20" s="8" customFormat="1">
      <c r="B51" s="9"/>
      <c r="C51" s="9"/>
      <c r="D51" s="9"/>
      <c r="E51" s="9"/>
      <c r="F51" s="9"/>
      <c r="G51" s="9"/>
      <c r="H51" s="9"/>
      <c r="I51" s="9"/>
      <c r="J51" s="9"/>
      <c r="K51" s="9"/>
      <c r="L51" s="9"/>
      <c r="M51" s="9"/>
      <c r="N51" s="9"/>
      <c r="O51" s="9"/>
      <c r="P51" s="9"/>
      <c r="Q51" s="9"/>
      <c r="R51" s="9"/>
      <c r="S51" s="9"/>
      <c r="T51" s="9"/>
    </row>
    <row r="52" spans="1:20">
      <c r="N52" s="9"/>
    </row>
  </sheetData>
  <hyperlinks>
    <hyperlink ref="A6" location="Main!A1" display="Main" xr:uid="{348251F8-D584-9441-A80A-F22E4379C14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126E-D450-954D-99E6-A84A41E4D57A}">
  <dimension ref="A7"/>
  <sheetViews>
    <sheetView tabSelected="1" topLeftCell="A2" workbookViewId="0">
      <selection activeCell="A18" sqref="A18"/>
    </sheetView>
  </sheetViews>
  <sheetFormatPr baseColWidth="10" defaultRowHeight="13"/>
  <cols>
    <col min="1" max="1" width="93.33203125" style="1" customWidth="1"/>
    <col min="2" max="16384" width="10.83203125" style="1"/>
  </cols>
  <sheetData>
    <row r="7" spans="1:1" ht="384">
      <c r="A7" s="86"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Main</vt:lpstr>
      <vt:lpstr>Drivers</vt:lpstr>
      <vt:lpstr>Model</vt:lpstr>
      <vt:lpstr>BS</vt:lpstr>
      <vt:lpstr>CFS</vt:lpstr>
      <vt:lpstr>Legal Disclosure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evan domingos - 2023</cp:lastModifiedBy>
  <dcterms:created xsi:type="dcterms:W3CDTF">2022-06-11T17:53:18Z</dcterms:created>
  <dcterms:modified xsi:type="dcterms:W3CDTF">2022-09-18T16:36:14Z</dcterms:modified>
</cp:coreProperties>
</file>