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13_ncr:1_{AF7E72B5-7754-E644-A4FB-19C9AEFE3164}" xr6:coauthVersionLast="47" xr6:coauthVersionMax="47" xr10:uidLastSave="{00000000-0000-0000-0000-000000000000}"/>
  <bookViews>
    <workbookView xWindow="0" yWindow="760" windowWidth="30240" windowHeight="18880" xr2:uid="{E1F89A2F-9CE9-344C-8CE1-9E1AB8153CB5}"/>
  </bookViews>
  <sheets>
    <sheet name="Mod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M34" i="1"/>
  <c r="N6" i="1"/>
  <c r="N14" i="1" s="1"/>
  <c r="N18" i="1" s="1"/>
  <c r="F17" i="1"/>
  <c r="G17" i="1"/>
  <c r="J27" i="1"/>
  <c r="K27" i="1"/>
  <c r="L27" i="1"/>
  <c r="N27" i="1"/>
  <c r="H27" i="1"/>
  <c r="H8" i="1"/>
  <c r="I8" i="1"/>
  <c r="J8" i="1"/>
  <c r="K8" i="1"/>
  <c r="L8" i="1"/>
  <c r="M8" i="1"/>
  <c r="G8" i="1"/>
  <c r="J7" i="1"/>
  <c r="F10" i="1"/>
  <c r="F18" i="1" s="1"/>
  <c r="F14" i="1"/>
  <c r="G14" i="1"/>
  <c r="K7" i="1"/>
  <c r="M7" i="1"/>
  <c r="G10" i="1"/>
  <c r="G18" i="1" s="1"/>
  <c r="L7" i="1"/>
  <c r="R24" i="1"/>
  <c r="Q24" i="1"/>
  <c r="E21" i="1"/>
  <c r="F22" i="1" s="1"/>
  <c r="I21" i="1"/>
  <c r="I22" i="1" s="1"/>
  <c r="M21" i="1"/>
  <c r="M27" i="1" s="1"/>
  <c r="I10" i="1"/>
  <c r="I18" i="1" s="1"/>
  <c r="J10" i="1"/>
  <c r="J18" i="1" s="1"/>
  <c r="K10" i="1"/>
  <c r="K18" i="1" s="1"/>
  <c r="K19" i="1" s="1"/>
  <c r="L10" i="1"/>
  <c r="L18" i="1" s="1"/>
  <c r="M10" i="1"/>
  <c r="M18" i="1" s="1"/>
  <c r="H10" i="1"/>
  <c r="H18" i="1" s="1"/>
  <c r="H17" i="1" s="1"/>
  <c r="D22" i="1"/>
  <c r="G22" i="1"/>
  <c r="H22" i="1"/>
  <c r="K22" i="1"/>
  <c r="L22" i="1"/>
  <c r="C22" i="1"/>
  <c r="J14" i="1"/>
  <c r="J17" i="1" s="1"/>
  <c r="K14" i="1"/>
  <c r="K17" i="1" s="1"/>
  <c r="L14" i="1"/>
  <c r="L17" i="1" s="1"/>
  <c r="H14" i="1"/>
  <c r="C27" i="1"/>
  <c r="D27" i="1"/>
  <c r="F27" i="1"/>
  <c r="G27" i="1"/>
  <c r="B27" i="1"/>
  <c r="S22" i="1"/>
  <c r="R22" i="1"/>
  <c r="L43" i="1"/>
  <c r="L42" i="1"/>
  <c r="L39" i="1"/>
  <c r="H69" i="1"/>
  <c r="L69" i="1"/>
  <c r="H42" i="1"/>
  <c r="H39" i="1"/>
  <c r="I34" i="1"/>
  <c r="J34" i="1"/>
  <c r="K34" i="1"/>
  <c r="L34" i="1"/>
  <c r="H34" i="1"/>
  <c r="H43" i="1"/>
  <c r="I4" i="2"/>
  <c r="M4" i="2"/>
  <c r="R6" i="2"/>
  <c r="R7" i="2" s="1"/>
  <c r="S6" i="2"/>
  <c r="S7" i="2" s="1"/>
  <c r="Q6" i="2"/>
  <c r="Q7" i="2" s="1"/>
  <c r="R3" i="2"/>
  <c r="S3" i="2"/>
  <c r="S16" i="2"/>
  <c r="H68" i="1"/>
  <c r="L68" i="1"/>
  <c r="R72" i="1"/>
  <c r="S72" i="1"/>
  <c r="Q72" i="1"/>
  <c r="Q68" i="1"/>
  <c r="Q74" i="1" s="1"/>
  <c r="R73" i="1" s="1"/>
  <c r="S68" i="1"/>
  <c r="R68" i="1"/>
  <c r="N10" i="1" l="1"/>
  <c r="M19" i="1"/>
  <c r="L19" i="1"/>
  <c r="J19" i="1"/>
  <c r="H16" i="1"/>
  <c r="J11" i="1"/>
  <c r="K16" i="1"/>
  <c r="I27" i="1"/>
  <c r="L15" i="1"/>
  <c r="G16" i="1"/>
  <c r="K11" i="1"/>
  <c r="L11" i="1"/>
  <c r="M11" i="1"/>
  <c r="K15" i="1"/>
  <c r="L16" i="1"/>
  <c r="J15" i="1"/>
  <c r="N15" i="1"/>
  <c r="N22" i="1"/>
  <c r="M22" i="1"/>
  <c r="J22" i="1"/>
  <c r="I14" i="1"/>
  <c r="I16" i="1" s="1"/>
  <c r="E27" i="1"/>
  <c r="E22" i="1"/>
  <c r="M14" i="1"/>
  <c r="M17" i="1" s="1"/>
  <c r="L46" i="1"/>
  <c r="L47" i="1" s="1"/>
  <c r="L44" i="1"/>
  <c r="H46" i="1"/>
  <c r="H47" i="1" s="1"/>
  <c r="H44" i="1"/>
  <c r="R74" i="1"/>
  <c r="S73" i="1" s="1"/>
  <c r="S74" i="1" s="1"/>
  <c r="S5" i="2"/>
  <c r="R5" i="2"/>
  <c r="R34" i="1"/>
  <c r="S34" i="1"/>
  <c r="Q34" i="1"/>
  <c r="I17" i="1" l="1"/>
  <c r="M15" i="1"/>
  <c r="M16" i="1"/>
  <c r="J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tc={B73A55EB-41C3-3547-8877-787B9E7BD6B5}</author>
    <author>tc={115D77E8-3B13-6047-93E9-94CDA31479A3}</author>
    <author>tc={CAB12B4B-C8B9-BC4B-B048-26FE2D450947}</author>
  </authors>
  <commentList>
    <comment ref="L24" authorId="0" shapeId="0" xr:uid="{B73A55EB-41C3-3547-8877-787B9E7BD6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published in Earnings</t>
      </text>
    </comment>
    <comment ref="M24" authorId="1" shapeId="0" xr:uid="{115D77E8-3B13-6047-93E9-94CDA31479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published in Earnings</t>
      </text>
    </comment>
    <comment ref="N24" authorId="2" shapeId="0" xr:uid="{CAB12B4B-C8B9-BC4B-B048-26FE2D45094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published in Earnings</t>
      </text>
    </comment>
  </commentList>
</comments>
</file>

<file path=xl/sharedStrings.xml><?xml version="1.0" encoding="utf-8"?>
<sst xmlns="http://schemas.openxmlformats.org/spreadsheetml/2006/main" count="109" uniqueCount="83">
  <si>
    <t>PTON</t>
  </si>
  <si>
    <t>Peleton Interactive Inc.</t>
  </si>
  <si>
    <t>FY20</t>
  </si>
  <si>
    <t>FY21</t>
  </si>
  <si>
    <t>Ending Connected Fitness Sub</t>
  </si>
  <si>
    <t>Average Net Monthly Connected Fitness Churn</t>
  </si>
  <si>
    <t>Total Workouts</t>
  </si>
  <si>
    <t>Subscription Contribution</t>
  </si>
  <si>
    <t>Subscription Gross Profit</t>
  </si>
  <si>
    <t>FY22</t>
  </si>
  <si>
    <t>Connected Fitness Products</t>
  </si>
  <si>
    <t>Subscription</t>
  </si>
  <si>
    <t>S&amp;M</t>
  </si>
  <si>
    <t>G&amp;A</t>
  </si>
  <si>
    <t>R&amp;D</t>
  </si>
  <si>
    <t>Goodwill Impairment</t>
  </si>
  <si>
    <t>Impairment Expense</t>
  </si>
  <si>
    <t>Restructuring Expense</t>
  </si>
  <si>
    <t>Supplier Settlements</t>
  </si>
  <si>
    <t>Interest Expense</t>
  </si>
  <si>
    <t>Interest Income</t>
  </si>
  <si>
    <t>FX</t>
  </si>
  <si>
    <t>Other</t>
  </si>
  <si>
    <t>Tax</t>
  </si>
  <si>
    <t>Reported NI</t>
  </si>
  <si>
    <t>SBC</t>
  </si>
  <si>
    <t>Net Cash</t>
  </si>
  <si>
    <t>Cash Beginning</t>
  </si>
  <si>
    <t>Cash End</t>
  </si>
  <si>
    <t>FCF</t>
  </si>
  <si>
    <t>Basic Shares</t>
  </si>
  <si>
    <t>Diluted Shares</t>
  </si>
  <si>
    <t>FY22 A</t>
  </si>
  <si>
    <t>FY21 A</t>
  </si>
  <si>
    <t>4FQ22 A</t>
  </si>
  <si>
    <t>3FQ22 A</t>
  </si>
  <si>
    <t>2FQ22 A</t>
  </si>
  <si>
    <t>1FQ22 A</t>
  </si>
  <si>
    <t>4FQ21 A</t>
  </si>
  <si>
    <t>3FQ21 A</t>
  </si>
  <si>
    <t>2FQ21 A</t>
  </si>
  <si>
    <t>1FQ21 A</t>
  </si>
  <si>
    <t>FY23 E</t>
  </si>
  <si>
    <t>FY24 E</t>
  </si>
  <si>
    <t>FY25</t>
  </si>
  <si>
    <t>FY26</t>
  </si>
  <si>
    <t>FY27</t>
  </si>
  <si>
    <t>FY28</t>
  </si>
  <si>
    <t>FY29</t>
  </si>
  <si>
    <t>FY30</t>
  </si>
  <si>
    <t>ACV</t>
  </si>
  <si>
    <t>Average Monthly Workouts Per Sub</t>
  </si>
  <si>
    <t>Suscription Revenue</t>
  </si>
  <si>
    <t>ARPU</t>
  </si>
  <si>
    <t>FY23</t>
  </si>
  <si>
    <t>1FQ23 E</t>
  </si>
  <si>
    <t>4FQ20 A</t>
  </si>
  <si>
    <t>1FQ20 A</t>
  </si>
  <si>
    <t>2FQ20 A</t>
  </si>
  <si>
    <t>3FQ20 A</t>
  </si>
  <si>
    <t>Total Revenues</t>
  </si>
  <si>
    <t>Cost of Goods Sold</t>
  </si>
  <si>
    <t>Gross Margin</t>
  </si>
  <si>
    <t>Total Cost of Goods Sold</t>
  </si>
  <si>
    <t>% of Revenue</t>
  </si>
  <si>
    <t>Gross Profit</t>
  </si>
  <si>
    <t>Capital Expenditure</t>
  </si>
  <si>
    <t>Cash Flows from Financing</t>
  </si>
  <si>
    <t>Cash Flows from Investing</t>
  </si>
  <si>
    <t>Cash Flows from Operations</t>
  </si>
  <si>
    <t>12m Retention</t>
  </si>
  <si>
    <t>Monthly Churn</t>
  </si>
  <si>
    <t>App Subscriptions</t>
  </si>
  <si>
    <t>New Connected Fitness Subscriptions</t>
  </si>
  <si>
    <t>App Revenues</t>
  </si>
  <si>
    <t>Other Connected Fitness</t>
  </si>
  <si>
    <t>App Segment</t>
  </si>
  <si>
    <t>Subscriptions</t>
  </si>
  <si>
    <t>Monthly ARPU</t>
  </si>
  <si>
    <t>Growth Y/Y</t>
  </si>
  <si>
    <t>Growth  Q/Q</t>
  </si>
  <si>
    <t>Other Connected Fitness Revenues</t>
  </si>
  <si>
    <t>Total Connected Fitness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</si>
</sst>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D3A2516E-6F45-434B-8423-6AB55FCC3664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4" dT="2022-09-22T18:33:56.43" personId="{D3A2516E-6F45-434B-8423-6AB55FCC3664}" id="{B73A55EB-41C3-3547-8877-787B9E7BD6B5}">
    <text>Not published in Earnings</text>
  </threadedComment>
  <threadedComment ref="M24" dT="2022-09-22T18:33:56.43" personId="{D3A2516E-6F45-434B-8423-6AB55FCC3664}" id="{115D77E8-3B13-6047-93E9-94CDA31479A3}">
    <text>Not published in Earnings</text>
  </threadedComment>
  <threadedComment ref="N24" dT="2022-09-22T18:33:56.43" personId="{D3A2516E-6F45-434B-8423-6AB55FCC3664}" id="{CAB12B4B-C8B9-BC4B-B048-26FE2D450947}">
    <text>Not published in Earnings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424D-BE06-7F4A-A8F3-475BD2981275}">
  <dimension ref="A1:AA74"/>
  <sheetViews>
    <sheetView tabSelected="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Q28" sqref="Q28"/>
    </sheetView>
  </sheetViews>
  <sheetFormatPr baseColWidth="10" defaultRowHeight="16" x14ac:dyDescent="0.2"/>
  <cols>
    <col min="1" max="1" width="26.33203125" customWidth="1"/>
  </cols>
  <sheetData>
    <row r="1" spans="1:27" x14ac:dyDescent="0.2">
      <c r="A1" t="s">
        <v>1</v>
      </c>
    </row>
    <row r="2" spans="1:27" x14ac:dyDescent="0.2">
      <c r="A2" t="s">
        <v>0</v>
      </c>
    </row>
    <row r="3" spans="1:27" x14ac:dyDescent="0.2">
      <c r="B3" t="s">
        <v>57</v>
      </c>
      <c r="C3" t="s">
        <v>58</v>
      </c>
      <c r="D3" t="s">
        <v>59</v>
      </c>
      <c r="E3" t="s">
        <v>56</v>
      </c>
      <c r="F3" t="s">
        <v>41</v>
      </c>
      <c r="G3" t="s">
        <v>40</v>
      </c>
      <c r="H3" t="s">
        <v>39</v>
      </c>
      <c r="I3" t="s">
        <v>38</v>
      </c>
      <c r="J3" t="s">
        <v>37</v>
      </c>
      <c r="K3" t="s">
        <v>36</v>
      </c>
      <c r="L3" t="s">
        <v>35</v>
      </c>
      <c r="M3" t="s">
        <v>34</v>
      </c>
      <c r="N3" t="s">
        <v>55</v>
      </c>
      <c r="Q3" t="s">
        <v>2</v>
      </c>
      <c r="R3" t="s">
        <v>33</v>
      </c>
      <c r="S3" t="s">
        <v>32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</row>
    <row r="5" spans="1:27" x14ac:dyDescent="0.2">
      <c r="A5" t="s">
        <v>76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27" x14ac:dyDescent="0.2">
      <c r="A6" t="s">
        <v>72</v>
      </c>
      <c r="F6">
        <v>510</v>
      </c>
      <c r="G6">
        <v>625</v>
      </c>
      <c r="H6">
        <v>891</v>
      </c>
      <c r="I6">
        <v>874</v>
      </c>
      <c r="J6">
        <v>887</v>
      </c>
      <c r="K6">
        <v>862</v>
      </c>
      <c r="L6">
        <v>976</v>
      </c>
      <c r="M6">
        <v>980</v>
      </c>
      <c r="N6">
        <f>M6*(1+N8)</f>
        <v>960.4</v>
      </c>
    </row>
    <row r="7" spans="1:27" x14ac:dyDescent="0.2">
      <c r="A7" t="s">
        <v>79</v>
      </c>
      <c r="J7" s="2">
        <f>J6/F6-1</f>
        <v>0.73921568627450984</v>
      </c>
      <c r="K7" s="2">
        <f>K6/G6-1</f>
        <v>0.37919999999999998</v>
      </c>
      <c r="L7" s="2">
        <f>L6/H6-1</f>
        <v>9.5398428731761964E-2</v>
      </c>
      <c r="M7" s="2">
        <f>M6/I6-1</f>
        <v>0.12128146453089239</v>
      </c>
      <c r="N7" s="5"/>
    </row>
    <row r="8" spans="1:27" x14ac:dyDescent="0.2">
      <c r="A8" t="s">
        <v>80</v>
      </c>
      <c r="G8" s="2">
        <f>G6/F6-1</f>
        <v>0.22549019607843146</v>
      </c>
      <c r="H8" s="2">
        <f t="shared" ref="H8:M8" si="0">H6/G6-1</f>
        <v>0.42559999999999998</v>
      </c>
      <c r="I8" s="2">
        <f t="shared" si="0"/>
        <v>-1.9079685746352437E-2</v>
      </c>
      <c r="J8" s="2">
        <f t="shared" si="0"/>
        <v>1.4874141876430214E-2</v>
      </c>
      <c r="K8" s="2">
        <f t="shared" si="0"/>
        <v>-2.8184892897406999E-2</v>
      </c>
      <c r="L8" s="2">
        <f t="shared" si="0"/>
        <v>0.13225058004640378</v>
      </c>
      <c r="M8" s="2">
        <f t="shared" si="0"/>
        <v>4.098360655737654E-3</v>
      </c>
      <c r="N8" s="5">
        <v>-0.02</v>
      </c>
    </row>
    <row r="9" spans="1:27" x14ac:dyDescent="0.2">
      <c r="A9" t="s">
        <v>78</v>
      </c>
      <c r="F9">
        <v>12.99</v>
      </c>
      <c r="G9">
        <v>12.99</v>
      </c>
      <c r="H9">
        <v>12.99</v>
      </c>
      <c r="I9">
        <v>12.99</v>
      </c>
      <c r="J9">
        <v>12.99</v>
      </c>
      <c r="K9">
        <v>12.99</v>
      </c>
      <c r="L9">
        <v>12.99</v>
      </c>
      <c r="M9">
        <v>12.99</v>
      </c>
      <c r="N9">
        <v>12.99</v>
      </c>
    </row>
    <row r="10" spans="1:27" x14ac:dyDescent="0.2">
      <c r="A10" t="s">
        <v>74</v>
      </c>
      <c r="F10" s="3">
        <f>F6*F9*3/1000</f>
        <v>19.874700000000001</v>
      </c>
      <c r="G10" s="3">
        <f>G6*G9*3/1000</f>
        <v>24.356249999999999</v>
      </c>
      <c r="H10" s="3">
        <f>H6*H9*3/1000</f>
        <v>34.722270000000002</v>
      </c>
      <c r="I10" s="3">
        <f t="shared" ref="I10:M10" si="1">I6*I9*3/1000</f>
        <v>34.059779999999996</v>
      </c>
      <c r="J10" s="3">
        <f t="shared" si="1"/>
        <v>34.566389999999998</v>
      </c>
      <c r="K10" s="3">
        <f t="shared" si="1"/>
        <v>33.592140000000001</v>
      </c>
      <c r="L10" s="3">
        <f t="shared" si="1"/>
        <v>38.03472</v>
      </c>
      <c r="M10" s="3">
        <f t="shared" si="1"/>
        <v>38.190600000000003</v>
      </c>
      <c r="N10" s="3">
        <f>N6*N9*3/1000</f>
        <v>37.426788000000002</v>
      </c>
      <c r="O10" s="3"/>
      <c r="P10" s="3"/>
      <c r="Q10" s="3"/>
      <c r="R10" s="3"/>
    </row>
    <row r="11" spans="1:27" x14ac:dyDescent="0.2">
      <c r="A11" t="s">
        <v>79</v>
      </c>
      <c r="H11" s="4"/>
      <c r="I11" s="4"/>
      <c r="J11" s="2">
        <f>J10/F10-1</f>
        <v>0.73921568627450962</v>
      </c>
      <c r="K11" s="2">
        <f>K10/G10-1</f>
        <v>0.37919999999999998</v>
      </c>
      <c r="L11" s="2">
        <f>L10/H10-1</f>
        <v>9.5398428731761964E-2</v>
      </c>
      <c r="M11" s="2">
        <f>M10/I10-1</f>
        <v>0.12128146453089261</v>
      </c>
    </row>
    <row r="12" spans="1:27" x14ac:dyDescent="0.2">
      <c r="G12" s="2"/>
      <c r="H12" s="2"/>
      <c r="I12" s="2"/>
      <c r="J12" s="2"/>
      <c r="K12" s="2"/>
      <c r="L12" s="2"/>
      <c r="M12" s="2"/>
    </row>
    <row r="13" spans="1:27" x14ac:dyDescent="0.2">
      <c r="A13" t="s">
        <v>75</v>
      </c>
    </row>
    <row r="14" spans="1:27" s="3" customFormat="1" x14ac:dyDescent="0.2">
      <c r="A14" t="s">
        <v>77</v>
      </c>
      <c r="B14"/>
      <c r="C14"/>
      <c r="D14"/>
      <c r="E14"/>
      <c r="F14" s="3">
        <f>F21-F6</f>
        <v>824</v>
      </c>
      <c r="G14" s="3">
        <f>G21-G6</f>
        <v>1042</v>
      </c>
      <c r="H14" s="3">
        <f>H21-H6</f>
        <v>1190</v>
      </c>
      <c r="I14" s="3">
        <f>I21-I6</f>
        <v>1456.6999999999998</v>
      </c>
      <c r="J14" s="3">
        <f>J21-J6</f>
        <v>1605</v>
      </c>
      <c r="K14" s="3">
        <f>K21-K6</f>
        <v>1905</v>
      </c>
      <c r="L14" s="3">
        <f>L21-L6</f>
        <v>1986</v>
      </c>
      <c r="M14" s="3">
        <f>M21-M6</f>
        <v>1985.6770000000001</v>
      </c>
      <c r="N14" s="3">
        <f>N21-N6</f>
        <v>2005.6</v>
      </c>
    </row>
    <row r="15" spans="1:27" x14ac:dyDescent="0.2">
      <c r="A15" t="s">
        <v>79</v>
      </c>
      <c r="J15" s="2">
        <f>J14/F14-1</f>
        <v>0.94781553398058249</v>
      </c>
      <c r="K15" s="2">
        <f t="shared" ref="K15:N15" si="2">K14/G14-1</f>
        <v>0.82821497120921306</v>
      </c>
      <c r="L15" s="2">
        <f t="shared" si="2"/>
        <v>0.66890756302521015</v>
      </c>
      <c r="M15" s="2">
        <f t="shared" si="2"/>
        <v>0.36313379556531911</v>
      </c>
      <c r="N15" s="2">
        <f t="shared" si="2"/>
        <v>0.24959501557632402</v>
      </c>
    </row>
    <row r="16" spans="1:27" x14ac:dyDescent="0.2">
      <c r="A16" t="s">
        <v>80</v>
      </c>
      <c r="G16" s="2">
        <f>G14/F14-1</f>
        <v>0.2645631067961165</v>
      </c>
      <c r="H16" s="2">
        <f t="shared" ref="H16:M16" si="3">H14/G14-1</f>
        <v>0.14203454894433776</v>
      </c>
      <c r="I16" s="2">
        <f t="shared" si="3"/>
        <v>0.22411764705882331</v>
      </c>
      <c r="J16" s="2">
        <f t="shared" si="3"/>
        <v>0.10180545067618607</v>
      </c>
      <c r="K16" s="2">
        <f t="shared" si="3"/>
        <v>0.18691588785046731</v>
      </c>
      <c r="L16" s="2">
        <f t="shared" si="3"/>
        <v>4.2519685039370092E-2</v>
      </c>
      <c r="M16" s="6">
        <f t="shared" si="3"/>
        <v>-1.6263846928488146E-4</v>
      </c>
      <c r="N16" s="5">
        <v>-0.02</v>
      </c>
    </row>
    <row r="17" spans="1:19" x14ac:dyDescent="0.2">
      <c r="A17" t="s">
        <v>78</v>
      </c>
      <c r="F17" s="3">
        <f t="shared" ref="F17:L17" si="4">F18/F14*1000/3</f>
        <v>-8.0399271844660198</v>
      </c>
      <c r="G17" s="3">
        <f t="shared" si="4"/>
        <v>-7.7915067178502868</v>
      </c>
      <c r="H17" s="3">
        <f t="shared" si="4"/>
        <v>57.332697478991598</v>
      </c>
      <c r="I17" s="3">
        <f t="shared" si="4"/>
        <v>-7.793821651678452</v>
      </c>
      <c r="J17" s="3">
        <f t="shared" si="4"/>
        <v>-7.1788971962616825</v>
      </c>
      <c r="K17" s="3">
        <f t="shared" si="4"/>
        <v>-5.8778897637795282</v>
      </c>
      <c r="L17" s="3">
        <f t="shared" si="4"/>
        <v>55.700785498489417</v>
      </c>
      <c r="M17" s="3">
        <f>M18/M14*1000/3</f>
        <v>57.899547610210512</v>
      </c>
      <c r="N17">
        <v>58</v>
      </c>
    </row>
    <row r="18" spans="1:19" x14ac:dyDescent="0.2">
      <c r="A18" t="s">
        <v>81</v>
      </c>
      <c r="F18" s="4">
        <f>F33-F10</f>
        <v>-19.874700000000001</v>
      </c>
      <c r="G18" s="4">
        <f>G33-G10</f>
        <v>-24.356249999999999</v>
      </c>
      <c r="H18" s="4">
        <f>H33-H10</f>
        <v>204.67773</v>
      </c>
      <c r="I18" s="4">
        <f>I33-I10</f>
        <v>-34.059779999999996</v>
      </c>
      <c r="J18" s="4">
        <f>J33-J10</f>
        <v>-34.566389999999998</v>
      </c>
      <c r="K18" s="4">
        <f>K33-K10</f>
        <v>-33.592140000000001</v>
      </c>
      <c r="L18" s="4">
        <f>L33-L10</f>
        <v>331.86527999999998</v>
      </c>
      <c r="M18" s="4">
        <f>M33-M10</f>
        <v>344.90940000000001</v>
      </c>
      <c r="N18" s="3">
        <f>N14*N17/1000*3</f>
        <v>348.97439999999995</v>
      </c>
    </row>
    <row r="19" spans="1:19" x14ac:dyDescent="0.2">
      <c r="A19" t="s">
        <v>79</v>
      </c>
      <c r="J19" s="2">
        <f>J18/F18-1</f>
        <v>0.73921568627450962</v>
      </c>
      <c r="K19" s="2">
        <f t="shared" ref="K19:M19" si="5">K18/G18-1</f>
        <v>0.37919999999999998</v>
      </c>
      <c r="L19" s="2">
        <f t="shared" si="5"/>
        <v>0.62140395049329489</v>
      </c>
      <c r="M19" s="2">
        <f t="shared" si="5"/>
        <v>-11.126589191122198</v>
      </c>
    </row>
    <row r="21" spans="1:19" x14ac:dyDescent="0.2">
      <c r="A21" t="s">
        <v>82</v>
      </c>
      <c r="B21">
        <v>526.774</v>
      </c>
      <c r="C21">
        <v>712.005</v>
      </c>
      <c r="D21">
        <v>886.1</v>
      </c>
      <c r="E21">
        <f>(Q21)</f>
        <v>1091.0999999999999</v>
      </c>
      <c r="F21">
        <v>1334</v>
      </c>
      <c r="G21">
        <v>1667</v>
      </c>
      <c r="H21">
        <v>2081</v>
      </c>
      <c r="I21">
        <f>(R21)</f>
        <v>2330.6999999999998</v>
      </c>
      <c r="J21">
        <v>2492</v>
      </c>
      <c r="K21">
        <v>2767</v>
      </c>
      <c r="L21">
        <v>2962</v>
      </c>
      <c r="M21" s="3">
        <f>(S21)</f>
        <v>2965.6770000000001</v>
      </c>
      <c r="N21">
        <v>2966</v>
      </c>
      <c r="Q21">
        <v>1091.0999999999999</v>
      </c>
      <c r="R21">
        <v>2330.6999999999998</v>
      </c>
      <c r="S21">
        <v>2965.6770000000001</v>
      </c>
    </row>
    <row r="22" spans="1:19" x14ac:dyDescent="0.2">
      <c r="A22" t="s">
        <v>73</v>
      </c>
      <c r="B22">
        <v>0</v>
      </c>
      <c r="C22">
        <f>(C21-B21)</f>
        <v>185.23099999999999</v>
      </c>
      <c r="D22">
        <f t="shared" ref="D22:N22" si="6">(D21-C21)</f>
        <v>174.09500000000003</v>
      </c>
      <c r="E22">
        <f t="shared" si="6"/>
        <v>204.99999999999989</v>
      </c>
      <c r="F22">
        <f t="shared" si="6"/>
        <v>242.90000000000009</v>
      </c>
      <c r="G22">
        <f t="shared" si="6"/>
        <v>333</v>
      </c>
      <c r="H22">
        <f t="shared" si="6"/>
        <v>414</v>
      </c>
      <c r="I22">
        <f t="shared" si="6"/>
        <v>249.69999999999982</v>
      </c>
      <c r="J22">
        <f t="shared" si="6"/>
        <v>161.30000000000018</v>
      </c>
      <c r="K22">
        <f t="shared" si="6"/>
        <v>275</v>
      </c>
      <c r="L22">
        <f t="shared" si="6"/>
        <v>195</v>
      </c>
      <c r="M22">
        <f t="shared" si="6"/>
        <v>3.6770000000001346</v>
      </c>
      <c r="N22">
        <f t="shared" si="6"/>
        <v>0.32299999999986539</v>
      </c>
      <c r="R22">
        <f t="shared" ref="R22:S22" si="7">R21-Q21</f>
        <v>1239.5999999999999</v>
      </c>
      <c r="S22">
        <f t="shared" si="7"/>
        <v>634.97700000000032</v>
      </c>
    </row>
    <row r="23" spans="1:19" x14ac:dyDescent="0.2">
      <c r="A23" t="s">
        <v>71</v>
      </c>
      <c r="B23" s="1">
        <v>8.9999999999999993E-3</v>
      </c>
      <c r="C23" s="1">
        <v>7.4000000000000003E-3</v>
      </c>
      <c r="D23" s="1">
        <v>4.5999999999999999E-3</v>
      </c>
      <c r="E23" s="1">
        <v>5.1999999999999998E-3</v>
      </c>
      <c r="F23" s="1">
        <v>6.4999999999999997E-3</v>
      </c>
      <c r="G23" s="1">
        <v>7.6E-3</v>
      </c>
      <c r="H23" s="1">
        <v>3.0999999999999999E-3</v>
      </c>
      <c r="I23" s="1">
        <v>7.3000000000000001E-3</v>
      </c>
      <c r="J23" s="1">
        <v>8.2000000000000007E-3</v>
      </c>
      <c r="K23" s="1">
        <v>7.9000000000000008E-3</v>
      </c>
      <c r="L23" s="1">
        <v>7.4999999999999997E-3</v>
      </c>
      <c r="M23" s="1">
        <v>1.41E-2</v>
      </c>
    </row>
    <row r="24" spans="1:19" x14ac:dyDescent="0.2">
      <c r="A24" t="s">
        <v>70</v>
      </c>
      <c r="B24" s="5">
        <v>0.94</v>
      </c>
      <c r="C24" s="5">
        <v>0.93</v>
      </c>
      <c r="D24" s="5">
        <v>0.93</v>
      </c>
      <c r="E24" s="5">
        <v>0.92</v>
      </c>
      <c r="F24" s="5">
        <v>0.92</v>
      </c>
      <c r="G24" s="5">
        <v>0.92</v>
      </c>
      <c r="H24" s="5">
        <v>0.92</v>
      </c>
      <c r="I24" s="5">
        <v>0.92</v>
      </c>
      <c r="J24" s="5">
        <v>0.92</v>
      </c>
      <c r="K24" s="5">
        <v>0.92</v>
      </c>
      <c r="Q24" s="5">
        <f>AVERAGE(B24:E24)</f>
        <v>0.93</v>
      </c>
      <c r="R24" s="5">
        <f>AVERAGE(F24:I24)</f>
        <v>0.92</v>
      </c>
    </row>
    <row r="27" spans="1:19" x14ac:dyDescent="0.2">
      <c r="A27" t="s">
        <v>53</v>
      </c>
      <c r="B27">
        <f>B33/B21*1000000</f>
        <v>0</v>
      </c>
      <c r="C27">
        <f>C33/C21*1000000</f>
        <v>0</v>
      </c>
      <c r="D27">
        <f>D33/D21*1000000</f>
        <v>0</v>
      </c>
      <c r="E27">
        <f>E33/E21*1000000</f>
        <v>0</v>
      </c>
      <c r="F27">
        <f>F33/F21*1000000</f>
        <v>0</v>
      </c>
      <c r="G27">
        <f>G33/G21*1000000</f>
        <v>0</v>
      </c>
      <c r="H27" s="3">
        <f>H33/H21*1000</f>
        <v>115.04084574723692</v>
      </c>
      <c r="I27" s="3">
        <f>I33/I21*1000</f>
        <v>0</v>
      </c>
      <c r="J27" s="3">
        <f>J33/J21*1000</f>
        <v>0</v>
      </c>
      <c r="K27" s="3">
        <f>K33/K21*1000</f>
        <v>0</v>
      </c>
      <c r="L27" s="3">
        <f>L33/L21*1000</f>
        <v>124.88183659689399</v>
      </c>
      <c r="M27" s="3">
        <f>M33/M21*1000</f>
        <v>129.17792463575771</v>
      </c>
      <c r="N27" s="3">
        <f>N34/N21*1000</f>
        <v>214.93594066082267</v>
      </c>
      <c r="Q27">
        <f>AVERAGE(B27:E27)</f>
        <v>0</v>
      </c>
    </row>
    <row r="31" spans="1:19" x14ac:dyDescent="0.2">
      <c r="A31" t="s">
        <v>10</v>
      </c>
      <c r="H31">
        <v>1022.9</v>
      </c>
      <c r="L31">
        <v>594.4</v>
      </c>
      <c r="M31">
        <v>295.60000000000002</v>
      </c>
      <c r="Q31">
        <v>1462.2</v>
      </c>
      <c r="R31">
        <v>3149.6</v>
      </c>
      <c r="S31">
        <v>2187.5</v>
      </c>
    </row>
    <row r="33" spans="1:19" x14ac:dyDescent="0.2">
      <c r="A33" t="s">
        <v>11</v>
      </c>
      <c r="H33">
        <v>239.4</v>
      </c>
      <c r="L33">
        <v>369.9</v>
      </c>
      <c r="M33">
        <v>383.1</v>
      </c>
      <c r="Q33">
        <v>363.7</v>
      </c>
      <c r="R33">
        <v>872.2</v>
      </c>
      <c r="S33">
        <v>1394.7</v>
      </c>
    </row>
    <row r="34" spans="1:19" x14ac:dyDescent="0.2">
      <c r="A34" t="s">
        <v>60</v>
      </c>
      <c r="H34">
        <f>H31+H33</f>
        <v>1262.3</v>
      </c>
      <c r="I34">
        <f>I31+I33</f>
        <v>0</v>
      </c>
      <c r="J34">
        <f>J31+J33</f>
        <v>0</v>
      </c>
      <c r="K34">
        <f>K31+K33</f>
        <v>0</v>
      </c>
      <c r="L34">
        <f>L31+L33</f>
        <v>964.3</v>
      </c>
      <c r="M34">
        <f>M33+M31</f>
        <v>678.7</v>
      </c>
      <c r="N34">
        <v>637.5</v>
      </c>
      <c r="Q34">
        <f>Q31+Q33</f>
        <v>1825.9</v>
      </c>
      <c r="R34">
        <f>R31+R33</f>
        <v>4021.8</v>
      </c>
      <c r="S34">
        <f>S31+S33</f>
        <v>3582.2</v>
      </c>
    </row>
    <row r="36" spans="1:19" x14ac:dyDescent="0.2">
      <c r="A36" t="s">
        <v>61</v>
      </c>
    </row>
    <row r="37" spans="1:19" x14ac:dyDescent="0.2">
      <c r="A37" t="s">
        <v>10</v>
      </c>
    </row>
    <row r="38" spans="1:19" x14ac:dyDescent="0.2">
      <c r="A38" t="s">
        <v>61</v>
      </c>
      <c r="H38">
        <v>732.5</v>
      </c>
      <c r="L38">
        <v>662.3</v>
      </c>
      <c r="Q38">
        <v>832.5</v>
      </c>
      <c r="R38">
        <v>2236.9</v>
      </c>
      <c r="S38">
        <v>2443.8000000000002</v>
      </c>
    </row>
    <row r="39" spans="1:19" x14ac:dyDescent="0.2">
      <c r="A39" t="s">
        <v>64</v>
      </c>
      <c r="H39" s="2">
        <f>H38/H31</f>
        <v>0.71610128067259748</v>
      </c>
      <c r="L39" s="2">
        <f>L38/L31</f>
        <v>1.1142328398384926</v>
      </c>
    </row>
    <row r="40" spans="1:19" x14ac:dyDescent="0.2">
      <c r="A40" t="s">
        <v>11</v>
      </c>
    </row>
    <row r="41" spans="1:19" x14ac:dyDescent="0.2">
      <c r="A41" t="s">
        <v>61</v>
      </c>
      <c r="H41">
        <v>84.8</v>
      </c>
      <c r="L41">
        <v>117.8</v>
      </c>
      <c r="Q41">
        <v>155.69999999999999</v>
      </c>
      <c r="R41">
        <v>330.5</v>
      </c>
      <c r="S41">
        <v>450</v>
      </c>
    </row>
    <row r="42" spans="1:19" x14ac:dyDescent="0.2">
      <c r="A42" t="s">
        <v>64</v>
      </c>
      <c r="H42" s="2">
        <f>H41/H33</f>
        <v>0.35421888053466999</v>
      </c>
      <c r="L42" s="2">
        <f>L41/L33</f>
        <v>0.31846444985131117</v>
      </c>
    </row>
    <row r="43" spans="1:19" x14ac:dyDescent="0.2">
      <c r="A43" t="s">
        <v>63</v>
      </c>
      <c r="H43">
        <f>H41+H38</f>
        <v>817.3</v>
      </c>
      <c r="L43">
        <f>L41+L38</f>
        <v>780.09999999999991</v>
      </c>
    </row>
    <row r="44" spans="1:19" x14ac:dyDescent="0.2">
      <c r="A44" t="s">
        <v>64</v>
      </c>
      <c r="H44" s="2">
        <f>H43/H34</f>
        <v>0.64746890596530138</v>
      </c>
      <c r="L44" s="2">
        <f>L43/L34</f>
        <v>0.80898060769470082</v>
      </c>
    </row>
    <row r="46" spans="1:19" x14ac:dyDescent="0.2">
      <c r="A46" t="s">
        <v>65</v>
      </c>
      <c r="H46">
        <f>H34-H43</f>
        <v>445</v>
      </c>
      <c r="L46">
        <f>L34-L43</f>
        <v>184.20000000000005</v>
      </c>
    </row>
    <row r="47" spans="1:19" x14ac:dyDescent="0.2">
      <c r="A47" t="s">
        <v>62</v>
      </c>
      <c r="H47" s="2">
        <f>H46/H34</f>
        <v>0.35253109403469857</v>
      </c>
      <c r="L47" s="2">
        <f>L46/L34</f>
        <v>0.19101939230529924</v>
      </c>
      <c r="N47" s="5">
        <v>0.35</v>
      </c>
    </row>
    <row r="49" spans="1:19" x14ac:dyDescent="0.2">
      <c r="A49" t="s">
        <v>12</v>
      </c>
      <c r="H49">
        <v>208.2</v>
      </c>
      <c r="L49">
        <v>227.7</v>
      </c>
      <c r="Q49">
        <v>467.7</v>
      </c>
      <c r="R49">
        <v>728.3</v>
      </c>
      <c r="S49">
        <v>10189</v>
      </c>
    </row>
    <row r="50" spans="1:19" x14ac:dyDescent="0.2">
      <c r="A50" t="s">
        <v>13</v>
      </c>
      <c r="H50">
        <v>180.6</v>
      </c>
      <c r="L50">
        <v>242.3</v>
      </c>
      <c r="Q50">
        <v>351.4</v>
      </c>
      <c r="R50">
        <v>661.8</v>
      </c>
      <c r="S50">
        <v>936.4</v>
      </c>
    </row>
    <row r="51" spans="1:19" x14ac:dyDescent="0.2">
      <c r="A51" t="s">
        <v>14</v>
      </c>
      <c r="H51">
        <v>69.8</v>
      </c>
      <c r="L51">
        <v>77.099999999999994</v>
      </c>
      <c r="Q51">
        <v>89.1</v>
      </c>
      <c r="R51">
        <v>247.6</v>
      </c>
      <c r="S51">
        <v>359.5</v>
      </c>
    </row>
    <row r="52" spans="1:19" x14ac:dyDescent="0.2">
      <c r="A52" t="s">
        <v>15</v>
      </c>
      <c r="L52">
        <v>181.9</v>
      </c>
      <c r="S52">
        <v>181.9</v>
      </c>
    </row>
    <row r="53" spans="1:19" x14ac:dyDescent="0.2">
      <c r="A53" t="s">
        <v>16</v>
      </c>
      <c r="L53">
        <v>32.5</v>
      </c>
      <c r="Q53">
        <v>1.2</v>
      </c>
      <c r="R53">
        <v>4.5</v>
      </c>
      <c r="S53">
        <v>390.5</v>
      </c>
    </row>
    <row r="54" spans="1:19" x14ac:dyDescent="0.2">
      <c r="A54" t="s">
        <v>17</v>
      </c>
      <c r="L54">
        <v>158.5</v>
      </c>
      <c r="S54">
        <v>180.7</v>
      </c>
    </row>
    <row r="55" spans="1:19" x14ac:dyDescent="0.2">
      <c r="A55" t="s">
        <v>18</v>
      </c>
      <c r="S55">
        <v>337.6</v>
      </c>
    </row>
    <row r="56" spans="1:19" x14ac:dyDescent="0.2">
      <c r="A56" t="s">
        <v>19</v>
      </c>
      <c r="H56">
        <v>-4.9000000000000004</v>
      </c>
      <c r="L56">
        <v>-9.1</v>
      </c>
      <c r="Q56">
        <v>-2</v>
      </c>
      <c r="R56">
        <v>-14.8</v>
      </c>
      <c r="S56">
        <v>-43</v>
      </c>
    </row>
    <row r="57" spans="1:19" x14ac:dyDescent="0.2">
      <c r="A57" t="s">
        <v>20</v>
      </c>
      <c r="H57">
        <v>1.6</v>
      </c>
      <c r="L57">
        <v>0.2</v>
      </c>
      <c r="Q57">
        <v>18.2</v>
      </c>
      <c r="R57">
        <v>7.9</v>
      </c>
      <c r="S57">
        <v>2.2999999999999998</v>
      </c>
    </row>
    <row r="58" spans="1:19" x14ac:dyDescent="0.2">
      <c r="A58" t="s">
        <v>21</v>
      </c>
      <c r="H58">
        <v>-0.7</v>
      </c>
      <c r="L58">
        <v>-11.5</v>
      </c>
      <c r="Q58">
        <v>-4</v>
      </c>
      <c r="R58">
        <v>-3.5</v>
      </c>
      <c r="S58">
        <v>-31.8</v>
      </c>
    </row>
    <row r="59" spans="1:19" x14ac:dyDescent="0.2">
      <c r="A59" t="s">
        <v>22</v>
      </c>
      <c r="L59">
        <v>1.2</v>
      </c>
      <c r="Q59">
        <v>0.1</v>
      </c>
      <c r="R59">
        <v>0.1</v>
      </c>
      <c r="S59">
        <v>-1.5</v>
      </c>
    </row>
    <row r="60" spans="1:19" x14ac:dyDescent="0.2">
      <c r="A60" t="s">
        <v>23</v>
      </c>
      <c r="H60">
        <v>9.1</v>
      </c>
      <c r="L60">
        <v>-2.1</v>
      </c>
      <c r="Q60">
        <v>-3.3</v>
      </c>
      <c r="R60">
        <v>9.1999999999999993</v>
      </c>
      <c r="S60">
        <v>-19.600000000000001</v>
      </c>
    </row>
    <row r="61" spans="1:19" x14ac:dyDescent="0.2">
      <c r="A61" t="s">
        <v>24</v>
      </c>
      <c r="H61">
        <v>-8.6</v>
      </c>
      <c r="L61">
        <v>-757.1</v>
      </c>
      <c r="Q61">
        <v>-71.599999999999994</v>
      </c>
      <c r="R61">
        <v>-189</v>
      </c>
      <c r="S61">
        <v>-2827.7</v>
      </c>
    </row>
    <row r="62" spans="1:19" x14ac:dyDescent="0.2">
      <c r="A62" t="s">
        <v>30</v>
      </c>
      <c r="H62" s="3">
        <v>295.64682399999998</v>
      </c>
      <c r="I62" s="3"/>
      <c r="J62" s="3"/>
      <c r="K62" s="3"/>
      <c r="L62" s="3">
        <v>333.86457899999999</v>
      </c>
    </row>
    <row r="63" spans="1:19" x14ac:dyDescent="0.2">
      <c r="A63" t="s">
        <v>31</v>
      </c>
      <c r="H63" s="3">
        <v>295.64682399999998</v>
      </c>
      <c r="I63" s="3"/>
      <c r="J63" s="3"/>
      <c r="K63" s="3"/>
      <c r="L63" s="3">
        <v>333.86457899999999</v>
      </c>
    </row>
    <row r="65" spans="1:19" x14ac:dyDescent="0.2">
      <c r="A65" t="s">
        <v>69</v>
      </c>
      <c r="H65">
        <v>359.3</v>
      </c>
      <c r="L65">
        <v>-1677.8</v>
      </c>
      <c r="Q65">
        <v>376.4</v>
      </c>
      <c r="R65">
        <v>-239.7</v>
      </c>
      <c r="S65">
        <v>-2020</v>
      </c>
    </row>
    <row r="66" spans="1:19" x14ac:dyDescent="0.2">
      <c r="A66" t="s">
        <v>68</v>
      </c>
      <c r="H66">
        <v>-233.4</v>
      </c>
      <c r="L66">
        <v>223</v>
      </c>
      <c r="Q66">
        <v>-741.3</v>
      </c>
      <c r="R66">
        <v>-585.1</v>
      </c>
      <c r="S66">
        <v>153.30000000000001</v>
      </c>
    </row>
    <row r="67" spans="1:19" x14ac:dyDescent="0.2">
      <c r="A67" t="s">
        <v>67</v>
      </c>
      <c r="H67">
        <v>890.5</v>
      </c>
      <c r="L67">
        <v>1309</v>
      </c>
      <c r="Q67">
        <v>1240.2</v>
      </c>
      <c r="R67">
        <v>916.8</v>
      </c>
      <c r="S67">
        <v>2015.1</v>
      </c>
    </row>
    <row r="68" spans="1:19" x14ac:dyDescent="0.2">
      <c r="A68" t="s">
        <v>26</v>
      </c>
      <c r="H68">
        <f>H65+H66+H67+4.1</f>
        <v>1020.5</v>
      </c>
      <c r="L68">
        <f>L65+L66+L67-23.6</f>
        <v>-169.39999999999995</v>
      </c>
      <c r="Q68">
        <f>Q65+Q66+Q67-1.3</f>
        <v>874.00000000000011</v>
      </c>
      <c r="R68">
        <f>R65+R66+R67+6.7</f>
        <v>98.7</v>
      </c>
      <c r="S68">
        <f>S65+S66+S67-26.5</f>
        <v>121.89999999999986</v>
      </c>
    </row>
    <row r="69" spans="1:19" x14ac:dyDescent="0.2">
      <c r="A69" t="s">
        <v>66</v>
      </c>
      <c r="H69">
        <f>-167.9-5</f>
        <v>-172.9</v>
      </c>
      <c r="L69">
        <f>-243.6-24.1</f>
        <v>-267.7</v>
      </c>
      <c r="Q69">
        <v>-337.3</v>
      </c>
      <c r="R69">
        <v>-252.2</v>
      </c>
      <c r="S69">
        <v>-156.4</v>
      </c>
    </row>
    <row r="71" spans="1:19" x14ac:dyDescent="0.2">
      <c r="A71" t="s">
        <v>25</v>
      </c>
      <c r="H71">
        <v>108.8</v>
      </c>
      <c r="L71">
        <v>241.9</v>
      </c>
      <c r="Q71">
        <v>88.8</v>
      </c>
      <c r="R71">
        <v>194</v>
      </c>
      <c r="S71">
        <v>328.4</v>
      </c>
    </row>
    <row r="72" spans="1:19" x14ac:dyDescent="0.2">
      <c r="A72" t="s">
        <v>29</v>
      </c>
      <c r="H72">
        <v>-204</v>
      </c>
      <c r="L72">
        <v>-746.7</v>
      </c>
      <c r="Q72">
        <f>Q65+Q69-Q71</f>
        <v>-49.700000000000031</v>
      </c>
      <c r="R72">
        <f>R65+R69-R71</f>
        <v>-685.9</v>
      </c>
      <c r="S72">
        <f>S65+S69-S71</f>
        <v>-2504.8000000000002</v>
      </c>
    </row>
    <row r="73" spans="1:19" x14ac:dyDescent="0.2">
      <c r="A73" t="s">
        <v>27</v>
      </c>
      <c r="Q73">
        <v>163</v>
      </c>
      <c r="R73">
        <f>Q74</f>
        <v>1037</v>
      </c>
      <c r="S73">
        <f>R74</f>
        <v>1135.7</v>
      </c>
    </row>
    <row r="74" spans="1:19" x14ac:dyDescent="0.2">
      <c r="A74" t="s">
        <v>28</v>
      </c>
      <c r="H74">
        <v>2057.4</v>
      </c>
      <c r="L74">
        <v>966.2</v>
      </c>
      <c r="Q74">
        <f>Q73+Q68</f>
        <v>1037</v>
      </c>
      <c r="R74">
        <f>R73+R68</f>
        <v>1135.7</v>
      </c>
      <c r="S74">
        <f>S73+S68</f>
        <v>1257.5999999999999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AC81-BD1D-BA46-82AB-D879D48C31DA}">
  <dimension ref="A2:T16"/>
  <sheetViews>
    <sheetView workbookViewId="0">
      <selection activeCell="A4" sqref="A4:XFD4"/>
    </sheetView>
  </sheetViews>
  <sheetFormatPr baseColWidth="10" defaultRowHeight="16" x14ac:dyDescent="0.2"/>
  <cols>
    <col min="1" max="1" width="38.6640625" customWidth="1"/>
    <col min="2" max="16" width="12.33203125" customWidth="1"/>
  </cols>
  <sheetData>
    <row r="2" spans="1:20" x14ac:dyDescent="0.2">
      <c r="B2" t="s">
        <v>57</v>
      </c>
      <c r="C2" t="s">
        <v>58</v>
      </c>
      <c r="D2" t="s">
        <v>59</v>
      </c>
      <c r="E2" t="s">
        <v>56</v>
      </c>
      <c r="F2" t="s">
        <v>41</v>
      </c>
      <c r="G2" t="s">
        <v>40</v>
      </c>
      <c r="H2" t="s">
        <v>39</v>
      </c>
      <c r="I2" t="s">
        <v>38</v>
      </c>
      <c r="J2" t="s">
        <v>37</v>
      </c>
      <c r="K2" t="s">
        <v>36</v>
      </c>
      <c r="L2" t="s">
        <v>35</v>
      </c>
      <c r="M2" t="s">
        <v>34</v>
      </c>
      <c r="N2" t="s">
        <v>55</v>
      </c>
      <c r="Q2" t="s">
        <v>2</v>
      </c>
      <c r="R2" t="s">
        <v>3</v>
      </c>
      <c r="S2" t="s">
        <v>9</v>
      </c>
      <c r="T2" t="s">
        <v>54</v>
      </c>
    </row>
    <row r="3" spans="1:20" x14ac:dyDescent="0.2">
      <c r="R3">
        <f>R4-Q4</f>
        <v>1239600</v>
      </c>
      <c r="S3">
        <f>S4-R4</f>
        <v>634977</v>
      </c>
    </row>
    <row r="4" spans="1:20" x14ac:dyDescent="0.2">
      <c r="A4" t="s">
        <v>4</v>
      </c>
      <c r="I4">
        <f>R4</f>
        <v>2330700</v>
      </c>
      <c r="M4">
        <f>S4</f>
        <v>2965677</v>
      </c>
      <c r="N4">
        <v>2966000</v>
      </c>
      <c r="Q4">
        <v>1091100</v>
      </c>
      <c r="R4">
        <v>2330700</v>
      </c>
      <c r="S4">
        <v>2965677</v>
      </c>
    </row>
    <row r="5" spans="1:20" x14ac:dyDescent="0.2">
      <c r="R5" s="2">
        <f>R4/Q4-1</f>
        <v>1.1361011822930989</v>
      </c>
      <c r="S5" s="2">
        <f>S4/R4-1</f>
        <v>0.27244046852876824</v>
      </c>
    </row>
    <row r="6" spans="1:20" x14ac:dyDescent="0.2">
      <c r="A6" t="s">
        <v>52</v>
      </c>
      <c r="Q6">
        <f>Model!Q33</f>
        <v>363.7</v>
      </c>
      <c r="R6">
        <f>Model!R33</f>
        <v>872.2</v>
      </c>
      <c r="S6">
        <f>Model!S33</f>
        <v>1394.7</v>
      </c>
    </row>
    <row r="7" spans="1:20" x14ac:dyDescent="0.2">
      <c r="A7" t="s">
        <v>53</v>
      </c>
      <c r="Q7" s="3">
        <f>Q6/Q4*1000000</f>
        <v>333.33333333333331</v>
      </c>
      <c r="R7" s="3">
        <f t="shared" ref="R7:S7" si="0">R6/R4*1000000</f>
        <v>374.2223366370618</v>
      </c>
      <c r="S7" s="3">
        <f t="shared" si="0"/>
        <v>470.28047895977886</v>
      </c>
    </row>
    <row r="8" spans="1:20" x14ac:dyDescent="0.2">
      <c r="Q8" s="3"/>
      <c r="R8" s="3"/>
      <c r="S8" s="3"/>
    </row>
    <row r="9" spans="1:20" x14ac:dyDescent="0.2">
      <c r="R9" s="2"/>
      <c r="S9" s="2"/>
    </row>
    <row r="10" spans="1:20" x14ac:dyDescent="0.2">
      <c r="A10" t="s">
        <v>5</v>
      </c>
      <c r="Q10" s="1">
        <v>6.1999999999999998E-3</v>
      </c>
      <c r="R10" s="1">
        <v>6.1000000000000004E-3</v>
      </c>
      <c r="S10" s="1">
        <v>9.5999999999999992E-3</v>
      </c>
    </row>
    <row r="11" spans="1:20" x14ac:dyDescent="0.2">
      <c r="A11" t="s">
        <v>6</v>
      </c>
      <c r="Q11">
        <v>164.5</v>
      </c>
      <c r="R11">
        <v>459.7</v>
      </c>
      <c r="S11">
        <v>540</v>
      </c>
    </row>
    <row r="12" spans="1:20" x14ac:dyDescent="0.2">
      <c r="A12" t="s">
        <v>51</v>
      </c>
      <c r="Q12">
        <v>17.899999999999999</v>
      </c>
      <c r="R12">
        <v>22</v>
      </c>
      <c r="S12">
        <v>16.399999999999999</v>
      </c>
    </row>
    <row r="14" spans="1:20" x14ac:dyDescent="0.2">
      <c r="A14" t="s">
        <v>8</v>
      </c>
      <c r="Q14">
        <v>208</v>
      </c>
      <c r="R14">
        <v>541.70000000000005</v>
      </c>
      <c r="S14">
        <v>944.7</v>
      </c>
    </row>
    <row r="15" spans="1:20" x14ac:dyDescent="0.2">
      <c r="A15" t="s">
        <v>7</v>
      </c>
      <c r="Q15">
        <v>232.1</v>
      </c>
      <c r="R15">
        <v>586.5</v>
      </c>
      <c r="S15">
        <v>944.2</v>
      </c>
    </row>
    <row r="16" spans="1:20" x14ac:dyDescent="0.2">
      <c r="A16" t="s">
        <v>50</v>
      </c>
      <c r="S16">
        <f>S15/S4*1000000</f>
        <v>318.37587168123838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2022-09-02T15:05:10Z</dcterms:created>
  <dcterms:modified xsi:type="dcterms:W3CDTF">2022-09-22T19:16:00Z</dcterms:modified>
</cp:coreProperties>
</file>