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evan/Desktop/Cleanup/WhiteSky/Models/"/>
    </mc:Choice>
  </mc:AlternateContent>
  <xr:revisionPtr revIDLastSave="0" documentId="13_ncr:1_{D264647D-3285-0148-A141-5C484D886E86}" xr6:coauthVersionLast="47" xr6:coauthVersionMax="47" xr10:uidLastSave="{00000000-0000-0000-0000-000000000000}"/>
  <bookViews>
    <workbookView xWindow="3360" yWindow="760" windowWidth="25460" windowHeight="18880" activeTab="2" xr2:uid="{AC1FEB85-53A7-294A-ACAF-A319639F1070}"/>
  </bookViews>
  <sheets>
    <sheet name="Cover" sheetId="5" r:id="rId1"/>
    <sheet name="Main" sheetId="1" r:id="rId2"/>
    <sheet name="Model" sheetId="2" r:id="rId3"/>
    <sheet name="rNPV" sheetId="6" r:id="rId4"/>
    <sheet name="Other" sheetId="7" r:id="rId5"/>
    <sheet name="Legal Disclosure" sheetId="3"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5" i="7" l="1"/>
  <c r="U10" i="7"/>
  <c r="U11" i="7"/>
  <c r="P35" i="7"/>
  <c r="P34" i="7"/>
  <c r="P33" i="7"/>
  <c r="P32" i="7"/>
  <c r="K11" i="6"/>
  <c r="L11" i="6"/>
  <c r="M11" i="6"/>
  <c r="N11" i="6"/>
  <c r="O11" i="6"/>
  <c r="P11" i="6"/>
  <c r="J11" i="6"/>
  <c r="R16" i="7"/>
  <c r="R20" i="7"/>
  <c r="U16" i="7"/>
  <c r="U13" i="7"/>
  <c r="U17" i="7" l="1"/>
  <c r="R22" i="7"/>
  <c r="E26" i="6" l="1"/>
  <c r="G13" i="6"/>
  <c r="H13" i="6" s="1"/>
  <c r="E23" i="6"/>
  <c r="Z106" i="2"/>
  <c r="AA106" i="2"/>
  <c r="AB106" i="2"/>
  <c r="AC106" i="2"/>
  <c r="AD106" i="2"/>
  <c r="AE106" i="2"/>
  <c r="AF106" i="2"/>
  <c r="AG106" i="2"/>
  <c r="Y106" i="2"/>
  <c r="X106" i="2"/>
  <c r="T105" i="2"/>
  <c r="U105" i="2"/>
  <c r="S105" i="2"/>
  <c r="H92" i="2"/>
  <c r="I92" i="2" s="1"/>
  <c r="J92" i="2" s="1"/>
  <c r="K92" i="2" s="1"/>
  <c r="L92" i="2" s="1"/>
  <c r="H61" i="2"/>
  <c r="I61" i="2" s="1"/>
  <c r="J61" i="2" s="1"/>
  <c r="K61" i="2" s="1"/>
  <c r="H87" i="2"/>
  <c r="I87" i="2" s="1"/>
  <c r="J87" i="2" s="1"/>
  <c r="H86" i="2"/>
  <c r="I86" i="2" s="1"/>
  <c r="J86" i="2" s="1"/>
  <c r="K86" i="2" s="1"/>
  <c r="L86" i="2" s="1"/>
  <c r="M86" i="2" s="1"/>
  <c r="N86" i="2" s="1"/>
  <c r="O86" i="2" s="1"/>
  <c r="P86" i="2" s="1"/>
  <c r="Q86" i="2" s="1"/>
  <c r="H93" i="2"/>
  <c r="I93" i="2" s="1"/>
  <c r="J93" i="2" s="1"/>
  <c r="K93" i="2" s="1"/>
  <c r="L93" i="2" s="1"/>
  <c r="M93" i="2" s="1"/>
  <c r="N93" i="2" s="1"/>
  <c r="O93" i="2" s="1"/>
  <c r="P93" i="2" s="1"/>
  <c r="Q93" i="2" s="1"/>
  <c r="H85" i="2"/>
  <c r="I85" i="2" s="1"/>
  <c r="J85" i="2" s="1"/>
  <c r="K85" i="2" s="1"/>
  <c r="L85" i="2" s="1"/>
  <c r="M85" i="2" s="1"/>
  <c r="N85" i="2" s="1"/>
  <c r="O85" i="2" s="1"/>
  <c r="P85" i="2" s="1"/>
  <c r="Q85" i="2" s="1"/>
  <c r="H84" i="2"/>
  <c r="I84" i="2" s="1"/>
  <c r="J84" i="2" s="1"/>
  <c r="K84" i="2" s="1"/>
  <c r="L84" i="2" s="1"/>
  <c r="M84" i="2" s="1"/>
  <c r="N84" i="2" s="1"/>
  <c r="O84" i="2" s="1"/>
  <c r="P84" i="2" s="1"/>
  <c r="Q84" i="2" s="1"/>
  <c r="H83" i="2"/>
  <c r="I83" i="2" s="1"/>
  <c r="J83" i="2" s="1"/>
  <c r="K83" i="2" s="1"/>
  <c r="L83" i="2" s="1"/>
  <c r="M83" i="2" s="1"/>
  <c r="N83" i="2" s="1"/>
  <c r="O83" i="2" s="1"/>
  <c r="P83" i="2" s="1"/>
  <c r="Q83" i="2" s="1"/>
  <c r="H82" i="2"/>
  <c r="I82" i="2" s="1"/>
  <c r="J82" i="2" s="1"/>
  <c r="K82" i="2" s="1"/>
  <c r="L82" i="2" s="1"/>
  <c r="M82" i="2" s="1"/>
  <c r="N82" i="2" s="1"/>
  <c r="O82" i="2" s="1"/>
  <c r="P82" i="2" s="1"/>
  <c r="Q82" i="2" s="1"/>
  <c r="H81" i="2"/>
  <c r="H78" i="2"/>
  <c r="I78" i="2" s="1"/>
  <c r="J78" i="2" s="1"/>
  <c r="K78" i="2" s="1"/>
  <c r="L78" i="2" s="1"/>
  <c r="M78" i="2" s="1"/>
  <c r="N78" i="2" s="1"/>
  <c r="O78" i="2" s="1"/>
  <c r="P78" i="2" s="1"/>
  <c r="Q78" i="2" s="1"/>
  <c r="H77" i="2"/>
  <c r="I77" i="2" s="1"/>
  <c r="J77" i="2" s="1"/>
  <c r="K77" i="2" s="1"/>
  <c r="L77" i="2" s="1"/>
  <c r="M77" i="2" s="1"/>
  <c r="N77" i="2" s="1"/>
  <c r="O77" i="2" s="1"/>
  <c r="P77" i="2" s="1"/>
  <c r="Q77" i="2" s="1"/>
  <c r="H76" i="2"/>
  <c r="I76" i="2" s="1"/>
  <c r="J76" i="2" s="1"/>
  <c r="K76" i="2" s="1"/>
  <c r="L76" i="2" s="1"/>
  <c r="M76" i="2" s="1"/>
  <c r="N76" i="2" s="1"/>
  <c r="O76" i="2" s="1"/>
  <c r="P76" i="2" s="1"/>
  <c r="Q76" i="2" s="1"/>
  <c r="H75" i="2"/>
  <c r="I75" i="2" s="1"/>
  <c r="J75" i="2" s="1"/>
  <c r="K75" i="2" s="1"/>
  <c r="L75" i="2" s="1"/>
  <c r="M75" i="2" s="1"/>
  <c r="N75" i="2" s="1"/>
  <c r="O75" i="2" s="1"/>
  <c r="P75" i="2" s="1"/>
  <c r="Q75" i="2" s="1"/>
  <c r="H74" i="2"/>
  <c r="I74" i="2" s="1"/>
  <c r="J74" i="2" s="1"/>
  <c r="K74" i="2" s="1"/>
  <c r="L74" i="2" s="1"/>
  <c r="M74" i="2" s="1"/>
  <c r="N74" i="2" s="1"/>
  <c r="O74" i="2" s="1"/>
  <c r="P74" i="2" s="1"/>
  <c r="Q74" i="2" s="1"/>
  <c r="C58" i="2"/>
  <c r="D58" i="2" s="1"/>
  <c r="G58" i="2"/>
  <c r="G57" i="2"/>
  <c r="C57" i="2"/>
  <c r="D57" i="2" s="1"/>
  <c r="H64" i="2"/>
  <c r="I64" i="2" s="1"/>
  <c r="J64" i="2" s="1"/>
  <c r="K64" i="2" s="1"/>
  <c r="L64" i="2" s="1"/>
  <c r="M64" i="2" s="1"/>
  <c r="N64" i="2" s="1"/>
  <c r="O64" i="2" s="1"/>
  <c r="P64" i="2" s="1"/>
  <c r="Q64" i="2" s="1"/>
  <c r="H63" i="2"/>
  <c r="I63" i="2" s="1"/>
  <c r="J63" i="2" s="1"/>
  <c r="K63" i="2" s="1"/>
  <c r="L63" i="2" s="1"/>
  <c r="M63" i="2" s="1"/>
  <c r="N63" i="2" s="1"/>
  <c r="O63" i="2" s="1"/>
  <c r="P63" i="2" s="1"/>
  <c r="Q63" i="2" s="1"/>
  <c r="H26" i="2"/>
  <c r="H18" i="2"/>
  <c r="H19" i="2" s="1"/>
  <c r="H21" i="2"/>
  <c r="I21" i="2" s="1"/>
  <c r="G23" i="2"/>
  <c r="D23" i="2"/>
  <c r="C23" i="2"/>
  <c r="G22" i="2"/>
  <c r="F22" i="2"/>
  <c r="G20" i="2"/>
  <c r="D20" i="2"/>
  <c r="C20" i="2"/>
  <c r="X29" i="2"/>
  <c r="W29" i="2"/>
  <c r="V29" i="2"/>
  <c r="X27" i="2"/>
  <c r="W27" i="2"/>
  <c r="V27" i="2"/>
  <c r="G19" i="2"/>
  <c r="F19" i="2"/>
  <c r="U19" i="2"/>
  <c r="T19" i="2"/>
  <c r="U22" i="2"/>
  <c r="T22" i="2"/>
  <c r="G56" i="2"/>
  <c r="C56" i="2"/>
  <c r="D56" i="2" s="1"/>
  <c r="G14" i="6" l="1"/>
  <c r="F14" i="6"/>
  <c r="E14" i="6"/>
  <c r="H14" i="6"/>
  <c r="I13" i="6"/>
  <c r="H89" i="2"/>
  <c r="I81" i="2"/>
  <c r="M92" i="2"/>
  <c r="N92" i="2" s="1"/>
  <c r="O92" i="2" s="1"/>
  <c r="P92" i="2" s="1"/>
  <c r="Q92" i="2" s="1"/>
  <c r="K87" i="2"/>
  <c r="J21" i="2"/>
  <c r="H22" i="2"/>
  <c r="H24" i="2"/>
  <c r="I26" i="2"/>
  <c r="J26" i="2" s="1"/>
  <c r="K26" i="2" s="1"/>
  <c r="V21" i="2"/>
  <c r="I18" i="2"/>
  <c r="U41" i="2"/>
  <c r="T41" i="2"/>
  <c r="G41" i="2"/>
  <c r="F41" i="2"/>
  <c r="T14" i="2"/>
  <c r="T16" i="2" s="1"/>
  <c r="U14" i="2"/>
  <c r="U16" i="2" s="1"/>
  <c r="T24" i="2"/>
  <c r="U24" i="2"/>
  <c r="S24" i="2"/>
  <c r="S14" i="2"/>
  <c r="S16" i="2" s="1"/>
  <c r="S17" i="2" s="1"/>
  <c r="C14" i="2"/>
  <c r="P27" i="7" s="1"/>
  <c r="D14" i="2"/>
  <c r="F14" i="2"/>
  <c r="G14" i="2"/>
  <c r="E26" i="2"/>
  <c r="E21" i="2"/>
  <c r="E18" i="2"/>
  <c r="E12" i="2"/>
  <c r="C24" i="2"/>
  <c r="D24" i="2"/>
  <c r="F24" i="2"/>
  <c r="G24" i="2"/>
  <c r="B24" i="2"/>
  <c r="B14" i="2"/>
  <c r="V7" i="2"/>
  <c r="W7" i="2" s="1"/>
  <c r="X7" i="2" s="1"/>
  <c r="Y7" i="2" s="1"/>
  <c r="Z7" i="2" s="1"/>
  <c r="AA7" i="2" s="1"/>
  <c r="AB7" i="2" s="1"/>
  <c r="AC7" i="2" s="1"/>
  <c r="AD7" i="2" s="1"/>
  <c r="AE7" i="2" s="1"/>
  <c r="AF7" i="2" s="1"/>
  <c r="AG7" i="2" s="1"/>
  <c r="G7" i="2"/>
  <c r="K7" i="2" s="1"/>
  <c r="O7" i="2" s="1"/>
  <c r="H7" i="2"/>
  <c r="L7" i="2" s="1"/>
  <c r="P7" i="2" s="1"/>
  <c r="I7" i="2"/>
  <c r="M7" i="2" s="1"/>
  <c r="Q7" i="2" s="1"/>
  <c r="F7" i="2"/>
  <c r="J7" i="2" s="1"/>
  <c r="N7" i="2" s="1"/>
  <c r="E105" i="2"/>
  <c r="D105" i="2"/>
  <c r="E95" i="2"/>
  <c r="E89" i="2"/>
  <c r="E71" i="2"/>
  <c r="D79" i="2"/>
  <c r="D95" i="2"/>
  <c r="D89" i="2"/>
  <c r="E57" i="2"/>
  <c r="E58" i="2"/>
  <c r="H58" i="2" s="1"/>
  <c r="I58" i="2" s="1"/>
  <c r="J58" i="2" s="1"/>
  <c r="E56" i="2"/>
  <c r="C105" i="2"/>
  <c r="G105" i="2"/>
  <c r="G89" i="2"/>
  <c r="G79" i="2"/>
  <c r="R23" i="7" s="1"/>
  <c r="F59" i="2"/>
  <c r="B59" i="2"/>
  <c r="C49" i="2"/>
  <c r="C59" i="2" s="1"/>
  <c r="C50" i="2"/>
  <c r="D50" i="2" s="1"/>
  <c r="C51" i="2"/>
  <c r="G51" i="2"/>
  <c r="G50" i="2"/>
  <c r="G49" i="2"/>
  <c r="G59" i="2" s="1"/>
  <c r="B105" i="2"/>
  <c r="F105" i="2"/>
  <c r="F95" i="2"/>
  <c r="F89" i="2"/>
  <c r="F79" i="2"/>
  <c r="B52" i="2"/>
  <c r="F52" i="2"/>
  <c r="T59" i="2"/>
  <c r="U59" i="2"/>
  <c r="S59" i="2"/>
  <c r="U71" i="2"/>
  <c r="U73" i="2" s="1"/>
  <c r="T71" i="2"/>
  <c r="T65" i="2" s="1"/>
  <c r="S52" i="2"/>
  <c r="S54" i="2" s="1"/>
  <c r="T53" i="2" s="1"/>
  <c r="T52" i="2"/>
  <c r="U52" i="2"/>
  <c r="B16" i="2" l="1"/>
  <c r="B17" i="2" s="1"/>
  <c r="P26" i="7"/>
  <c r="G16" i="2"/>
  <c r="G17" i="2" s="1"/>
  <c r="Q27" i="7"/>
  <c r="W8" i="7" s="1"/>
  <c r="W9" i="7" s="1"/>
  <c r="D16" i="2"/>
  <c r="D17" i="2" s="1"/>
  <c r="P28" i="7"/>
  <c r="V22" i="2"/>
  <c r="F16" i="2"/>
  <c r="F25" i="2" s="1"/>
  <c r="Q26" i="7"/>
  <c r="V8" i="7" s="1"/>
  <c r="I14" i="6"/>
  <c r="J13" i="6"/>
  <c r="J81" i="2"/>
  <c r="I89" i="2"/>
  <c r="H37" i="2"/>
  <c r="K58" i="2"/>
  <c r="L58" i="2" s="1"/>
  <c r="L87" i="2"/>
  <c r="J18" i="2"/>
  <c r="K18" i="2" s="1"/>
  <c r="I24" i="2"/>
  <c r="I19" i="2"/>
  <c r="G106" i="2"/>
  <c r="G108" i="2"/>
  <c r="E65" i="2"/>
  <c r="E79" i="2" s="1"/>
  <c r="F71" i="2"/>
  <c r="E14" i="2"/>
  <c r="H12" i="2"/>
  <c r="V26" i="2"/>
  <c r="C106" i="2"/>
  <c r="F23" i="2"/>
  <c r="E23" i="2"/>
  <c r="K21" i="2"/>
  <c r="J22" i="2"/>
  <c r="F106" i="2"/>
  <c r="D106" i="2"/>
  <c r="I22" i="2"/>
  <c r="E106" i="2"/>
  <c r="L26" i="2"/>
  <c r="V18" i="2"/>
  <c r="E20" i="2"/>
  <c r="F20" i="2"/>
  <c r="U65" i="2"/>
  <c r="U79" i="2" s="1"/>
  <c r="U37" i="2"/>
  <c r="G37" i="2"/>
  <c r="F35" i="2"/>
  <c r="C36" i="2"/>
  <c r="F37" i="2"/>
  <c r="T37" i="2"/>
  <c r="D36" i="2"/>
  <c r="G35" i="2"/>
  <c r="T35" i="2"/>
  <c r="U35" i="2"/>
  <c r="C16" i="2"/>
  <c r="C17" i="2" s="1"/>
  <c r="G36" i="2"/>
  <c r="T25" i="2"/>
  <c r="T17" i="2"/>
  <c r="U25" i="2"/>
  <c r="U17" i="2"/>
  <c r="F17" i="2"/>
  <c r="S25" i="2"/>
  <c r="S28" i="2" s="1"/>
  <c r="S30" i="2" s="1"/>
  <c r="S32" i="2" s="1"/>
  <c r="E24" i="2"/>
  <c r="E96" i="2"/>
  <c r="E50" i="2"/>
  <c r="D96" i="2"/>
  <c r="D97" i="2" s="1"/>
  <c r="D49" i="2"/>
  <c r="D59" i="2" s="1"/>
  <c r="D51" i="2"/>
  <c r="E51" i="2" s="1"/>
  <c r="G52" i="2"/>
  <c r="C52" i="2"/>
  <c r="F96" i="2"/>
  <c r="F97" i="2" s="1"/>
  <c r="T54" i="2"/>
  <c r="U89" i="2"/>
  <c r="T89" i="2"/>
  <c r="T79" i="2"/>
  <c r="U95" i="2"/>
  <c r="T95" i="2"/>
  <c r="S97" i="2"/>
  <c r="B25" i="2" l="1"/>
  <c r="B28" i="2" s="1"/>
  <c r="B32" i="2" s="1"/>
  <c r="V9" i="7"/>
  <c r="E16" i="2"/>
  <c r="E17" i="2" s="1"/>
  <c r="P29" i="7"/>
  <c r="U8" i="7" s="1"/>
  <c r="U9" i="7" s="1"/>
  <c r="U12" i="7" s="1"/>
  <c r="U14" i="7" s="1"/>
  <c r="D25" i="2"/>
  <c r="D28" i="2" s="1"/>
  <c r="D32" i="2" s="1"/>
  <c r="V24" i="2"/>
  <c r="V37" i="2" s="1"/>
  <c r="G25" i="2"/>
  <c r="G28" i="2" s="1"/>
  <c r="G32" i="2" s="1"/>
  <c r="K13" i="6"/>
  <c r="J14" i="6"/>
  <c r="H106" i="2"/>
  <c r="H105" i="2" s="1"/>
  <c r="H108" i="2" s="1"/>
  <c r="F36" i="2"/>
  <c r="I37" i="2"/>
  <c r="E36" i="2"/>
  <c r="K81" i="2"/>
  <c r="J89" i="2"/>
  <c r="M87" i="2"/>
  <c r="F72" i="2"/>
  <c r="G71" i="2"/>
  <c r="H71" i="2" s="1"/>
  <c r="I71" i="2" s="1"/>
  <c r="E97" i="2"/>
  <c r="K22" i="2"/>
  <c r="L21" i="2"/>
  <c r="L18" i="2"/>
  <c r="K24" i="2"/>
  <c r="K37" i="2" s="1"/>
  <c r="K19" i="2"/>
  <c r="I12" i="2"/>
  <c r="J12" i="2" s="1"/>
  <c r="H14" i="2"/>
  <c r="Q28" i="7" s="1"/>
  <c r="X8" i="7" s="1"/>
  <c r="X9" i="7" s="1"/>
  <c r="J24" i="2"/>
  <c r="J37" i="2" s="1"/>
  <c r="J19" i="2"/>
  <c r="M58" i="2"/>
  <c r="N58" i="2" s="1"/>
  <c r="M26" i="2"/>
  <c r="C25" i="2"/>
  <c r="C28" i="2" s="1"/>
  <c r="C32" i="2" s="1"/>
  <c r="U28" i="2"/>
  <c r="U38" i="2"/>
  <c r="F28" i="2"/>
  <c r="T28" i="2"/>
  <c r="T38" i="2"/>
  <c r="D52" i="2"/>
  <c r="E49" i="2"/>
  <c r="E52" i="2" s="1"/>
  <c r="U53" i="2"/>
  <c r="U54" i="2" s="1"/>
  <c r="F53" i="2" s="1"/>
  <c r="F54" i="2" s="1"/>
  <c r="G53" i="2" s="1"/>
  <c r="G54" i="2" s="1"/>
  <c r="B53" i="2"/>
  <c r="B54" i="2" s="1"/>
  <c r="C53" i="2" s="1"/>
  <c r="C54" i="2" s="1"/>
  <c r="D53" i="2" s="1"/>
  <c r="T96" i="2"/>
  <c r="T97" i="2" s="1"/>
  <c r="U96" i="2"/>
  <c r="U97" i="2" s="1"/>
  <c r="F38" i="2" l="1"/>
  <c r="Q32" i="7" s="1"/>
  <c r="B30" i="2"/>
  <c r="E25" i="2"/>
  <c r="E28" i="2" s="1"/>
  <c r="E32" i="2" s="1"/>
  <c r="I106" i="2"/>
  <c r="I105" i="2" s="1"/>
  <c r="V105" i="2" s="1"/>
  <c r="D30" i="2"/>
  <c r="L13" i="6"/>
  <c r="K14" i="6"/>
  <c r="H33" i="2"/>
  <c r="H41" i="2" s="1"/>
  <c r="H56" i="2"/>
  <c r="L81" i="2"/>
  <c r="K89" i="2"/>
  <c r="H16" i="2"/>
  <c r="H25" i="2" s="1"/>
  <c r="H36" i="2"/>
  <c r="H35" i="2"/>
  <c r="N87" i="2"/>
  <c r="J71" i="2"/>
  <c r="I57" i="2"/>
  <c r="J14" i="2"/>
  <c r="R26" i="7" s="1"/>
  <c r="AA8" i="7" s="1"/>
  <c r="K12" i="2"/>
  <c r="L12" i="2" s="1"/>
  <c r="I14" i="2"/>
  <c r="Q29" i="7" s="1"/>
  <c r="Y8" i="7" s="1"/>
  <c r="F39" i="2"/>
  <c r="F32" i="2"/>
  <c r="M18" i="2"/>
  <c r="W18" i="2" s="1"/>
  <c r="L24" i="2"/>
  <c r="L37" i="2" s="1"/>
  <c r="L19" i="2"/>
  <c r="M21" i="2"/>
  <c r="L22" i="2"/>
  <c r="V12" i="2"/>
  <c r="V14" i="2" s="1"/>
  <c r="V35" i="2" s="1"/>
  <c r="H57" i="2"/>
  <c r="G72" i="2"/>
  <c r="O58" i="2"/>
  <c r="P58" i="2" s="1"/>
  <c r="N26" i="2"/>
  <c r="W26" i="2"/>
  <c r="C30" i="2"/>
  <c r="G38" i="2"/>
  <c r="Q33" i="7" s="1"/>
  <c r="G39" i="2"/>
  <c r="F30" i="2"/>
  <c r="G30" i="2"/>
  <c r="G94" i="2" s="1"/>
  <c r="G95" i="2" s="1"/>
  <c r="G96" i="2" s="1"/>
  <c r="G97" i="2" s="1"/>
  <c r="T30" i="2"/>
  <c r="T39" i="2"/>
  <c r="U30" i="2"/>
  <c r="U32" i="2" s="1"/>
  <c r="U39" i="2"/>
  <c r="D54" i="2"/>
  <c r="E53" i="2" s="1"/>
  <c r="E54" i="2" s="1"/>
  <c r="E59" i="2"/>
  <c r="F40" i="2" l="1"/>
  <c r="E30" i="2"/>
  <c r="I108" i="2"/>
  <c r="V108" i="2" s="1"/>
  <c r="J106" i="2"/>
  <c r="K106" i="2" s="1"/>
  <c r="T40" i="2"/>
  <c r="T32" i="2"/>
  <c r="Y9" i="7"/>
  <c r="Z8" i="7"/>
  <c r="Z9" i="7" s="1"/>
  <c r="AA9" i="7"/>
  <c r="M13" i="6"/>
  <c r="L14" i="6"/>
  <c r="H17" i="2"/>
  <c r="H28" i="2"/>
  <c r="H39" i="2" s="1"/>
  <c r="H38" i="2"/>
  <c r="Q34" i="7" s="1"/>
  <c r="I16" i="2"/>
  <c r="I17" i="2" s="1"/>
  <c r="I36" i="2"/>
  <c r="I35" i="2"/>
  <c r="J16" i="2"/>
  <c r="J17" i="2" s="1"/>
  <c r="J36" i="2"/>
  <c r="J35" i="2"/>
  <c r="M81" i="2"/>
  <c r="L89" i="2"/>
  <c r="J105" i="2"/>
  <c r="K105" i="2" s="1"/>
  <c r="H30" i="2"/>
  <c r="O87" i="2"/>
  <c r="K71" i="2"/>
  <c r="J57" i="2"/>
  <c r="L106" i="2"/>
  <c r="L14" i="2"/>
  <c r="R28" i="7" s="1"/>
  <c r="AC8" i="7" s="1"/>
  <c r="AC9" i="7" s="1"/>
  <c r="N21" i="2"/>
  <c r="M22" i="2"/>
  <c r="W21" i="2"/>
  <c r="H72" i="2"/>
  <c r="K14" i="2"/>
  <c r="R27" i="7" s="1"/>
  <c r="AB8" i="7" s="1"/>
  <c r="AB9" i="7" s="1"/>
  <c r="M12" i="2"/>
  <c r="N12" i="2" s="1"/>
  <c r="N18" i="2"/>
  <c r="M24" i="2"/>
  <c r="M37" i="2" s="1"/>
  <c r="M19" i="2"/>
  <c r="Q58" i="2"/>
  <c r="O26" i="2"/>
  <c r="G40" i="2"/>
  <c r="U40" i="2"/>
  <c r="I33" i="2" l="1"/>
  <c r="V33" i="2" s="1"/>
  <c r="V41" i="2" s="1"/>
  <c r="I56" i="2"/>
  <c r="M106" i="2"/>
  <c r="N106" i="2" s="1"/>
  <c r="O106" i="2" s="1"/>
  <c r="H32" i="2"/>
  <c r="H40" i="2"/>
  <c r="E9" i="6"/>
  <c r="E15" i="6" s="1"/>
  <c r="W22" i="2"/>
  <c r="M14" i="6"/>
  <c r="N13" i="6"/>
  <c r="J108" i="2"/>
  <c r="J56" i="2" s="1"/>
  <c r="I25" i="2"/>
  <c r="I28" i="2" s="1"/>
  <c r="V16" i="2"/>
  <c r="V25" i="2" s="1"/>
  <c r="N81" i="2"/>
  <c r="M89" i="2"/>
  <c r="L16" i="2"/>
  <c r="L25" i="2" s="1"/>
  <c r="L35" i="2"/>
  <c r="L36" i="2"/>
  <c r="K16" i="2"/>
  <c r="K25" i="2" s="1"/>
  <c r="K36" i="2"/>
  <c r="K35" i="2"/>
  <c r="J25" i="2"/>
  <c r="W24" i="2"/>
  <c r="W37" i="2" s="1"/>
  <c r="H62" i="2"/>
  <c r="H94" i="2"/>
  <c r="P87" i="2"/>
  <c r="L71" i="2"/>
  <c r="K57" i="2"/>
  <c r="H65" i="2"/>
  <c r="I72" i="2"/>
  <c r="N14" i="2"/>
  <c r="M14" i="2"/>
  <c r="R29" i="7" s="1"/>
  <c r="AD8" i="7" s="1"/>
  <c r="AD9" i="7" s="1"/>
  <c r="L105" i="2"/>
  <c r="K108" i="2"/>
  <c r="K56" i="2" s="1"/>
  <c r="O21" i="2"/>
  <c r="N22" i="2"/>
  <c r="O12" i="2"/>
  <c r="O14" i="2" s="1"/>
  <c r="W12" i="2"/>
  <c r="W14" i="2" s="1"/>
  <c r="W35" i="2" s="1"/>
  <c r="N19" i="2"/>
  <c r="N24" i="2"/>
  <c r="N37" i="2" s="1"/>
  <c r="O18" i="2"/>
  <c r="P26" i="2"/>
  <c r="I38" i="2" l="1"/>
  <c r="Q35" i="7" s="1"/>
  <c r="AE8" i="7"/>
  <c r="AE9" i="7" s="1"/>
  <c r="P106" i="2"/>
  <c r="Q106" i="2" s="1"/>
  <c r="I41" i="2"/>
  <c r="L17" i="2"/>
  <c r="J33" i="2"/>
  <c r="K33" i="2" s="1"/>
  <c r="K17" i="2"/>
  <c r="P12" i="2"/>
  <c r="P14" i="2" s="1"/>
  <c r="P35" i="2" s="1"/>
  <c r="O13" i="6"/>
  <c r="N14" i="6"/>
  <c r="I39" i="2"/>
  <c r="I32" i="2"/>
  <c r="V32" i="2" s="1"/>
  <c r="I30" i="2"/>
  <c r="V28" i="2"/>
  <c r="V38" i="2"/>
  <c r="P36" i="2"/>
  <c r="O81" i="2"/>
  <c r="N89" i="2"/>
  <c r="M16" i="2"/>
  <c r="W16" i="2" s="1"/>
  <c r="W25" i="2" s="1"/>
  <c r="M35" i="2"/>
  <c r="M36" i="2"/>
  <c r="J28" i="2"/>
  <c r="J38" i="2"/>
  <c r="R32" i="7" s="1"/>
  <c r="K28" i="2"/>
  <c r="K39" i="2" s="1"/>
  <c r="K38" i="2"/>
  <c r="R33" i="7" s="1"/>
  <c r="L28" i="2"/>
  <c r="L39" i="2" s="1"/>
  <c r="L38" i="2"/>
  <c r="R34" i="7" s="1"/>
  <c r="O16" i="2"/>
  <c r="O17" i="2" s="1"/>
  <c r="O36" i="2"/>
  <c r="O35" i="2"/>
  <c r="N16" i="2"/>
  <c r="N17" i="2" s="1"/>
  <c r="N36" i="2"/>
  <c r="N35" i="2"/>
  <c r="L30" i="2"/>
  <c r="H79" i="2"/>
  <c r="Q87" i="2"/>
  <c r="L57" i="2"/>
  <c r="M71" i="2"/>
  <c r="J72" i="2"/>
  <c r="I65" i="2"/>
  <c r="P21" i="2"/>
  <c r="O22" i="2"/>
  <c r="M105" i="2"/>
  <c r="W105" i="2" s="1"/>
  <c r="L108" i="2"/>
  <c r="L56" i="2" s="1"/>
  <c r="P18" i="2"/>
  <c r="O24" i="2"/>
  <c r="O19" i="2"/>
  <c r="Q26" i="2"/>
  <c r="P16" i="2" l="1"/>
  <c r="P17" i="2" s="1"/>
  <c r="J41" i="2"/>
  <c r="I40" i="2"/>
  <c r="F9" i="6"/>
  <c r="F15" i="6" s="1"/>
  <c r="I62" i="2"/>
  <c r="I79" i="2" s="1"/>
  <c r="K30" i="2"/>
  <c r="K40" i="2" s="1"/>
  <c r="Q12" i="2"/>
  <c r="Q14" i="2" s="1"/>
  <c r="Q35" i="2" s="1"/>
  <c r="I94" i="2"/>
  <c r="P13" i="6"/>
  <c r="P14" i="6" s="1"/>
  <c r="O14" i="6"/>
  <c r="V39" i="2"/>
  <c r="V30" i="2"/>
  <c r="V40" i="2" s="1"/>
  <c r="W28" i="2"/>
  <c r="W38" i="2"/>
  <c r="L33" i="2"/>
  <c r="K41" i="2"/>
  <c r="K32" i="2"/>
  <c r="P81" i="2"/>
  <c r="O89" i="2"/>
  <c r="N25" i="2"/>
  <c r="O25" i="2"/>
  <c r="O37" i="2"/>
  <c r="L61" i="2"/>
  <c r="M61" i="2" s="1"/>
  <c r="L40" i="2"/>
  <c r="J39" i="2"/>
  <c r="J30" i="2"/>
  <c r="J32" i="2"/>
  <c r="M25" i="2"/>
  <c r="M17" i="2"/>
  <c r="N71" i="2"/>
  <c r="M57" i="2"/>
  <c r="K72" i="2"/>
  <c r="J65" i="2"/>
  <c r="M108" i="2"/>
  <c r="M56" i="2" s="1"/>
  <c r="N105" i="2"/>
  <c r="Q18" i="2"/>
  <c r="X18" i="2" s="1"/>
  <c r="P19" i="2"/>
  <c r="P24" i="2"/>
  <c r="X26" i="2"/>
  <c r="Y26" i="2" s="1"/>
  <c r="Z26" i="2" s="1"/>
  <c r="AA26" i="2" s="1"/>
  <c r="AB26" i="2" s="1"/>
  <c r="AC26" i="2" s="1"/>
  <c r="AD26" i="2" s="1"/>
  <c r="AE26" i="2" s="1"/>
  <c r="AF26" i="2" s="1"/>
  <c r="AG26" i="2" s="1"/>
  <c r="Q21" i="2"/>
  <c r="P22" i="2"/>
  <c r="Q16" i="2" l="1"/>
  <c r="X16" i="2" s="1"/>
  <c r="X12" i="2"/>
  <c r="X14" i="2" s="1"/>
  <c r="X35" i="2" s="1"/>
  <c r="Q36" i="2"/>
  <c r="W39" i="2"/>
  <c r="W30" i="2"/>
  <c r="Q17" i="2"/>
  <c r="J40" i="2"/>
  <c r="J94" i="2"/>
  <c r="K94" i="2" s="1"/>
  <c r="L94" i="2" s="1"/>
  <c r="Q81" i="2"/>
  <c r="Q89" i="2" s="1"/>
  <c r="P89" i="2"/>
  <c r="Y12" i="2"/>
  <c r="J62" i="2"/>
  <c r="K62" i="2" s="1"/>
  <c r="W108" i="2"/>
  <c r="M28" i="2"/>
  <c r="M38" i="2"/>
  <c r="R35" i="7" s="1"/>
  <c r="O28" i="2"/>
  <c r="O38" i="2"/>
  <c r="P25" i="2"/>
  <c r="P37" i="2"/>
  <c r="N28" i="2"/>
  <c r="N38" i="2"/>
  <c r="M33" i="2"/>
  <c r="W33" i="2" s="1"/>
  <c r="L41" i="2"/>
  <c r="L32" i="2"/>
  <c r="N61" i="2"/>
  <c r="Y18" i="2"/>
  <c r="O71" i="2"/>
  <c r="N57" i="2"/>
  <c r="L72" i="2"/>
  <c r="K65" i="2"/>
  <c r="Q24" i="2"/>
  <c r="Q19" i="2"/>
  <c r="N108" i="2"/>
  <c r="O105" i="2"/>
  <c r="X21" i="2"/>
  <c r="X22" i="2" s="1"/>
  <c r="Q22" i="2"/>
  <c r="W41" i="2" l="1"/>
  <c r="W40" i="2"/>
  <c r="G9" i="6"/>
  <c r="G15" i="6" s="1"/>
  <c r="J79" i="2"/>
  <c r="Y14" i="2"/>
  <c r="Z12" i="2"/>
  <c r="O39" i="2"/>
  <c r="O30" i="2"/>
  <c r="O40" i="2" s="1"/>
  <c r="Q25" i="2"/>
  <c r="Q37" i="2"/>
  <c r="N39" i="2"/>
  <c r="N30" i="2"/>
  <c r="N40" i="2" s="1"/>
  <c r="P28" i="2"/>
  <c r="P38" i="2"/>
  <c r="N56" i="2"/>
  <c r="N33" i="2"/>
  <c r="M41" i="2"/>
  <c r="M39" i="2"/>
  <c r="M30" i="2"/>
  <c r="M32" i="2"/>
  <c r="W32" i="2" s="1"/>
  <c r="X24" i="2"/>
  <c r="L62" i="2"/>
  <c r="K79" i="2"/>
  <c r="Z18" i="2"/>
  <c r="Y24" i="2"/>
  <c r="O61" i="2"/>
  <c r="P71" i="2"/>
  <c r="O57" i="2"/>
  <c r="L65" i="2"/>
  <c r="M72" i="2"/>
  <c r="O108" i="2"/>
  <c r="O56" i="2" s="1"/>
  <c r="P105" i="2"/>
  <c r="Y37" i="2" l="1"/>
  <c r="X25" i="2"/>
  <c r="X37" i="2"/>
  <c r="Y16" i="2"/>
  <c r="Y25" i="2" s="1"/>
  <c r="Y35" i="2"/>
  <c r="O33" i="2"/>
  <c r="N41" i="2"/>
  <c r="P39" i="2"/>
  <c r="P30" i="2"/>
  <c r="P40" i="2" s="1"/>
  <c r="M40" i="2"/>
  <c r="M94" i="2"/>
  <c r="N94" i="2" s="1"/>
  <c r="O94" i="2" s="1"/>
  <c r="P94" i="2" s="1"/>
  <c r="N32" i="2"/>
  <c r="Q28" i="2"/>
  <c r="Q38" i="2"/>
  <c r="AA12" i="2"/>
  <c r="Z14" i="2"/>
  <c r="P61" i="2"/>
  <c r="AA18" i="2"/>
  <c r="Z24" i="2"/>
  <c r="M62" i="2"/>
  <c r="L79" i="2"/>
  <c r="Q71" i="2"/>
  <c r="Q57" i="2" s="1"/>
  <c r="P57" i="2"/>
  <c r="M65" i="2"/>
  <c r="N72" i="2"/>
  <c r="Q105" i="2"/>
  <c r="Q108" i="2" s="1"/>
  <c r="Q56" i="2" s="1"/>
  <c r="P108" i="2"/>
  <c r="Y38" i="2" l="1"/>
  <c r="Y28" i="2"/>
  <c r="Z37" i="2"/>
  <c r="X38" i="2"/>
  <c r="X28" i="2"/>
  <c r="Z16" i="2"/>
  <c r="Z25" i="2" s="1"/>
  <c r="Z35" i="2"/>
  <c r="P56" i="2"/>
  <c r="X108" i="2"/>
  <c r="AA14" i="2"/>
  <c r="AB12" i="2"/>
  <c r="Q39" i="2"/>
  <c r="Q30" i="2"/>
  <c r="P33" i="2"/>
  <c r="O41" i="2"/>
  <c r="O32" i="2"/>
  <c r="AA24" i="2"/>
  <c r="AA37" i="2" s="1"/>
  <c r="AB18" i="2"/>
  <c r="Q61" i="2"/>
  <c r="N62" i="2"/>
  <c r="M79" i="2"/>
  <c r="N65" i="2"/>
  <c r="O72" i="2"/>
  <c r="Z28" i="2" l="1"/>
  <c r="Z38" i="2"/>
  <c r="X39" i="2"/>
  <c r="X30" i="2"/>
  <c r="AA16" i="2"/>
  <c r="AA25" i="2" s="1"/>
  <c r="AA35" i="2"/>
  <c r="Y29" i="2"/>
  <c r="Y30" i="2" s="1"/>
  <c r="Y39" i="2"/>
  <c r="Q33" i="2"/>
  <c r="X33" i="2" s="1"/>
  <c r="X41" i="2" s="1"/>
  <c r="P41" i="2"/>
  <c r="P32" i="2"/>
  <c r="Q94" i="2"/>
  <c r="Q40" i="2"/>
  <c r="AC12" i="2"/>
  <c r="AB14" i="2"/>
  <c r="AB24" i="2"/>
  <c r="AB37" i="2" s="1"/>
  <c r="AC18" i="2"/>
  <c r="O62" i="2"/>
  <c r="N79" i="2"/>
  <c r="O65" i="2"/>
  <c r="P72" i="2"/>
  <c r="Y40" i="2" l="1"/>
  <c r="I9" i="6"/>
  <c r="I15" i="6" s="1"/>
  <c r="X40" i="2"/>
  <c r="H9" i="6"/>
  <c r="H15" i="6" s="1"/>
  <c r="AA28" i="2"/>
  <c r="AA38" i="2"/>
  <c r="AB16" i="2"/>
  <c r="AB25" i="2" s="1"/>
  <c r="AB35" i="2"/>
  <c r="Z39" i="2"/>
  <c r="Z29" i="2"/>
  <c r="Z30" i="2" s="1"/>
  <c r="AC14" i="2"/>
  <c r="AD12" i="2"/>
  <c r="Q41" i="2"/>
  <c r="Q32" i="2"/>
  <c r="X32" i="2" s="1"/>
  <c r="P62" i="2"/>
  <c r="O79" i="2"/>
  <c r="AC24" i="2"/>
  <c r="AD18" i="2"/>
  <c r="P65" i="2"/>
  <c r="Q72" i="2"/>
  <c r="Q65" i="2" s="1"/>
  <c r="H95" i="2"/>
  <c r="H96" i="2" s="1"/>
  <c r="H97" i="2" s="1"/>
  <c r="I95" i="2"/>
  <c r="I96" i="2" s="1"/>
  <c r="I97" i="2" s="1"/>
  <c r="Z40" i="2" l="1"/>
  <c r="J9" i="6"/>
  <c r="J15" i="6" s="1"/>
  <c r="AB28" i="2"/>
  <c r="AB38" i="2"/>
  <c r="AC16" i="2"/>
  <c r="AC35" i="2"/>
  <c r="AC25" i="2"/>
  <c r="AC37" i="2"/>
  <c r="AA29" i="2"/>
  <c r="AA30" i="2" s="1"/>
  <c r="AA39" i="2"/>
  <c r="AD14" i="2"/>
  <c r="AE12" i="2"/>
  <c r="AD24" i="2"/>
  <c r="AE18" i="2"/>
  <c r="Q62" i="2"/>
  <c r="Q79" i="2" s="1"/>
  <c r="P79" i="2"/>
  <c r="J95" i="2"/>
  <c r="J96" i="2" s="1"/>
  <c r="J97" i="2" s="1"/>
  <c r="AA40" i="2" l="1"/>
  <c r="K9" i="6"/>
  <c r="K15" i="6" s="1"/>
  <c r="AD37" i="2"/>
  <c r="AC28" i="2"/>
  <c r="AC38" i="2"/>
  <c r="AD16" i="2"/>
  <c r="AD25" i="2" s="1"/>
  <c r="AD35" i="2"/>
  <c r="AB29" i="2"/>
  <c r="AB30" i="2" s="1"/>
  <c r="AB39" i="2"/>
  <c r="AF12" i="2"/>
  <c r="AE14" i="2"/>
  <c r="AE24" i="2"/>
  <c r="AE37" i="2" s="1"/>
  <c r="AF18" i="2"/>
  <c r="K95" i="2"/>
  <c r="K96" i="2" s="1"/>
  <c r="K97" i="2" s="1"/>
  <c r="AB40" i="2" l="1"/>
  <c r="L9" i="6"/>
  <c r="L15" i="6" s="1"/>
  <c r="AD28" i="2"/>
  <c r="AD38" i="2"/>
  <c r="AC29" i="2"/>
  <c r="AC30" i="2" s="1"/>
  <c r="AC39" i="2"/>
  <c r="AE16" i="2"/>
  <c r="AE25" i="2" s="1"/>
  <c r="AE35" i="2"/>
  <c r="AG12" i="2"/>
  <c r="AG14" i="2" s="1"/>
  <c r="AF14" i="2"/>
  <c r="AG18" i="2"/>
  <c r="AG24" i="2" s="1"/>
  <c r="AF24" i="2"/>
  <c r="L95" i="2"/>
  <c r="L96" i="2" s="1"/>
  <c r="L97" i="2" s="1"/>
  <c r="AC40" i="2" l="1"/>
  <c r="M9" i="6"/>
  <c r="M15" i="6" s="1"/>
  <c r="AG16" i="2"/>
  <c r="AG25" i="2" s="1"/>
  <c r="AG35" i="2"/>
  <c r="AE28" i="2"/>
  <c r="AE38" i="2"/>
  <c r="AF37" i="2"/>
  <c r="AG37" i="2"/>
  <c r="AF16" i="2"/>
  <c r="AF25" i="2" s="1"/>
  <c r="AF35" i="2"/>
  <c r="AD29" i="2"/>
  <c r="AD30" i="2" s="1"/>
  <c r="AD39" i="2"/>
  <c r="M95" i="2"/>
  <c r="M96" i="2" s="1"/>
  <c r="M97" i="2" s="1"/>
  <c r="AD40" i="2" l="1"/>
  <c r="N9" i="6"/>
  <c r="N15" i="6" s="1"/>
  <c r="AG28" i="2"/>
  <c r="AG38" i="2"/>
  <c r="AF28" i="2"/>
  <c r="AF38" i="2"/>
  <c r="AE39" i="2"/>
  <c r="AE29" i="2"/>
  <c r="AE30" i="2" s="1"/>
  <c r="N95" i="2"/>
  <c r="N96" i="2" s="1"/>
  <c r="N97" i="2" s="1"/>
  <c r="AE40" i="2" l="1"/>
  <c r="O9" i="6"/>
  <c r="O15" i="6" s="1"/>
  <c r="AF39" i="2"/>
  <c r="AF29" i="2"/>
  <c r="AF30" i="2" s="1"/>
  <c r="AG39" i="2"/>
  <c r="AG29" i="2"/>
  <c r="AG30" i="2" s="1"/>
  <c r="AG40" i="2" s="1"/>
  <c r="O95" i="2"/>
  <c r="O96" i="2" s="1"/>
  <c r="O97" i="2" s="1"/>
  <c r="AF40" i="2" l="1"/>
  <c r="P9" i="6"/>
  <c r="P15" i="6" s="1"/>
  <c r="E31" i="6" s="1"/>
  <c r="Q95" i="2"/>
  <c r="Q96" i="2" s="1"/>
  <c r="Q97" i="2" s="1"/>
  <c r="P95" i="2"/>
  <c r="P96" i="2" s="1"/>
  <c r="P97" i="2" s="1"/>
  <c r="X105" i="2"/>
  <c r="Y105" i="2" s="1"/>
  <c r="Y108" i="2" l="1"/>
  <c r="Y33" i="2" s="1"/>
  <c r="Z105" i="2"/>
  <c r="Y41" i="2" l="1"/>
  <c r="E20" i="6"/>
  <c r="Y32" i="2"/>
  <c r="AA105" i="2"/>
  <c r="Z108" i="2"/>
  <c r="Z33" i="2" s="1"/>
  <c r="Z41" i="2" s="1"/>
  <c r="E21" i="6" l="1"/>
  <c r="E24" i="6" s="1"/>
  <c r="E33" i="6"/>
  <c r="Z32" i="2"/>
  <c r="AA108" i="2"/>
  <c r="AA33" i="2" s="1"/>
  <c r="AA41" i="2" s="1"/>
  <c r="AB105" i="2"/>
  <c r="AA32" i="2" l="1"/>
  <c r="AB108" i="2"/>
  <c r="AB33" i="2" s="1"/>
  <c r="AB41" i="2" s="1"/>
  <c r="AC105" i="2"/>
  <c r="AB32" i="2" l="1"/>
  <c r="AC108" i="2"/>
  <c r="AC33" i="2" s="1"/>
  <c r="AC41" i="2" s="1"/>
  <c r="AD105" i="2"/>
  <c r="AC32" i="2" l="1"/>
  <c r="AD108" i="2"/>
  <c r="AD33" i="2" s="1"/>
  <c r="AD41" i="2" s="1"/>
  <c r="AE105" i="2"/>
  <c r="AE108" i="2" l="1"/>
  <c r="AF105" i="2"/>
  <c r="AE33" i="2"/>
  <c r="AE41" i="2" s="1"/>
  <c r="AD32" i="2"/>
  <c r="AE32" i="2" l="1"/>
  <c r="AF108" i="2"/>
  <c r="AF33" i="2" s="1"/>
  <c r="AF41" i="2" s="1"/>
  <c r="AG105" i="2"/>
  <c r="AG108" i="2" s="1"/>
  <c r="AG33" i="2" l="1"/>
  <c r="AF32" i="2"/>
  <c r="AG32" i="2" l="1"/>
  <c r="AG4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tc={95996398-ED27-3942-9BA2-F90C6E72667D}</author>
    <author>tc={A497EABB-77E5-2143-B0C9-FE19FC09E647}</author>
    <author>tc={FA57E22D-CCD7-064F-92E7-8FAAEB42B753}</author>
    <author>tc={4C095089-9E57-AB42-8CB5-7EE6370F5217}</author>
    <author>tc={8133B208-16CD-1340-A03C-C031425303FB}</author>
  </authors>
  <commentList>
    <comment ref="L20" authorId="0" shapeId="0" xr:uid="{95996398-ED27-3942-9BA2-F90C6E72667D}">
      <text>
        <t>[Threaded comment]
Your version of Excel allows you to read this threaded comment; however, any edits to it will get removed if the file is opened in a newer version of Excel. Learn more: https://go.microsoft.com/fwlink/?linkid=870924
Comment:
    Calendar 2028-2029 Target for market</t>
      </text>
    </comment>
    <comment ref="J26" authorId="1" shapeId="0" xr:uid="{A497EABB-77E5-2143-B0C9-FE19FC09E647}">
      <text>
        <t>[Threaded comment]
Your version of Excel allows you to read this threaded comment; however, any edits to it will get removed if the file is opened in a newer version of Excel. Learn more: https://go.microsoft.com/fwlink/?linkid=870924
Comment:
    ClinicalTrials.gov 
March 31, 2023 Estimated Primary Completion Date 
January 2024 Estimated Study Completion Date</t>
      </text>
    </comment>
    <comment ref="L26" authorId="2" shapeId="0" xr:uid="{FA57E22D-CCD7-064F-92E7-8FAAEB42B753}">
      <text>
        <t>[Threaded comment]
Your version of Excel allows you to read this threaded comment; however, any edits to it will get removed if the file is opened in a newer version of Excel. Learn more: https://go.microsoft.com/fwlink/?linkid=870924
Comment:
    FDA 3 Approval EOY 2026 Target</t>
      </text>
    </comment>
    <comment ref="H27" authorId="3" shapeId="0" xr:uid="{4C095089-9E57-AB42-8CB5-7EE6370F5217}">
      <text>
        <t>[Threaded comment]
Your version of Excel allows you to read this threaded comment; however, any edits to it will get removed if the file is opened in a newer version of Excel. Learn more: https://go.microsoft.com/fwlink/?linkid=870924
Comment:
    Phase 1b trial commenced April 2021. Estimated primary completion and study completion for April 2024</t>
      </text>
    </comment>
    <comment ref="L27" authorId="4" shapeId="0" xr:uid="{8133B208-16CD-1340-A03C-C031425303FB}">
      <text>
        <t xml:space="preserve">[Threaded comment]
Your version of Excel allows you to read this threaded comment; however, any edits to it will get removed if the file is opened in a newer version of Excel. Learn more: https://go.microsoft.com/fwlink/?linkid=870924
Comment:
    Come to market target for 2027-2028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tc={C2CE96D6-CD42-6E41-A487-E0248BB238C0}</author>
    <author>tc={57762145-B958-6E4C-91EC-E8A051C1EB86}</author>
    <author>tc={B6D4C177-34B1-DF40-84EB-7EC1B76DA6F3}</author>
  </authors>
  <commentList>
    <comment ref="A9" authorId="0" shapeId="0" xr:uid="{C2CE96D6-CD42-6E41-A487-E0248BB238C0}">
      <text>
        <t>[Threaded comment]
Your version of Excel allows you to read this threaded comment; however, any edits to it will get removed if the file is opened in a newer version of Excel. Learn more: https://go.microsoft.com/fwlink/?linkid=870924
Comment:
    Sanofi Agreement for RMC-4630 commercialization. $50m upfront payment to RVMD. Sanofi agrees to cover all development costs and certain research costs for joint SHP2 program in return for exclusive worldwide license for any approved products targeting SHP2. 50/50 Profit and loss share for US sales. High single digit to mid-teen percentage royalty on sales in other markets.</t>
      </text>
    </comment>
    <comment ref="Z9" authorId="1" shapeId="0" xr:uid="{57762145-B958-6E4C-91EC-E8A051C1EB86}">
      <text>
        <t>[Threaded comment]
Your version of Excel allows you to read this threaded comment; however, any edits to it will get removed if the file is opened in a newer version of Excel. Learn more: https://go.microsoft.com/fwlink/?linkid=870924
Comment:
    Possible Rollout
Currently Undergoing Phase 2</t>
      </text>
    </comment>
    <comment ref="U12" authorId="2" shapeId="0" xr:uid="{B6D4C177-34B1-DF40-84EB-7EC1B76DA6F3}">
      <text>
        <t>[Threaded comment]
Your version of Excel allows you to read this threaded comment; however, any edits to it will get removed if the file is opened in a newer version of Excel. Learn more: https://go.microsoft.com/fwlink/?linkid=870924
Comment:
    $88,5m reduction in revenue based on Letter Agreement develop adjustments with Sanofi in Aug ’21.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tc={A30EEF7B-0F8D-084D-B361-47C131198D72}</author>
  </authors>
  <commentList>
    <comment ref="J11" authorId="0" shapeId="0" xr:uid="{A30EEF7B-0F8D-084D-B361-47C131198D72}">
      <text>
        <t>[Threaded comment]
Your version of Excel allows you to read this threaded comment; however, any edits to it will get removed if the file is opened in a newer version of Excel. Learn more: https://go.microsoft.com/fwlink/?linkid=870924
Comment:
    Annual LC Cases 
4% Treatment Rate for NSCLC with KRASG12C Mutations
Average Monthly Treatment Cost
50/50 Profit Share with Sanoi
6 Month Average Treatment Duration (36-month Average Lifespan)
40% Phase 2 Risk Discount
10% Phase 3 Risk Discount</t>
      </text>
    </comment>
  </commentList>
</comments>
</file>

<file path=xl/sharedStrings.xml><?xml version="1.0" encoding="utf-8"?>
<sst xmlns="http://schemas.openxmlformats.org/spreadsheetml/2006/main" count="289" uniqueCount="243">
  <si>
    <t xml:space="preserve">Revolution Medicines, Inc. </t>
  </si>
  <si>
    <t>RAS(ON) Inhibitors</t>
  </si>
  <si>
    <t>RMC-6236</t>
  </si>
  <si>
    <t>RMC-6291</t>
  </si>
  <si>
    <t>RMC-9805</t>
  </si>
  <si>
    <t>RMC-8839</t>
  </si>
  <si>
    <t>Pipeline</t>
  </si>
  <si>
    <t>RAS Companion Inhibitors</t>
  </si>
  <si>
    <t>RASmulti</t>
  </si>
  <si>
    <t>GRASG13C</t>
  </si>
  <si>
    <t>KRASG12D</t>
  </si>
  <si>
    <t>KRASG12C</t>
  </si>
  <si>
    <t>These RAS proteins, which cycle between the inactive RAS(OFF) form and the active RAS(ON) form, engage and activate downstream molecules that play crucial roles in cell regulation. Mutant forms of RAS that bias the proteins to the RAS(ON) state, and thereby make them significantly more active than normal, can cause cancers such as lung and colon cancer.
A broad range of oncogenic RAS mutations cause human cancers. These span three different RAS isoforms (KRAS, NRAS and HRAS), with nearly 20 different oncogenic driver mutations present within each isoform. However, despite this far-reaching impact, the development of targeted therapies for RAS-driven cancers has proven extremely challenging. Several of these proteins possess particular structural properties, such as flat surfaces and a lack of typical binding pockets, that make them hard to target pharmacologically.
We are addressing the challenges of drugging RAS mutants by leveraging our proprietary tri-complex technology platform. This approach is inspired by a biological phenomenon observed in nature and exemplified by rapamycin or cyclosporine. Our inhibitors drive formation of tri-complexes that exploit the surfaces of two adjacent proteins, a chaperone protein and the target protein, to form a new ligand-binding pocket. The chaperone protein in the tri-complex helps to form the ligand-binding site for the small molecule inhibitor.</t>
  </si>
  <si>
    <t>RMC-4630</t>
  </si>
  <si>
    <t>RMC-5552</t>
  </si>
  <si>
    <t>RMC-5845</t>
  </si>
  <si>
    <t>SOS1</t>
  </si>
  <si>
    <t>mTORC1</t>
  </si>
  <si>
    <t>SHP2</t>
  </si>
  <si>
    <t>Preclinical</t>
  </si>
  <si>
    <t>Ind-enabling</t>
  </si>
  <si>
    <t>Phase 1</t>
  </si>
  <si>
    <t>Phase2</t>
  </si>
  <si>
    <t>Phase 3</t>
  </si>
  <si>
    <t>G12R,G12V, G13D, Q61X, other</t>
  </si>
  <si>
    <t>Collaboration Revenue</t>
  </si>
  <si>
    <t>FY20</t>
  </si>
  <si>
    <t>FY21</t>
  </si>
  <si>
    <t>Research &amp; Development</t>
  </si>
  <si>
    <t>General &amp; Administrative</t>
  </si>
  <si>
    <t>Interest Income</t>
  </si>
  <si>
    <t>Interest Expense</t>
  </si>
  <si>
    <t>Tax</t>
  </si>
  <si>
    <t>FY19</t>
  </si>
  <si>
    <t>Cash</t>
  </si>
  <si>
    <t>AR</t>
  </si>
  <si>
    <t>Prepaids</t>
  </si>
  <si>
    <t>Net PPE</t>
  </si>
  <si>
    <t>Lease</t>
  </si>
  <si>
    <t>Intangibles</t>
  </si>
  <si>
    <t>Goodwill</t>
  </si>
  <si>
    <t>Restricted</t>
  </si>
  <si>
    <t>Other</t>
  </si>
  <si>
    <t>MS</t>
  </si>
  <si>
    <t>Total Assets</t>
  </si>
  <si>
    <t>AP</t>
  </si>
  <si>
    <t>AE &amp; Other</t>
  </si>
  <si>
    <t>Other DR</t>
  </si>
  <si>
    <t>Current DR</t>
  </si>
  <si>
    <t>Deferred Tax Liability</t>
  </si>
  <si>
    <t>Total Liabilities</t>
  </si>
  <si>
    <t>Common</t>
  </si>
  <si>
    <t>APIC</t>
  </si>
  <si>
    <t>AOCI</t>
  </si>
  <si>
    <t>AD</t>
  </si>
  <si>
    <t>Total SE</t>
  </si>
  <si>
    <t>SE + L</t>
  </si>
  <si>
    <t>Check</t>
  </si>
  <si>
    <t xml:space="preserve">This document, and the information contained herein, have been provided to you by WhiteSky Capital Research LLC and its affiliates (“WhiteSky”) solely for informational purposes. This document may not be reproduced or redistributed in whole or in part, in any format, without the express written approval of WhiteSky. Neither the information, nor any opinion contained in this document, constitutes an offer to buy or sell, or a solicitation of an offer to buy or sell, any advisory services, securities, futures, options, or other financial instruments or to participate in any advisory services or trading strategy. Nothing contained in this document constitutes investment, legal or tax advice. You should make your own investigations and evaluations of the information herein. Any decisions based on information contained in this document are the sole responsibility of the reader. Certain statements in this document reflect WhiteSky’s views, estimates, opinions or predictions (which may be based on proprietary models and assumptions, including, in particular, WhiteSky’s views on the current and future market for certain assets), and there is no guarantee that these views, estimates, opinions or predictions are currently accurate or that they will be ultimately realized. To the extent, these assumptions or models are not correct or circumstances change, the actual performance may vary substantially from, and be less than, the estimates included herein. None of WhiteSky nor any of its affiliates, shareholders, partners, members, directors, officers, management, employees, or representatives makes any representation or warranty, express or implied, as to the accuracy or completeness of any of the information or any other information (whether communicated in written or oral form) transmitted or made available to you. Each of the aforementioned parties expressly disclaims any and all liability relating to or resulting from the use of this information. Certain information contained herein (including financial information) has been obtained from published and non-published sources. Such information has not been independently verified by WhiteSky Capital Management and, WhiteSky does not assume responsibility for the accuracy of such information. Affiliates of WhiteSky Research may have owned or may own investments in some of the digital assets and protocols discussed in this document. Except where otherwise indicated, the information in this document is based on matters as they exist as of the date of preparation and not as of any future date, and will not be updated or otherwise revised to reflect information that subsequently becomes available, or circumstances existing or changes occurring after the date hereof. The foregoing does not constitute a "research report" as defined by FINRA Rule 2241 or a "debt research report" as defined by FINRA Rule 2242 and was not prepared by White Sky Capital Management LLC. For all inquiries, please email research@whiteskycapital.com. ©Copyright WhiteSky Research LLC 2022. All rights reserved. </t>
  </si>
  <si>
    <t>RMC-6236, our RASMULTI(ON) inhibitor development candidate, is in the IND-enabling stage of preclinical development. RMC-6236 is designed as a first-in-class, potent, oral, RAS-selective tri-complex inhibitor of multiple RAS(ON) variants including cancer drivers at all three of the major hotspot positions, G12, G13, and Q61. RMC-6236 inhibits all canonical RAS family members, suppressing the mutant cancer driver and cooperating wild-type RAS proteins.</t>
  </si>
  <si>
    <r>
      <t xml:space="preserve">In a series of </t>
    </r>
    <r>
      <rPr>
        <i/>
        <sz val="10"/>
        <color rgb="FF000000"/>
        <rFont val="Helvetica Light"/>
      </rPr>
      <t>in vivo</t>
    </r>
    <r>
      <rPr>
        <sz val="10"/>
        <color rgb="FF000000"/>
        <rFont val="Helvetica Light"/>
      </rPr>
      <t xml:space="preserve"> tumor xenograft studies, RMC-6236 was highly active against lung, pancreatic and colorectal cancers bearing KRASG12X driver mutations (KRASG12D, KRASG12V, KRASG12R or KRASG12C; Figure 2). Across cancer types, RMC-6236 drove deep tumor regressions, including complete responses, and established preclinical response rates supporting advancement into clinical development.</t>
    </r>
  </si>
  <si>
    <t>RMC-6291 is designed as a first-in-class, potent, oral and selective tri-complex inhibitor of KRASG12C(ON). It is designed to exhibit subnanomolar potency for suppressing RAS pathway signaling and growth of KRASG12C-bearing cancer cells and is engineered to be highly selective for KRASG12C over wild type RAS and other cellular targets. RMC-6291 is designed to be differentiated from first-generation KRASG12C(OFF) inhibitors, which sequester the KRASG12C(OFF) form, by its potential mechanism of directly inhibiting the KRASG12C(ON) form. We believe direct inhibition of the ON form offers important biological advantages, including more rapid termination of RAS signaling and more robust inhibition in the face of known resistance mechanisms.</t>
  </si>
  <si>
    <r>
      <t xml:space="preserve">While KRASG12C(OFF) inhibitors have validated the target and changed the treatment landscape for patients with cancers bearing KRASG12C, significant unmet medical need remains. In NSCLC, KRASG12C(OFF) inhibitor single agent response rates are less than 50%, and the vast majority of patients are expected to progress on therapy within a year. We believe RMC-6291 has the potential to improve on the KRASG12C(OFF) inhibitor class. In a series of </t>
    </r>
    <r>
      <rPr>
        <i/>
        <sz val="10"/>
        <color rgb="FF000000"/>
        <rFont val="Helvetica Light"/>
      </rPr>
      <t>in vivo</t>
    </r>
    <r>
      <rPr>
        <sz val="10"/>
        <color rgb="FF000000"/>
        <rFont val="Helvetica Light"/>
      </rPr>
      <t xml:space="preserve"> tumor xenograft studies, RMC-6291 outperformed adagrasib, a representative KRASG12C(OFF) inhibitor, across 25 models of KRASG12C NSCLC (Figure 3). Within this set of experiments, we observed examples of RMC-6291 driving increased rate, depth and/or duration of response (Figure 4).</t>
    </r>
  </si>
  <si>
    <t>RMC-9805 is designed as a first-in-class, potent, oral and selective tri-complex inhibitor of KRASG12D(ON). It is designed to exhibit low nanomolar potency for suppressing RAS pathway signaling and growth of KRASG12D-bearing cancer cells and is engineered to covalently inactivate KRASG12D for irreversible inhibition. To our knowledge, RMC-9805 is the first ever drug candidate that covalently modified an aspartic acid residue in preclinical studies.</t>
  </si>
  <si>
    <t xml:space="preserve">RMC-8839 is designed as a first-in-class, potent, oral and selective tri-complex inhibitor of KRASG13C(ON). It is designed to exhibit picomolar potency for suppressing RAS pathway signaling and growth of KRASG13C-bearing cancer cells and is engineered to covalently inactivate KRASG13C for irreversible inhibition. </t>
  </si>
  <si>
    <t>FY22</t>
  </si>
  <si>
    <t>CFFO</t>
  </si>
  <si>
    <t>CFFI</t>
  </si>
  <si>
    <t>CFFF</t>
  </si>
  <si>
    <t>Net Cash</t>
  </si>
  <si>
    <t>Cash Beginning</t>
  </si>
  <si>
    <t>Cash End</t>
  </si>
  <si>
    <t>Laboratory Equipment</t>
  </si>
  <si>
    <t>Leasehold Improvements</t>
  </si>
  <si>
    <t>Computer Equipment &amp; Software</t>
  </si>
  <si>
    <t>Furniture and fixtures</t>
  </si>
  <si>
    <t>Construction</t>
  </si>
  <si>
    <t>Accumulated DA</t>
  </si>
  <si>
    <t>Total PPE</t>
  </si>
  <si>
    <t>SBC</t>
  </si>
  <si>
    <t>DA</t>
  </si>
  <si>
    <t>FCF</t>
  </si>
  <si>
    <t>Purchase of PPE</t>
  </si>
  <si>
    <t>Options to Purchase Common Stock</t>
  </si>
  <si>
    <t>Options Early Exercise Subject to Future Vesting</t>
  </si>
  <si>
    <t>Unvested RSU's</t>
  </si>
  <si>
    <t>Total Dilutive Shares</t>
  </si>
  <si>
    <t>ESPP</t>
  </si>
  <si>
    <t>EPS</t>
  </si>
  <si>
    <t>Shares</t>
  </si>
  <si>
    <t xml:space="preserve">
Historically, direct inhibition of any RAS protein has been challenging due to a lack of tractable, or “druggable,” binding pockets and we are not aware of any programs in clinical development that have successfully targeted any RAS(ON) protein. Given this approach is unproven, it may not be successful. </t>
  </si>
  <si>
    <t>RMC-4630 Phase 1b Study in combination with Amgen's KRAS (OFF) agent Sotorasib in CodeBreaK study.</t>
  </si>
  <si>
    <t>1Q22</t>
  </si>
  <si>
    <t>2Q22</t>
  </si>
  <si>
    <t>1Q21</t>
  </si>
  <si>
    <t>2Q21</t>
  </si>
  <si>
    <t>Redeemable Convertible Preferred</t>
  </si>
  <si>
    <t>3Q21</t>
  </si>
  <si>
    <t>4Q21</t>
  </si>
  <si>
    <t>Change</t>
  </si>
  <si>
    <t>3Q23</t>
  </si>
  <si>
    <t>3Q22</t>
  </si>
  <si>
    <t>4Q22</t>
  </si>
  <si>
    <t>1Q24</t>
  </si>
  <si>
    <t>1Q23</t>
  </si>
  <si>
    <t>2Q23</t>
  </si>
  <si>
    <t>4Q23</t>
  </si>
  <si>
    <t>2Q24</t>
  </si>
  <si>
    <t>3Q24</t>
  </si>
  <si>
    <t>4Q24</t>
  </si>
  <si>
    <t>FY23</t>
  </si>
  <si>
    <t>FY24</t>
  </si>
  <si>
    <t>FY25</t>
  </si>
  <si>
    <t>FY26</t>
  </si>
  <si>
    <t>FY27</t>
  </si>
  <si>
    <t>FY28</t>
  </si>
  <si>
    <t>FY29</t>
  </si>
  <si>
    <t>FY30</t>
  </si>
  <si>
    <t>Pipeline Expansion</t>
  </si>
  <si>
    <t>Catalysts</t>
  </si>
  <si>
    <t>RMC-4630 and Cotellic RMC-4630-02</t>
  </si>
  <si>
    <t>RMC-4630 and Sotorasib (AMG-510)</t>
  </si>
  <si>
    <t xml:space="preserve">https://clinicaltrials.gov/ct2/show/NCT03989115 </t>
  </si>
  <si>
    <t>EOY</t>
  </si>
  <si>
    <t>This open-label, phase 1b/2 dose-escalation and dose-expansion study is designed to evaluate the safety and maximum tolerated dose (MTD) and recommended phase 2 dose (RP2D) of RMC-4630 in combination with cobimetinib in participants with relapsed/refractory solid tumors; and of RMC-4630 in combination with osimertinib in adult participants with EGFR mutation-positive locally advanced or metastatic NSCLC.</t>
  </si>
  <si>
    <t xml:space="preserve">https://clinicaltrials.gov/ct2/show/NCT05054725 </t>
  </si>
  <si>
    <t>This is a phase 2 multicenter, open-label study evaluating the efficacy, safety, tolerability, and pharmacokinetics (PK) of RMC-4630 in combination with sotorasib in subjects with KRASG12C mutant NSCLC after failure of prior standard therapies.</t>
  </si>
  <si>
    <t>Announcment Date</t>
  </si>
  <si>
    <t>Stage</t>
  </si>
  <si>
    <t>Phase 1/2</t>
  </si>
  <si>
    <t>Phase1b</t>
  </si>
  <si>
    <t>Summary</t>
  </si>
  <si>
    <t>Additionally, data from Amgen’s CodeBreaK 101c study presented at the International Association for the Study of Lung Cancer (IASLC) demonstrated the combination of RMC-4630 and sotorasib is safe and tolerable and provided encouraging initial evidence of promising and durable clinical activity in patients with non-small cell lung cancer (NSCLC) bearing a KRASG12C mutation</t>
  </si>
  <si>
    <t>Revenue Y/Y</t>
  </si>
  <si>
    <t>Total Revenue</t>
  </si>
  <si>
    <t>Cost of Goods Sold</t>
  </si>
  <si>
    <t>Gross Margin</t>
  </si>
  <si>
    <t>Total Operating Expense</t>
  </si>
  <si>
    <t>EBIT</t>
  </si>
  <si>
    <t>EBT</t>
  </si>
  <si>
    <t>Gross Income</t>
  </si>
  <si>
    <t>Net Income</t>
  </si>
  <si>
    <t>Revenue Q/Q</t>
  </si>
  <si>
    <t>Operating Expense Y/Y</t>
  </si>
  <si>
    <t>EBIT Y/Y</t>
  </si>
  <si>
    <t>EBT Y/Y</t>
  </si>
  <si>
    <t>Net Income Y/Y</t>
  </si>
  <si>
    <t>Shares Y/Y</t>
  </si>
  <si>
    <t xml:space="preserve">https://www.nature.com/articles/d41573-019-00074-z </t>
  </si>
  <si>
    <t xml:space="preserve">https://ir.revmed.com/news-releases/news-release-details/revolution-medicines-reports-second-quarter-2022-financial </t>
  </si>
  <si>
    <t xml:space="preserve">https://ir.revmed.com/news-releases/news-release-details/revolution-medicines-reports-first-quarter-2022-financial </t>
  </si>
  <si>
    <t xml:space="preserve">https://www.activemotif.com/blog-undruggable-ras </t>
  </si>
  <si>
    <t xml:space="preserve">https://www.nature.com/articles/s41573-020-0068-6 </t>
  </si>
  <si>
    <t>RMC-6291 site activatiion underway for Phase1/1b trial. Will begin dosing patients with tumors harboring KRASG12C</t>
  </si>
  <si>
    <t>RMC-9805 beginning clinical evaluation in mid-2023. First oral inhibitor of KRAS12D, the most common RAS variant causing cancers, particularly pancreatic, colorectal, and lung cancers.</t>
  </si>
  <si>
    <t>Continued enrollment of patients for Phase 2 study of this combination, RMC-4630-03 in patients with KRASG12C NSCLC</t>
  </si>
  <si>
    <t>Revolution Medicines Inc.</t>
  </si>
  <si>
    <r>
      <rPr>
        <sz val="24"/>
        <color theme="1"/>
        <rFont val="Libre Baskerville"/>
      </rPr>
      <t xml:space="preserve">WhiteSky | </t>
    </r>
    <r>
      <rPr>
        <sz val="24"/>
        <color theme="1"/>
        <rFont val="Avenir Light"/>
        <family val="2"/>
      </rPr>
      <t>RESEARCH</t>
    </r>
  </si>
  <si>
    <t>NASDAQGM: (SPPI)</t>
  </si>
  <si>
    <t>US: Pharmaceutical</t>
  </si>
  <si>
    <t>Main</t>
  </si>
  <si>
    <t>Model</t>
  </si>
  <si>
    <t>rNPV &amp; DCF Valuation</t>
  </si>
  <si>
    <t>Legal Disclosure</t>
  </si>
  <si>
    <t>Contact</t>
  </si>
  <si>
    <t>research@whiteskycapital.com</t>
  </si>
  <si>
    <t>NASDAQGM: (RVMD)</t>
  </si>
  <si>
    <r>
      <t xml:space="preserve">WhiteSky | </t>
    </r>
    <r>
      <rPr>
        <sz val="12"/>
        <color theme="1"/>
        <rFont val="Avenir Light"/>
        <family val="2"/>
      </rPr>
      <t>RESEARCH</t>
    </r>
  </si>
  <si>
    <t>Sanofi</t>
  </si>
  <si>
    <t>`</t>
  </si>
  <si>
    <t>Revenue Build</t>
  </si>
  <si>
    <t>WhiteSky | RESEARCH</t>
  </si>
  <si>
    <t>ClinicalTrials.gov Link</t>
  </si>
  <si>
    <t>RAS (ON) Inhibitors</t>
  </si>
  <si>
    <t>WAL</t>
  </si>
  <si>
    <t>Growth Y/Y</t>
  </si>
  <si>
    <t>Growth Q/Q</t>
  </si>
  <si>
    <t>$ in Thousands</t>
  </si>
  <si>
    <t>New Issuance</t>
  </si>
  <si>
    <t>Earnings</t>
  </si>
  <si>
    <t>Debt</t>
  </si>
  <si>
    <t>Last</t>
  </si>
  <si>
    <t>EV</t>
  </si>
  <si>
    <t>Diluted Shares</t>
  </si>
  <si>
    <t>Effective MC</t>
  </si>
  <si>
    <t>FY31</t>
  </si>
  <si>
    <t>FY32</t>
  </si>
  <si>
    <t>Period</t>
  </si>
  <si>
    <t>Discount</t>
  </si>
  <si>
    <t>ERP</t>
  </si>
  <si>
    <t>^TNX</t>
  </si>
  <si>
    <t>NPV</t>
  </si>
  <si>
    <t>RMC Revenues</t>
  </si>
  <si>
    <t>Terminal Growth Rate</t>
  </si>
  <si>
    <t>Stock Data</t>
  </si>
  <si>
    <t>$ in Thousands Except Per Share Data</t>
  </si>
  <si>
    <t>FY21A</t>
  </si>
  <si>
    <t>1Q22A</t>
  </si>
  <si>
    <t>2Q22A</t>
  </si>
  <si>
    <t>3Q22E</t>
  </si>
  <si>
    <t>4Q22E</t>
  </si>
  <si>
    <t>FY22E</t>
  </si>
  <si>
    <t>1Q23E</t>
  </si>
  <si>
    <t>2Q23E</t>
  </si>
  <si>
    <t>3Q23E</t>
  </si>
  <si>
    <t>4Q23E</t>
  </si>
  <si>
    <t>FY23E</t>
  </si>
  <si>
    <t>Price</t>
  </si>
  <si>
    <t>Total Revenues</t>
  </si>
  <si>
    <t>Exchange</t>
  </si>
  <si>
    <t>NASDAQ</t>
  </si>
  <si>
    <t>Price Target</t>
  </si>
  <si>
    <t>Gross Profit</t>
  </si>
  <si>
    <t>Method</t>
  </si>
  <si>
    <t>rNPV</t>
  </si>
  <si>
    <t>52-Week High</t>
  </si>
  <si>
    <t>Selling, General, and Administrative</t>
  </si>
  <si>
    <t>52-Week Low</t>
  </si>
  <si>
    <t>Enterprise Value (M)</t>
  </si>
  <si>
    <t>Net Interest Income</t>
  </si>
  <si>
    <t>Market Cap (M)</t>
  </si>
  <si>
    <t>Shares Outstanding (m)</t>
  </si>
  <si>
    <t>3 Month Avg Volume (m)</t>
  </si>
  <si>
    <t>Short Interest (m)</t>
  </si>
  <si>
    <t>Balance Sheet Metrics</t>
  </si>
  <si>
    <t>Cash (m)</t>
  </si>
  <si>
    <t>Total Debt (m)</t>
  </si>
  <si>
    <t>Total Cash/Share</t>
  </si>
  <si>
    <t>Book Value/Share</t>
  </si>
  <si>
    <t>Revenue (m)</t>
  </si>
  <si>
    <t>Full Year - Dec</t>
  </si>
  <si>
    <t>2021A</t>
  </si>
  <si>
    <t>2022E</t>
  </si>
  <si>
    <t>2023E</t>
  </si>
  <si>
    <t>1Q</t>
  </si>
  <si>
    <t>2Q</t>
  </si>
  <si>
    <t>3Q</t>
  </si>
  <si>
    <t>4Q</t>
  </si>
  <si>
    <t>EPS ($) Diluted</t>
  </si>
  <si>
    <t>-</t>
  </si>
  <si>
    <t>FY33</t>
  </si>
  <si>
    <t>Diluted EPS</t>
  </si>
  <si>
    <t>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</si>
</sst>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0.0"/>
  </numFmts>
  <fonts count="21">
    <font>
      <sz val="12"/>
      <color theme="1"/>
      <name val="Calibri"/>
      <family val="2"/>
      <scheme val="minor"/>
    </font>
    <font>
      <sz val="12"/>
      <color theme="1"/>
      <name val="Calibri"/>
      <family val="2"/>
      <scheme val="minor"/>
    </font>
    <font>
      <sz val="10"/>
      <color theme="1"/>
      <name val="Arial"/>
      <family val="2"/>
    </font>
    <font>
      <sz val="10"/>
      <color theme="1"/>
      <name val="Helvetica Light"/>
    </font>
    <font>
      <sz val="12"/>
      <color theme="1"/>
      <name val="Helvetica Light"/>
    </font>
    <font>
      <sz val="10"/>
      <color rgb="FF000000"/>
      <name val="Helvetica Light"/>
    </font>
    <font>
      <i/>
      <sz val="10"/>
      <color rgb="FF000000"/>
      <name val="Helvetica Light"/>
    </font>
    <font>
      <u/>
      <sz val="12"/>
      <color theme="10"/>
      <name val="Calibri"/>
      <family val="2"/>
      <scheme val="minor"/>
    </font>
    <font>
      <sz val="24"/>
      <color theme="1"/>
      <name val="Libre Baskerville"/>
    </font>
    <font>
      <sz val="24"/>
      <color theme="1"/>
      <name val="Avenir Light"/>
      <family val="2"/>
    </font>
    <font>
      <b/>
      <i/>
      <sz val="18"/>
      <color theme="1"/>
      <name val="Helvetica Light"/>
    </font>
    <font>
      <sz val="18"/>
      <color theme="1"/>
      <name val="Helvetica Light"/>
    </font>
    <font>
      <b/>
      <i/>
      <sz val="10"/>
      <color theme="1"/>
      <name val="Helvetica Light"/>
    </font>
    <font>
      <sz val="14"/>
      <color theme="1"/>
      <name val="Libre Baskerville"/>
    </font>
    <font>
      <sz val="12"/>
      <color theme="1"/>
      <name val="Avenir Light"/>
      <family val="2"/>
    </font>
    <font>
      <b/>
      <sz val="10"/>
      <color theme="1"/>
      <name val="Helvetica Light"/>
    </font>
    <font>
      <u/>
      <sz val="10"/>
      <color theme="10"/>
      <name val="Helvetica Light"/>
    </font>
    <font>
      <sz val="11"/>
      <color rgb="FF000000"/>
      <name val="Menlo"/>
      <family val="2"/>
    </font>
    <font>
      <b/>
      <sz val="11"/>
      <color rgb="FF000000"/>
      <name val="Menlo"/>
      <family val="2"/>
    </font>
    <font>
      <b/>
      <sz val="12"/>
      <color theme="1"/>
      <name val="Helvetica Light"/>
    </font>
    <font>
      <i/>
      <sz val="12"/>
      <color theme="1"/>
      <name val="Helvetica Light"/>
    </font>
  </fonts>
  <fills count="4">
    <fill>
      <patternFill patternType="none"/>
    </fill>
    <fill>
      <patternFill patternType="gray125"/>
    </fill>
    <fill>
      <patternFill patternType="solid">
        <fgColor theme="0"/>
        <bgColor indexed="64"/>
      </patternFill>
    </fill>
    <fill>
      <patternFill patternType="solid">
        <fgColor theme="8" tint="0.59999389629810485"/>
        <bgColor indexed="64"/>
      </patternFill>
    </fill>
  </fills>
  <borders count="30">
    <border>
      <left/>
      <right/>
      <top/>
      <bottom/>
      <diagonal/>
    </border>
    <border>
      <left/>
      <right/>
      <top style="thin">
        <color theme="0"/>
      </top>
      <bottom/>
      <diagonal/>
    </border>
    <border>
      <left/>
      <right style="thin">
        <color theme="0"/>
      </right>
      <top style="thin">
        <color theme="0"/>
      </top>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diagonal/>
    </border>
    <border>
      <left style="thin">
        <color theme="1"/>
      </left>
      <right style="thin">
        <color theme="1"/>
      </right>
      <top style="thin">
        <color theme="1"/>
      </top>
      <bottom/>
      <diagonal/>
    </border>
    <border>
      <left/>
      <right/>
      <top style="thin">
        <color theme="1"/>
      </top>
      <bottom/>
      <diagonal/>
    </border>
    <border>
      <left/>
      <right/>
      <top/>
      <bottom style="thin">
        <color theme="1"/>
      </bottom>
      <diagonal/>
    </border>
    <border>
      <left style="thin">
        <color theme="1"/>
      </left>
      <right style="thin">
        <color theme="1"/>
      </right>
      <top/>
      <bottom style="thin">
        <color theme="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117">
    <xf numFmtId="0" fontId="0" fillId="0" borderId="0" xfId="0"/>
    <xf numFmtId="0" fontId="3" fillId="2" borderId="0" xfId="2" applyFont="1" applyFill="1"/>
    <xf numFmtId="0" fontId="3" fillId="2" borderId="0" xfId="2" applyFont="1" applyFill="1" applyAlignment="1">
      <alignment wrapText="1"/>
    </xf>
    <xf numFmtId="0" fontId="3" fillId="0" borderId="0" xfId="0" applyFont="1"/>
    <xf numFmtId="0" fontId="8" fillId="2" borderId="0" xfId="0" applyFont="1" applyFill="1" applyAlignment="1">
      <alignment vertical="center"/>
    </xf>
    <xf numFmtId="0" fontId="4" fillId="2" borderId="0" xfId="0" applyFont="1" applyFill="1"/>
    <xf numFmtId="0" fontId="10" fillId="2" borderId="0" xfId="0" applyFont="1" applyFill="1"/>
    <xf numFmtId="0" fontId="11" fillId="2" borderId="0" xfId="0" applyFont="1" applyFill="1"/>
    <xf numFmtId="0" fontId="3" fillId="2" borderId="0" xfId="0" applyFont="1" applyFill="1"/>
    <xf numFmtId="0" fontId="7" fillId="2" borderId="0" xfId="3" applyFill="1"/>
    <xf numFmtId="0" fontId="12" fillId="2" borderId="0" xfId="0" applyFont="1" applyFill="1"/>
    <xf numFmtId="0" fontId="13" fillId="2" borderId="0" xfId="0" applyFont="1" applyFill="1" applyAlignment="1">
      <alignment vertical="center"/>
    </xf>
    <xf numFmtId="0" fontId="3" fillId="3" borderId="0" xfId="0" applyFont="1" applyFill="1"/>
    <xf numFmtId="0" fontId="3" fillId="3" borderId="1" xfId="0" applyFont="1" applyFill="1" applyBorder="1"/>
    <xf numFmtId="0" fontId="3" fillId="3" borderId="2" xfId="0" applyFont="1" applyFill="1" applyBorder="1"/>
    <xf numFmtId="0" fontId="3" fillId="3" borderId="3" xfId="0" applyFont="1" applyFill="1" applyBorder="1"/>
    <xf numFmtId="0" fontId="3" fillId="3" borderId="4" xfId="0" applyFont="1" applyFill="1" applyBorder="1"/>
    <xf numFmtId="0" fontId="3" fillId="3" borderId="5" xfId="0" applyFont="1" applyFill="1" applyBorder="1"/>
    <xf numFmtId="0" fontId="3" fillId="3" borderId="6" xfId="0" applyFont="1" applyFill="1" applyBorder="1"/>
    <xf numFmtId="0" fontId="3" fillId="2" borderId="0" xfId="0" applyFont="1" applyFill="1" applyAlignment="1">
      <alignment vertical="center"/>
    </xf>
    <xf numFmtId="0" fontId="4" fillId="0" borderId="0" xfId="0" applyFont="1"/>
    <xf numFmtId="1" fontId="4" fillId="0" borderId="0" xfId="0" applyNumberFormat="1" applyFont="1"/>
    <xf numFmtId="2" fontId="4" fillId="0" borderId="0" xfId="0" applyNumberFormat="1" applyFont="1"/>
    <xf numFmtId="0" fontId="15" fillId="2" borderId="7" xfId="0" applyFont="1" applyFill="1" applyBorder="1"/>
    <xf numFmtId="0" fontId="3" fillId="2" borderId="7" xfId="0" applyFont="1" applyFill="1" applyBorder="1"/>
    <xf numFmtId="0" fontId="3" fillId="2" borderId="16" xfId="0" applyFont="1" applyFill="1" applyBorder="1"/>
    <xf numFmtId="0" fontId="3" fillId="2" borderId="8" xfId="0" applyFont="1" applyFill="1" applyBorder="1"/>
    <xf numFmtId="0" fontId="3" fillId="2" borderId="12" xfId="0" applyFont="1" applyFill="1" applyBorder="1"/>
    <xf numFmtId="8" fontId="3" fillId="2" borderId="13" xfId="0" applyNumberFormat="1" applyFont="1" applyFill="1" applyBorder="1" applyAlignment="1">
      <alignment horizontal="right"/>
    </xf>
    <xf numFmtId="0" fontId="15" fillId="2" borderId="0" xfId="0" applyFont="1" applyFill="1"/>
    <xf numFmtId="1" fontId="3" fillId="2" borderId="17" xfId="0" applyNumberFormat="1" applyFont="1" applyFill="1" applyBorder="1"/>
    <xf numFmtId="1" fontId="3" fillId="2" borderId="0" xfId="0" applyNumberFormat="1" applyFont="1" applyFill="1"/>
    <xf numFmtId="1" fontId="3" fillId="2" borderId="18" xfId="0" applyNumberFormat="1" applyFont="1" applyFill="1" applyBorder="1"/>
    <xf numFmtId="0" fontId="3" fillId="2" borderId="13" xfId="0" applyFont="1" applyFill="1" applyBorder="1" applyAlignment="1">
      <alignment horizontal="right"/>
    </xf>
    <xf numFmtId="0" fontId="15" fillId="2" borderId="19" xfId="0" applyFont="1" applyFill="1" applyBorder="1"/>
    <xf numFmtId="1" fontId="3" fillId="2" borderId="19" xfId="0" applyNumberFormat="1" applyFont="1" applyFill="1" applyBorder="1"/>
    <xf numFmtId="6" fontId="3" fillId="2" borderId="13" xfId="0" applyNumberFormat="1" applyFont="1" applyFill="1" applyBorder="1" applyAlignment="1">
      <alignment horizontal="right"/>
    </xf>
    <xf numFmtId="1" fontId="3" fillId="2" borderId="13" xfId="0" applyNumberFormat="1" applyFont="1" applyFill="1" applyBorder="1" applyAlignment="1">
      <alignment horizontal="right"/>
    </xf>
    <xf numFmtId="0" fontId="3" fillId="2" borderId="14" xfId="0" applyFont="1" applyFill="1" applyBorder="1"/>
    <xf numFmtId="0" fontId="3" fillId="2" borderId="20" xfId="0" applyFont="1" applyFill="1" applyBorder="1"/>
    <xf numFmtId="0" fontId="3" fillId="2" borderId="15" xfId="0" applyFont="1" applyFill="1" applyBorder="1" applyAlignment="1">
      <alignment horizontal="right"/>
    </xf>
    <xf numFmtId="2" fontId="3" fillId="2" borderId="21" xfId="0" applyNumberFormat="1" applyFont="1" applyFill="1" applyBorder="1"/>
    <xf numFmtId="2" fontId="3" fillId="2" borderId="0" xfId="0" applyNumberFormat="1" applyFont="1" applyFill="1"/>
    <xf numFmtId="0" fontId="15" fillId="2" borderId="8" xfId="0" applyFont="1" applyFill="1" applyBorder="1"/>
    <xf numFmtId="0" fontId="15" fillId="2" borderId="9" xfId="0" applyFont="1" applyFill="1" applyBorder="1"/>
    <xf numFmtId="1" fontId="3" fillId="2" borderId="13" xfId="0" applyNumberFormat="1" applyFont="1" applyFill="1" applyBorder="1"/>
    <xf numFmtId="2" fontId="3" fillId="2" borderId="13" xfId="0" applyNumberFormat="1" applyFont="1" applyFill="1" applyBorder="1"/>
    <xf numFmtId="2" fontId="3" fillId="2" borderId="15" xfId="0" applyNumberFormat="1" applyFont="1" applyFill="1" applyBorder="1"/>
    <xf numFmtId="0" fontId="3" fillId="2" borderId="9" xfId="0" applyFont="1" applyFill="1" applyBorder="1"/>
    <xf numFmtId="0" fontId="3" fillId="2" borderId="17" xfId="0" applyFont="1" applyFill="1" applyBorder="1"/>
    <xf numFmtId="0" fontId="3" fillId="2" borderId="21" xfId="0" applyFont="1" applyFill="1" applyBorder="1"/>
    <xf numFmtId="2" fontId="3" fillId="2" borderId="20" xfId="0" applyNumberFormat="1" applyFont="1" applyFill="1" applyBorder="1"/>
    <xf numFmtId="1" fontId="3" fillId="2" borderId="13" xfId="0" quotePrefix="1" applyNumberFormat="1" applyFont="1" applyFill="1" applyBorder="1" applyAlignment="1">
      <alignment horizontal="right"/>
    </xf>
    <xf numFmtId="2" fontId="3" fillId="2" borderId="17" xfId="0" applyNumberFormat="1" applyFont="1" applyFill="1" applyBorder="1"/>
    <xf numFmtId="2" fontId="3" fillId="2" borderId="18" xfId="0" applyNumberFormat="1" applyFont="1" applyFill="1" applyBorder="1"/>
    <xf numFmtId="2" fontId="3" fillId="2" borderId="19" xfId="0" applyNumberFormat="1" applyFont="1" applyFill="1" applyBorder="1"/>
    <xf numFmtId="0" fontId="18" fillId="2" borderId="0" xfId="0" applyFont="1" applyFill="1"/>
    <xf numFmtId="0" fontId="0" fillId="2" borderId="0" xfId="0" applyFill="1"/>
    <xf numFmtId="0" fontId="17" fillId="2" borderId="0" xfId="0" applyFont="1" applyFill="1"/>
    <xf numFmtId="0" fontId="16" fillId="2" borderId="0" xfId="3" applyFont="1" applyFill="1"/>
    <xf numFmtId="1" fontId="4" fillId="2" borderId="0" xfId="0" applyNumberFormat="1" applyFont="1" applyFill="1"/>
    <xf numFmtId="0" fontId="3" fillId="2" borderId="15" xfId="0" applyFont="1" applyFill="1" applyBorder="1"/>
    <xf numFmtId="0" fontId="3" fillId="2" borderId="10" xfId="0" applyFont="1" applyFill="1" applyBorder="1"/>
    <xf numFmtId="0" fontId="3" fillId="2" borderId="11" xfId="0" applyFont="1" applyFill="1" applyBorder="1"/>
    <xf numFmtId="0" fontId="3" fillId="2" borderId="13" xfId="0" applyFont="1" applyFill="1" applyBorder="1"/>
    <xf numFmtId="0" fontId="15" fillId="2" borderId="0" xfId="0" applyFont="1" applyFill="1" applyAlignment="1">
      <alignment vertical="center"/>
    </xf>
    <xf numFmtId="0" fontId="19" fillId="2" borderId="0" xfId="0" applyFont="1" applyFill="1"/>
    <xf numFmtId="14" fontId="4" fillId="0" borderId="0" xfId="0" applyNumberFormat="1" applyFont="1"/>
    <xf numFmtId="9" fontId="4" fillId="0" borderId="0" xfId="1" applyFont="1" applyBorder="1"/>
    <xf numFmtId="164" fontId="4" fillId="0" borderId="0" xfId="0" applyNumberFormat="1" applyFont="1"/>
    <xf numFmtId="0" fontId="20" fillId="2" borderId="0" xfId="0" applyFont="1" applyFill="1"/>
    <xf numFmtId="9" fontId="20" fillId="0" borderId="0" xfId="1" applyFont="1" applyBorder="1"/>
    <xf numFmtId="9" fontId="20" fillId="0" borderId="0" xfId="1" applyFont="1"/>
    <xf numFmtId="0" fontId="20" fillId="0" borderId="0" xfId="0" applyFont="1"/>
    <xf numFmtId="0" fontId="20" fillId="2" borderId="0" xfId="1" applyNumberFormat="1" applyFont="1" applyFill="1"/>
    <xf numFmtId="9" fontId="20" fillId="0" borderId="0" xfId="0" applyNumberFormat="1" applyFont="1"/>
    <xf numFmtId="1" fontId="20" fillId="0" borderId="0" xfId="0" applyNumberFormat="1" applyFont="1"/>
    <xf numFmtId="0" fontId="19" fillId="0" borderId="0" xfId="0" applyFont="1"/>
    <xf numFmtId="1" fontId="19" fillId="0" borderId="0" xfId="0" applyNumberFormat="1" applyFont="1"/>
    <xf numFmtId="0" fontId="19" fillId="2" borderId="22" xfId="0" applyFont="1" applyFill="1" applyBorder="1"/>
    <xf numFmtId="0" fontId="19" fillId="2" borderId="23" xfId="0" applyFont="1" applyFill="1" applyBorder="1"/>
    <xf numFmtId="0" fontId="19" fillId="2" borderId="24" xfId="0" applyFont="1" applyFill="1" applyBorder="1"/>
    <xf numFmtId="0" fontId="19" fillId="2" borderId="25" xfId="0" applyFont="1" applyFill="1" applyBorder="1"/>
    <xf numFmtId="0" fontId="19" fillId="2" borderId="26" xfId="0" applyFont="1" applyFill="1" applyBorder="1"/>
    <xf numFmtId="0" fontId="19" fillId="2" borderId="27" xfId="0" applyFont="1" applyFill="1" applyBorder="1"/>
    <xf numFmtId="14" fontId="19" fillId="2" borderId="25" xfId="0" applyNumberFormat="1" applyFont="1" applyFill="1" applyBorder="1"/>
    <xf numFmtId="14" fontId="19" fillId="2" borderId="26" xfId="0" applyNumberFormat="1" applyFont="1" applyFill="1" applyBorder="1"/>
    <xf numFmtId="14" fontId="19" fillId="2" borderId="27" xfId="0" applyNumberFormat="1" applyFont="1" applyFill="1" applyBorder="1"/>
    <xf numFmtId="1" fontId="3" fillId="0" borderId="0" xfId="0" applyNumberFormat="1" applyFont="1"/>
    <xf numFmtId="2" fontId="3" fillId="0" borderId="0" xfId="0" applyNumberFormat="1" applyFont="1"/>
    <xf numFmtId="1" fontId="15" fillId="0" borderId="0" xfId="0" applyNumberFormat="1" applyFont="1"/>
    <xf numFmtId="0" fontId="3" fillId="2" borderId="22" xfId="0" applyFont="1" applyFill="1" applyBorder="1"/>
    <xf numFmtId="0" fontId="3" fillId="2" borderId="24" xfId="0" applyFont="1" applyFill="1" applyBorder="1"/>
    <xf numFmtId="0" fontId="3" fillId="2" borderId="28" xfId="0" applyFont="1" applyFill="1" applyBorder="1"/>
    <xf numFmtId="2" fontId="3" fillId="2" borderId="29" xfId="0" applyNumberFormat="1" applyFont="1" applyFill="1" applyBorder="1"/>
    <xf numFmtId="1" fontId="3" fillId="2" borderId="29" xfId="0" applyNumberFormat="1" applyFont="1" applyFill="1" applyBorder="1"/>
    <xf numFmtId="0" fontId="3" fillId="2" borderId="29" xfId="0" applyFont="1" applyFill="1" applyBorder="1"/>
    <xf numFmtId="9" fontId="3" fillId="2" borderId="29" xfId="0" applyNumberFormat="1" applyFont="1" applyFill="1" applyBorder="1"/>
    <xf numFmtId="0" fontId="3" fillId="2" borderId="28" xfId="0" quotePrefix="1" applyFont="1" applyFill="1" applyBorder="1"/>
    <xf numFmtId="0" fontId="3" fillId="2" borderId="25" xfId="0" applyFont="1" applyFill="1" applyBorder="1"/>
    <xf numFmtId="1" fontId="15" fillId="2" borderId="27" xfId="0" applyNumberFormat="1" applyFont="1" applyFill="1" applyBorder="1"/>
    <xf numFmtId="0" fontId="3" fillId="2" borderId="23" xfId="0" applyFont="1" applyFill="1" applyBorder="1"/>
    <xf numFmtId="0" fontId="3" fillId="2" borderId="26" xfId="0" applyFont="1" applyFill="1" applyBorder="1"/>
    <xf numFmtId="0" fontId="3" fillId="2" borderId="27" xfId="0" applyFont="1" applyFill="1" applyBorder="1"/>
    <xf numFmtId="0" fontId="3" fillId="2" borderId="0" xfId="0" applyFont="1" applyFill="1" applyAlignment="1">
      <alignment horizontal="center" vertical="center" wrapText="1"/>
    </xf>
    <xf numFmtId="0" fontId="3" fillId="2" borderId="0" xfId="0" applyFont="1" applyFill="1" applyAlignment="1">
      <alignment horizontal="center" wrapText="1"/>
    </xf>
    <xf numFmtId="0" fontId="5" fillId="2" borderId="0" xfId="0" applyFont="1" applyFill="1" applyAlignment="1">
      <alignment horizontal="left" vertical="center" wrapText="1"/>
    </xf>
    <xf numFmtId="0" fontId="15" fillId="2" borderId="0" xfId="0" applyFont="1" applyFill="1" applyAlignment="1">
      <alignment horizontal="left" wrapText="1"/>
    </xf>
    <xf numFmtId="0" fontId="15" fillId="2" borderId="0" xfId="0" applyFont="1" applyFill="1" applyAlignment="1">
      <alignment horizontal="center"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16" fillId="2" borderId="0" xfId="3" applyFont="1" applyFill="1" applyAlignment="1">
      <alignment horizontal="center" vertical="center" wrapText="1"/>
    </xf>
    <xf numFmtId="0" fontId="3" fillId="2" borderId="0" xfId="0" applyFont="1" applyFill="1" applyAlignment="1">
      <alignment horizontal="center"/>
    </xf>
    <xf numFmtId="0" fontId="16" fillId="2" borderId="0" xfId="3" applyFont="1" applyFill="1" applyAlignment="1">
      <alignment horizontal="center" wrapText="1"/>
    </xf>
    <xf numFmtId="15" fontId="15" fillId="2" borderId="8" xfId="0" quotePrefix="1" applyNumberFormat="1" applyFont="1" applyFill="1" applyBorder="1" applyAlignment="1">
      <alignment horizontal="right"/>
    </xf>
    <xf numFmtId="15" fontId="15" fillId="2" borderId="8" xfId="0" applyNumberFormat="1" applyFont="1" applyFill="1" applyBorder="1" applyAlignment="1">
      <alignment horizontal="right"/>
    </xf>
    <xf numFmtId="15" fontId="15" fillId="2" borderId="9" xfId="0" applyNumberFormat="1" applyFont="1" applyFill="1" applyBorder="1" applyAlignment="1">
      <alignment horizontal="right"/>
    </xf>
  </cellXfs>
  <cellStyles count="4">
    <cellStyle name="Hyperlink" xfId="3" builtinId="8"/>
    <cellStyle name="Normal" xfId="0" builtinId="0"/>
    <cellStyle name="Normal 2" xfId="2" xr:uid="{B2C42701-D991-2E4B-A9FF-4AA85F7E2F75}"/>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PPI%20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Main"/>
      <sheetName val="Model"/>
      <sheetName val="rNPV &amp; DCF Valuation"/>
      <sheetName val="Legal Disclosure"/>
    </sheetNames>
    <sheetDataSet>
      <sheetData sheetId="0"/>
      <sheetData sheetId="1"/>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evan domingos - 2023" id="{0B49C20A-BFBC-9F4E-A7C4-F0174053AC33}" userId="S::domingos_evan@wheatoncollege.edu::2746620b-88c1-4bef-8e72-f7c84af34e2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0" dT="2022-09-19T16:25:03.18" personId="{0B49C20A-BFBC-9F4E-A7C4-F0174053AC33}" id="{95996398-ED27-3942-9BA2-F90C6E72667D}">
    <text>Calendar 2028-2029 Target for market</text>
  </threadedComment>
  <threadedComment ref="J26" dT="2022-09-19T16:23:29.75" personId="{0B49C20A-BFBC-9F4E-A7C4-F0174053AC33}" id="{A497EABB-77E5-2143-B0C9-FE19FC09E647}">
    <text>ClinicalTrials.gov 
March 31, 2023 Estimated Primary Completion Date 
January 2024 Estimated Study Completion Date</text>
  </threadedComment>
  <threadedComment ref="L26" dT="2022-09-19T16:24:05.39" personId="{0B49C20A-BFBC-9F4E-A7C4-F0174053AC33}" id="{FA57E22D-CCD7-064F-92E7-8FAAEB42B753}">
    <text>FDA 3 Approval EOY 2026 Target</text>
  </threadedComment>
  <threadedComment ref="H27" dT="2022-09-19T16:26:23.40" personId="{0B49C20A-BFBC-9F4E-A7C4-F0174053AC33}" id="{4C095089-9E57-AB42-8CB5-7EE6370F5217}">
    <text>Phase 1b trial commenced April 2021. Estimated primary completion and study completion for April 2024</text>
  </threadedComment>
  <threadedComment ref="L27" dT="2022-09-19T16:27:12.39" personId="{0B49C20A-BFBC-9F4E-A7C4-F0174053AC33}" id="{8133B208-16CD-1340-A03C-C031425303FB}">
    <text xml:space="preserve">Come to market target for 2027-2028
</text>
  </threadedComment>
</ThreadedComments>
</file>

<file path=xl/threadedComments/threadedComment2.xml><?xml version="1.0" encoding="utf-8"?>
<ThreadedComments xmlns="http://schemas.microsoft.com/office/spreadsheetml/2018/threadedcomments" xmlns:x="http://schemas.openxmlformats.org/spreadsheetml/2006/main">
  <threadedComment ref="A9" dT="2022-09-19T02:58:44.70" personId="{0B49C20A-BFBC-9F4E-A7C4-F0174053AC33}" id="{C2CE96D6-CD42-6E41-A487-E0248BB238C0}">
    <text>Sanofi Agreement for RMC-4630 commercialization. $50m upfront payment to RVMD. Sanofi agrees to cover all development costs and certain research costs for joint SHP2 program in return for exclusive worldwide license for any approved products targeting SHP2. 50/50 Profit and loss share for US sales. High single digit to mid-teen percentage royalty on sales in other markets.</text>
  </threadedComment>
  <threadedComment ref="Z9" dT="2022-09-26T04:08:21.15" personId="{0B49C20A-BFBC-9F4E-A7C4-F0174053AC33}" id="{57762145-B958-6E4C-91EC-E8A051C1EB86}">
    <text>Possible Rollout
Currently Undergoing Phase 2</text>
  </threadedComment>
  <threadedComment ref="U12" dT="2022-09-17T21:17:04.94" personId="{0B49C20A-BFBC-9F4E-A7C4-F0174053AC33}" id="{B6D4C177-34B1-DF40-84EB-7EC1B76DA6F3}">
    <text>$88,5m reduction in revenue based on Letter Agreement develop adjustments with Sanofi in Aug ’21.</text>
  </threadedComment>
</ThreadedComments>
</file>

<file path=xl/threadedComments/threadedComment3.xml><?xml version="1.0" encoding="utf-8"?>
<ThreadedComments xmlns="http://schemas.microsoft.com/office/spreadsheetml/2018/threadedcomments" xmlns:x="http://schemas.openxmlformats.org/spreadsheetml/2006/main">
  <threadedComment ref="J11" dT="2022-09-19T18:45:31.43" personId="{0B49C20A-BFBC-9F4E-A7C4-F0174053AC33}" id="{A30EEF7B-0F8D-084D-B361-47C131198D72}">
    <text>Annual LC Cases 
4% Treatment Rate for NSCLC with KRASG12C Mutations
Average Monthly Treatment Cost
50/50 Profit Share with Sanoi
6 Month Average Treatment Duration (36-month Average Lifespan)
40% Phase 2 Risk Discount
10% Phase 3 Risk Discount</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mailto:research@whiteskycapital.com"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nature.com/articles/d41573-019-00074-z" TargetMode="External"/><Relationship Id="rId7" Type="http://schemas.openxmlformats.org/officeDocument/2006/relationships/hyperlink" Target="https://www.nature.com/articles/s41573-020-0068-6" TargetMode="External"/><Relationship Id="rId2" Type="http://schemas.openxmlformats.org/officeDocument/2006/relationships/hyperlink" Target="https://clinicaltrials.gov/ct2/show/NCT05054725" TargetMode="External"/><Relationship Id="rId1" Type="http://schemas.openxmlformats.org/officeDocument/2006/relationships/hyperlink" Target="https://clinicaltrials.gov/ct2/show/NCT03989115" TargetMode="External"/><Relationship Id="rId6" Type="http://schemas.openxmlformats.org/officeDocument/2006/relationships/hyperlink" Target="https://www.activemotif.com/blog-undruggable-ras" TargetMode="External"/><Relationship Id="rId5" Type="http://schemas.openxmlformats.org/officeDocument/2006/relationships/hyperlink" Target="https://ir.revmed.com/news-releases/news-release-details/revolution-medicines-reports-first-quarter-2022-financial" TargetMode="External"/><Relationship Id="rId10" Type="http://schemas.microsoft.com/office/2017/10/relationships/threadedComment" Target="../threadedComments/threadedComment1.xml"/><Relationship Id="rId4" Type="http://schemas.openxmlformats.org/officeDocument/2006/relationships/hyperlink" Target="https://ir.revmed.com/news-releases/news-release-details/revolution-medicines-reports-second-quarter-2022-financial"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5CF02-D3B8-D947-BF7B-DC58099B8223}">
  <dimension ref="B4:B20"/>
  <sheetViews>
    <sheetView workbookViewId="0">
      <selection activeCell="C8" sqref="C8"/>
    </sheetView>
  </sheetViews>
  <sheetFormatPr baseColWidth="10" defaultRowHeight="16"/>
  <cols>
    <col min="1" max="16384" width="10.83203125" style="5"/>
  </cols>
  <sheetData>
    <row r="4" spans="2:2" ht="34">
      <c r="B4" s="4" t="s">
        <v>157</v>
      </c>
    </row>
    <row r="6" spans="2:2" s="7" customFormat="1" ht="23">
      <c r="B6" s="6" t="s">
        <v>156</v>
      </c>
    </row>
    <row r="7" spans="2:2">
      <c r="B7" s="5" t="s">
        <v>158</v>
      </c>
    </row>
    <row r="8" spans="2:2">
      <c r="B8" s="5" t="s">
        <v>159</v>
      </c>
    </row>
    <row r="10" spans="2:2">
      <c r="B10" s="8" t="s">
        <v>160</v>
      </c>
    </row>
    <row r="11" spans="2:2">
      <c r="B11" s="8" t="s">
        <v>161</v>
      </c>
    </row>
    <row r="12" spans="2:2">
      <c r="B12" s="8" t="s">
        <v>162</v>
      </c>
    </row>
    <row r="13" spans="2:2">
      <c r="B13" s="8" t="s">
        <v>163</v>
      </c>
    </row>
    <row r="19" spans="2:2">
      <c r="B19" s="5" t="s">
        <v>164</v>
      </c>
    </row>
    <row r="20" spans="2:2">
      <c r="B20" s="9" t="s">
        <v>165</v>
      </c>
    </row>
  </sheetData>
  <hyperlinks>
    <hyperlink ref="B20" r:id="rId1" xr:uid="{DA7BF3FB-B5BA-F244-BED2-5B9F340F36D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1FC3B-4ED6-5B44-BF28-9C59CE51BB42}">
  <dimension ref="A1:Q58"/>
  <sheetViews>
    <sheetView zoomScale="144" workbookViewId="0">
      <selection activeCell="B5" sqref="B5:N5"/>
    </sheetView>
  </sheetViews>
  <sheetFormatPr baseColWidth="10" defaultRowHeight="13"/>
  <cols>
    <col min="1" max="1" width="10.83203125" style="8"/>
    <col min="2" max="2" width="17.1640625" style="8" customWidth="1"/>
    <col min="3" max="3" width="35.6640625" style="8" customWidth="1"/>
    <col min="4" max="4" width="18" style="8" customWidth="1"/>
    <col min="5" max="16384" width="10.83203125" style="8"/>
  </cols>
  <sheetData>
    <row r="1" spans="1:17">
      <c r="A1" s="19" t="s">
        <v>171</v>
      </c>
    </row>
    <row r="2" spans="1:17">
      <c r="A2" s="10" t="s">
        <v>0</v>
      </c>
    </row>
    <row r="3" spans="1:17">
      <c r="A3" s="8" t="s">
        <v>166</v>
      </c>
    </row>
    <row r="5" spans="1:17" ht="37" customHeight="1">
      <c r="B5" s="107" t="s">
        <v>90</v>
      </c>
      <c r="C5" s="107"/>
      <c r="D5" s="107"/>
      <c r="E5" s="107"/>
      <c r="F5" s="107"/>
      <c r="G5" s="107"/>
      <c r="H5" s="107"/>
      <c r="I5" s="107"/>
      <c r="J5" s="107"/>
      <c r="K5" s="107"/>
      <c r="L5" s="107"/>
      <c r="M5" s="107"/>
      <c r="N5" s="107"/>
    </row>
    <row r="7" spans="1:17" ht="134" customHeight="1">
      <c r="B7" s="65" t="s">
        <v>173</v>
      </c>
      <c r="C7" s="109" t="s">
        <v>12</v>
      </c>
      <c r="D7" s="109"/>
      <c r="E7" s="109"/>
      <c r="F7" s="109"/>
      <c r="G7" s="109"/>
      <c r="H7" s="109"/>
      <c r="I7" s="109"/>
      <c r="J7" s="109"/>
      <c r="K7" s="109"/>
      <c r="L7" s="109"/>
      <c r="M7" s="109"/>
      <c r="N7" s="109"/>
      <c r="O7" s="109"/>
      <c r="P7" s="109"/>
      <c r="Q7" s="109"/>
    </row>
    <row r="8" spans="1:17" ht="62" customHeight="1">
      <c r="B8" s="108" t="s">
        <v>2</v>
      </c>
      <c r="C8" s="106" t="s">
        <v>59</v>
      </c>
      <c r="D8" s="106"/>
      <c r="E8" s="106"/>
      <c r="F8" s="106"/>
      <c r="G8" s="106"/>
      <c r="H8" s="106"/>
      <c r="I8" s="106"/>
      <c r="J8" s="106"/>
      <c r="K8" s="106"/>
      <c r="L8" s="106"/>
      <c r="M8" s="106"/>
      <c r="N8" s="106"/>
      <c r="O8" s="106"/>
      <c r="P8" s="106"/>
      <c r="Q8" s="106"/>
    </row>
    <row r="9" spans="1:17" ht="62" customHeight="1">
      <c r="B9" s="108"/>
      <c r="C9" s="106" t="s">
        <v>60</v>
      </c>
      <c r="D9" s="106"/>
      <c r="E9" s="106"/>
      <c r="F9" s="106"/>
      <c r="G9" s="106"/>
      <c r="H9" s="106"/>
      <c r="I9" s="106"/>
      <c r="J9" s="106"/>
      <c r="K9" s="106"/>
      <c r="L9" s="106"/>
      <c r="M9" s="106"/>
      <c r="N9" s="106"/>
      <c r="O9" s="106"/>
      <c r="P9" s="106"/>
      <c r="Q9" s="106"/>
    </row>
    <row r="10" spans="1:17" ht="62" customHeight="1">
      <c r="B10" s="108" t="s">
        <v>3</v>
      </c>
      <c r="C10" s="106" t="s">
        <v>61</v>
      </c>
      <c r="D10" s="106"/>
      <c r="E10" s="106"/>
      <c r="F10" s="106"/>
      <c r="G10" s="106"/>
      <c r="H10" s="106"/>
      <c r="I10" s="106"/>
      <c r="J10" s="106"/>
      <c r="K10" s="106"/>
      <c r="L10" s="106"/>
      <c r="M10" s="106"/>
      <c r="N10" s="106"/>
      <c r="O10" s="106"/>
      <c r="P10" s="106"/>
      <c r="Q10" s="106"/>
    </row>
    <row r="11" spans="1:17" ht="62" customHeight="1">
      <c r="B11" s="108"/>
      <c r="C11" s="106" t="s">
        <v>62</v>
      </c>
      <c r="D11" s="106"/>
      <c r="E11" s="106"/>
      <c r="F11" s="106"/>
      <c r="G11" s="106"/>
      <c r="H11" s="106"/>
      <c r="I11" s="106"/>
      <c r="J11" s="106"/>
      <c r="K11" s="106"/>
      <c r="L11" s="106"/>
      <c r="M11" s="106"/>
      <c r="N11" s="106"/>
      <c r="O11" s="106"/>
      <c r="P11" s="106"/>
      <c r="Q11" s="106"/>
    </row>
    <row r="12" spans="1:17" ht="62" customHeight="1">
      <c r="B12" s="65" t="s">
        <v>4</v>
      </c>
      <c r="C12" s="106" t="s">
        <v>63</v>
      </c>
      <c r="D12" s="106"/>
      <c r="E12" s="106"/>
      <c r="F12" s="106"/>
      <c r="G12" s="106"/>
      <c r="H12" s="106"/>
      <c r="I12" s="106"/>
      <c r="J12" s="106"/>
      <c r="K12" s="106"/>
      <c r="L12" s="106"/>
      <c r="M12" s="106"/>
      <c r="N12" s="106"/>
      <c r="O12" s="106"/>
      <c r="P12" s="106"/>
      <c r="Q12" s="106"/>
    </row>
    <row r="13" spans="1:17" ht="62" customHeight="1">
      <c r="B13" s="65" t="s">
        <v>5</v>
      </c>
      <c r="C13" s="106" t="s">
        <v>64</v>
      </c>
      <c r="D13" s="106"/>
      <c r="E13" s="106"/>
      <c r="F13" s="106"/>
      <c r="G13" s="106"/>
      <c r="H13" s="106"/>
      <c r="I13" s="106"/>
      <c r="J13" s="106"/>
      <c r="K13" s="106"/>
      <c r="L13" s="106"/>
      <c r="M13" s="106"/>
      <c r="N13" s="106"/>
      <c r="O13" s="106"/>
      <c r="P13" s="106"/>
      <c r="Q13" s="106"/>
    </row>
    <row r="18" spans="2:13">
      <c r="B18" s="24" t="s">
        <v>6</v>
      </c>
      <c r="C18" s="26" t="s">
        <v>242</v>
      </c>
      <c r="D18" s="26" t="s">
        <v>19</v>
      </c>
      <c r="E18" s="26"/>
      <c r="F18" s="26" t="s">
        <v>20</v>
      </c>
      <c r="G18" s="26"/>
      <c r="H18" s="26" t="s">
        <v>21</v>
      </c>
      <c r="I18" s="26"/>
      <c r="J18" s="26" t="s">
        <v>22</v>
      </c>
      <c r="K18" s="26"/>
      <c r="L18" s="26" t="s">
        <v>23</v>
      </c>
      <c r="M18" s="48"/>
    </row>
    <row r="19" spans="2:13">
      <c r="B19" s="62" t="s">
        <v>1</v>
      </c>
      <c r="C19" s="63"/>
    </row>
    <row r="20" spans="2:13">
      <c r="B20" s="27" t="s">
        <v>2</v>
      </c>
      <c r="C20" s="64" t="s">
        <v>8</v>
      </c>
      <c r="D20" s="13"/>
      <c r="E20" s="13"/>
      <c r="F20" s="13"/>
      <c r="G20" s="14"/>
    </row>
    <row r="21" spans="2:13">
      <c r="B21" s="27" t="s">
        <v>3</v>
      </c>
      <c r="C21" s="64" t="s">
        <v>11</v>
      </c>
      <c r="D21" s="15"/>
      <c r="E21" s="15"/>
      <c r="F21" s="15"/>
      <c r="G21" s="16"/>
    </row>
    <row r="22" spans="2:13">
      <c r="B22" s="27" t="s">
        <v>4</v>
      </c>
      <c r="C22" s="64" t="s">
        <v>10</v>
      </c>
      <c r="D22" s="13"/>
      <c r="E22" s="13"/>
      <c r="F22" s="14"/>
    </row>
    <row r="23" spans="2:13">
      <c r="B23" s="27" t="s">
        <v>5</v>
      </c>
      <c r="C23" s="64" t="s">
        <v>9</v>
      </c>
      <c r="D23" s="15"/>
      <c r="E23" s="15"/>
      <c r="F23" s="16"/>
    </row>
    <row r="24" spans="2:13">
      <c r="B24" s="38" t="s">
        <v>118</v>
      </c>
      <c r="C24" s="61" t="s">
        <v>24</v>
      </c>
      <c r="D24" s="14"/>
      <c r="E24" s="8" t="s">
        <v>169</v>
      </c>
    </row>
    <row r="25" spans="2:13">
      <c r="B25" s="24" t="s">
        <v>7</v>
      </c>
      <c r="C25" s="26"/>
      <c r="D25" s="26"/>
      <c r="E25" s="26"/>
      <c r="F25" s="26"/>
      <c r="G25" s="26"/>
      <c r="H25" s="26"/>
      <c r="I25" s="26"/>
      <c r="J25" s="26"/>
      <c r="K25" s="26"/>
      <c r="L25" s="26"/>
      <c r="M25" s="48"/>
    </row>
    <row r="26" spans="2:13">
      <c r="B26" s="62" t="s">
        <v>13</v>
      </c>
      <c r="C26" s="63" t="s">
        <v>18</v>
      </c>
      <c r="D26" s="15"/>
      <c r="E26" s="15"/>
      <c r="F26" s="15"/>
      <c r="G26" s="15"/>
      <c r="H26" s="15"/>
      <c r="I26" s="15"/>
      <c r="J26" s="16" t="s">
        <v>168</v>
      </c>
    </row>
    <row r="27" spans="2:13">
      <c r="B27" s="27" t="s">
        <v>14</v>
      </c>
      <c r="C27" s="64" t="s">
        <v>17</v>
      </c>
      <c r="D27" s="17"/>
      <c r="E27" s="17"/>
      <c r="F27" s="17"/>
      <c r="G27" s="17"/>
      <c r="H27" s="18"/>
    </row>
    <row r="28" spans="2:13">
      <c r="B28" s="38" t="s">
        <v>15</v>
      </c>
      <c r="C28" s="61" t="s">
        <v>16</v>
      </c>
      <c r="D28" s="12"/>
      <c r="E28" s="12"/>
      <c r="F28" s="12"/>
      <c r="G28" s="12"/>
    </row>
    <row r="34" spans="2:10">
      <c r="B34" s="29" t="s">
        <v>119</v>
      </c>
      <c r="C34" s="29" t="s">
        <v>128</v>
      </c>
      <c r="D34" s="29" t="s">
        <v>172</v>
      </c>
      <c r="E34" s="29" t="s">
        <v>127</v>
      </c>
      <c r="F34" s="29" t="s">
        <v>131</v>
      </c>
    </row>
    <row r="35" spans="2:10">
      <c r="B35" s="104" t="s">
        <v>120</v>
      </c>
      <c r="C35" s="110" t="s">
        <v>129</v>
      </c>
      <c r="D35" s="111" t="s">
        <v>122</v>
      </c>
      <c r="E35" s="110" t="s">
        <v>123</v>
      </c>
      <c r="F35" s="104" t="s">
        <v>124</v>
      </c>
      <c r="G35" s="104"/>
      <c r="H35" s="104"/>
      <c r="I35" s="104"/>
      <c r="J35" s="104"/>
    </row>
    <row r="36" spans="2:10">
      <c r="B36" s="104"/>
      <c r="C36" s="110"/>
      <c r="D36" s="111"/>
      <c r="E36" s="110"/>
      <c r="F36" s="104"/>
      <c r="G36" s="104"/>
      <c r="H36" s="104"/>
      <c r="I36" s="104"/>
      <c r="J36" s="104"/>
    </row>
    <row r="37" spans="2:10">
      <c r="B37" s="104" t="s">
        <v>121</v>
      </c>
      <c r="C37" s="104" t="s">
        <v>130</v>
      </c>
      <c r="D37" s="113" t="s">
        <v>125</v>
      </c>
      <c r="E37" s="112" t="s">
        <v>123</v>
      </c>
      <c r="F37" s="105" t="s">
        <v>126</v>
      </c>
      <c r="G37" s="105"/>
      <c r="H37" s="105"/>
      <c r="I37" s="105"/>
      <c r="J37" s="105"/>
    </row>
    <row r="38" spans="2:10">
      <c r="B38" s="104"/>
      <c r="C38" s="104"/>
      <c r="D38" s="113"/>
      <c r="E38" s="112"/>
      <c r="F38" s="105"/>
      <c r="G38" s="105"/>
      <c r="H38" s="105"/>
      <c r="I38" s="105"/>
      <c r="J38" s="105"/>
    </row>
    <row r="43" spans="2:10">
      <c r="B43" s="8" t="s">
        <v>91</v>
      </c>
    </row>
    <row r="44" spans="2:10">
      <c r="B44" s="8" t="s">
        <v>132</v>
      </c>
    </row>
    <row r="45" spans="2:10">
      <c r="B45" s="8" t="s">
        <v>155</v>
      </c>
    </row>
    <row r="47" spans="2:10">
      <c r="B47" s="8" t="s">
        <v>153</v>
      </c>
    </row>
    <row r="48" spans="2:10">
      <c r="B48" s="8" t="s">
        <v>154</v>
      </c>
    </row>
    <row r="50" spans="2:3">
      <c r="B50" s="59" t="s">
        <v>148</v>
      </c>
    </row>
    <row r="51" spans="2:3">
      <c r="B51" s="59" t="s">
        <v>149</v>
      </c>
    </row>
    <row r="52" spans="2:3">
      <c r="B52" s="59" t="s">
        <v>150</v>
      </c>
    </row>
    <row r="53" spans="2:3">
      <c r="B53" s="59" t="s">
        <v>151</v>
      </c>
    </row>
    <row r="54" spans="2:3">
      <c r="B54" s="59" t="s">
        <v>152</v>
      </c>
    </row>
    <row r="58" spans="2:3" ht="16">
      <c r="B58" s="5"/>
      <c r="C58" s="60"/>
    </row>
  </sheetData>
  <mergeCells count="20">
    <mergeCell ref="D35:D36"/>
    <mergeCell ref="E35:E36"/>
    <mergeCell ref="E37:E38"/>
    <mergeCell ref="D37:D38"/>
    <mergeCell ref="F35:J36"/>
    <mergeCell ref="F37:J38"/>
    <mergeCell ref="C12:Q12"/>
    <mergeCell ref="C13:Q13"/>
    <mergeCell ref="B5:N5"/>
    <mergeCell ref="C37:C38"/>
    <mergeCell ref="B37:B38"/>
    <mergeCell ref="B8:B9"/>
    <mergeCell ref="B10:B11"/>
    <mergeCell ref="C7:Q7"/>
    <mergeCell ref="C8:Q8"/>
    <mergeCell ref="C9:Q9"/>
    <mergeCell ref="C10:Q10"/>
    <mergeCell ref="C11:Q11"/>
    <mergeCell ref="B35:B36"/>
    <mergeCell ref="C35:C36"/>
  </mergeCells>
  <hyperlinks>
    <hyperlink ref="D35" r:id="rId1" xr:uid="{E56AA81B-2F64-1946-8694-711859A464A8}"/>
    <hyperlink ref="D37" r:id="rId2" xr:uid="{E0BB4FE4-2A9C-E34D-A37A-27AA58AAB0F7}"/>
    <hyperlink ref="B50" r:id="rId3" xr:uid="{51EB06B0-0120-A248-A131-7A42CF99EBF0}"/>
    <hyperlink ref="B51" r:id="rId4" xr:uid="{7AB334DB-4673-F547-9E16-0863FD142370}"/>
    <hyperlink ref="B52" r:id="rId5" xr:uid="{5E549600-2062-A04C-A39D-C99D3C87A238}"/>
    <hyperlink ref="B53" r:id="rId6" xr:uid="{D069DAE8-D217-0249-8715-06128B49C38F}"/>
    <hyperlink ref="B54" r:id="rId7" xr:uid="{DA3CDD7B-8286-C442-A639-72B7656574E4}"/>
  </hyperlinks>
  <pageMargins left="0.7" right="0.7" top="0.75" bottom="0.75" header="0.3" footer="0.3"/>
  <pageSetup orientation="portrait" horizontalDpi="0" verticalDpi="0"/>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A06A0-61D6-2347-8471-0FB047DD5FDD}">
  <dimension ref="A1:AG108"/>
  <sheetViews>
    <sheetView tabSelected="1" workbookViewId="0">
      <pane xSplit="1" ySplit="7" topLeftCell="B12" activePane="bottomRight" state="frozen"/>
      <selection pane="topRight" activeCell="B1" sqref="B1"/>
      <selection pane="bottomLeft" activeCell="A5" sqref="A5"/>
      <selection pane="bottomRight" activeCell="B30" sqref="B30"/>
    </sheetView>
  </sheetViews>
  <sheetFormatPr baseColWidth="10" defaultRowHeight="16" outlineLevelRow="1" outlineLevelCol="1"/>
  <cols>
    <col min="1" max="1" width="30.33203125" style="5" customWidth="1"/>
    <col min="2" max="7" width="12.83203125" style="20" customWidth="1"/>
    <col min="8" max="17" width="12.83203125" style="20" customWidth="1" outlineLevel="1"/>
    <col min="18" max="18" width="12.83203125" style="20" customWidth="1"/>
    <col min="19" max="20" width="10.83203125" style="20"/>
    <col min="21" max="21" width="11.33203125" style="20" bestFit="1" customWidth="1"/>
    <col min="22" max="33" width="11" style="20" bestFit="1" customWidth="1"/>
    <col min="34" max="16384" width="10.83203125" style="20"/>
  </cols>
  <sheetData>
    <row r="1" spans="1:33" s="5" customFormat="1" ht="19">
      <c r="A1" s="11" t="s">
        <v>167</v>
      </c>
    </row>
    <row r="2" spans="1:33" s="5" customFormat="1">
      <c r="A2" s="10" t="s">
        <v>0</v>
      </c>
    </row>
    <row r="3" spans="1:33" s="5" customFormat="1">
      <c r="A3" s="8" t="s">
        <v>166</v>
      </c>
    </row>
    <row r="4" spans="1:33" s="5" customFormat="1"/>
    <row r="5" spans="1:33" s="5" customFormat="1"/>
    <row r="6" spans="1:33" s="5" customFormat="1">
      <c r="A6" s="5" t="s">
        <v>161</v>
      </c>
      <c r="B6" s="79" t="s">
        <v>94</v>
      </c>
      <c r="C6" s="80" t="s">
        <v>95</v>
      </c>
      <c r="D6" s="80" t="s">
        <v>97</v>
      </c>
      <c r="E6" s="80" t="s">
        <v>98</v>
      </c>
      <c r="F6" s="80" t="s">
        <v>92</v>
      </c>
      <c r="G6" s="80" t="s">
        <v>93</v>
      </c>
      <c r="H6" s="80" t="s">
        <v>101</v>
      </c>
      <c r="I6" s="80" t="s">
        <v>102</v>
      </c>
      <c r="J6" s="80" t="s">
        <v>104</v>
      </c>
      <c r="K6" s="80" t="s">
        <v>105</v>
      </c>
      <c r="L6" s="80" t="s">
        <v>100</v>
      </c>
      <c r="M6" s="80" t="s">
        <v>106</v>
      </c>
      <c r="N6" s="80" t="s">
        <v>103</v>
      </c>
      <c r="O6" s="80" t="s">
        <v>107</v>
      </c>
      <c r="P6" s="80" t="s">
        <v>108</v>
      </c>
      <c r="Q6" s="81" t="s">
        <v>109</v>
      </c>
      <c r="S6" s="79" t="s">
        <v>33</v>
      </c>
      <c r="T6" s="80" t="s">
        <v>26</v>
      </c>
      <c r="U6" s="80" t="s">
        <v>27</v>
      </c>
      <c r="V6" s="80" t="s">
        <v>65</v>
      </c>
      <c r="W6" s="80" t="s">
        <v>110</v>
      </c>
      <c r="X6" s="80" t="s">
        <v>111</v>
      </c>
      <c r="Y6" s="80" t="s">
        <v>112</v>
      </c>
      <c r="Z6" s="80" t="s">
        <v>113</v>
      </c>
      <c r="AA6" s="80" t="s">
        <v>114</v>
      </c>
      <c r="AB6" s="80" t="s">
        <v>115</v>
      </c>
      <c r="AC6" s="80" t="s">
        <v>116</v>
      </c>
      <c r="AD6" s="80" t="s">
        <v>117</v>
      </c>
      <c r="AE6" s="80" t="s">
        <v>185</v>
      </c>
      <c r="AF6" s="80" t="s">
        <v>186</v>
      </c>
      <c r="AG6" s="81" t="s">
        <v>240</v>
      </c>
    </row>
    <row r="7" spans="1:33" s="5" customFormat="1">
      <c r="A7" s="5" t="s">
        <v>177</v>
      </c>
      <c r="B7" s="85">
        <v>44286</v>
      </c>
      <c r="C7" s="86">
        <v>44377</v>
      </c>
      <c r="D7" s="86">
        <v>44469</v>
      </c>
      <c r="E7" s="86">
        <v>44561</v>
      </c>
      <c r="F7" s="86">
        <f>B7+365</f>
        <v>44651</v>
      </c>
      <c r="G7" s="86">
        <f t="shared" ref="G7:M7" si="0">C7+365</f>
        <v>44742</v>
      </c>
      <c r="H7" s="86">
        <f t="shared" si="0"/>
        <v>44834</v>
      </c>
      <c r="I7" s="86">
        <f t="shared" si="0"/>
        <v>44926</v>
      </c>
      <c r="J7" s="86">
        <f t="shared" si="0"/>
        <v>45016</v>
      </c>
      <c r="K7" s="86">
        <f t="shared" si="0"/>
        <v>45107</v>
      </c>
      <c r="L7" s="86">
        <f t="shared" si="0"/>
        <v>45199</v>
      </c>
      <c r="M7" s="86">
        <f t="shared" si="0"/>
        <v>45291</v>
      </c>
      <c r="N7" s="86">
        <f>J7+366</f>
        <v>45382</v>
      </c>
      <c r="O7" s="86">
        <f>K7+366</f>
        <v>45473</v>
      </c>
      <c r="P7" s="86">
        <f>L7+366</f>
        <v>45565</v>
      </c>
      <c r="Q7" s="87">
        <f>M7+366</f>
        <v>45657</v>
      </c>
      <c r="S7" s="82">
        <v>2019</v>
      </c>
      <c r="T7" s="83">
        <v>2020</v>
      </c>
      <c r="U7" s="83">
        <v>2021</v>
      </c>
      <c r="V7" s="83">
        <f>U7+1</f>
        <v>2022</v>
      </c>
      <c r="W7" s="83">
        <f t="shared" ref="W7:AG7" si="1">V7+1</f>
        <v>2023</v>
      </c>
      <c r="X7" s="83">
        <f t="shared" si="1"/>
        <v>2024</v>
      </c>
      <c r="Y7" s="83">
        <f t="shared" si="1"/>
        <v>2025</v>
      </c>
      <c r="Z7" s="83">
        <f t="shared" si="1"/>
        <v>2026</v>
      </c>
      <c r="AA7" s="83">
        <f t="shared" si="1"/>
        <v>2027</v>
      </c>
      <c r="AB7" s="83">
        <f t="shared" si="1"/>
        <v>2028</v>
      </c>
      <c r="AC7" s="83">
        <f t="shared" si="1"/>
        <v>2029</v>
      </c>
      <c r="AD7" s="83">
        <f t="shared" si="1"/>
        <v>2030</v>
      </c>
      <c r="AE7" s="83">
        <f t="shared" si="1"/>
        <v>2031</v>
      </c>
      <c r="AF7" s="83">
        <f t="shared" si="1"/>
        <v>2032</v>
      </c>
      <c r="AG7" s="84">
        <f t="shared" si="1"/>
        <v>2033</v>
      </c>
    </row>
    <row r="8" spans="1:33" hidden="1" outlineLevel="1">
      <c r="A8" s="66" t="s">
        <v>170</v>
      </c>
      <c r="B8" s="67"/>
      <c r="C8" s="67"/>
      <c r="D8" s="67"/>
      <c r="E8" s="67"/>
      <c r="F8" s="67"/>
      <c r="G8" s="67"/>
      <c r="H8" s="67"/>
      <c r="I8" s="67"/>
      <c r="J8" s="67"/>
      <c r="K8" s="67"/>
      <c r="L8" s="67"/>
      <c r="M8" s="67"/>
      <c r="N8" s="67"/>
      <c r="O8" s="67"/>
      <c r="P8" s="67"/>
      <c r="Q8" s="67"/>
    </row>
    <row r="9" spans="1:33" hidden="1" outlineLevel="1">
      <c r="A9" s="5" t="s">
        <v>13</v>
      </c>
      <c r="B9" s="67"/>
      <c r="C9" s="67"/>
      <c r="D9" s="67"/>
      <c r="E9" s="67"/>
      <c r="F9" s="67"/>
      <c r="G9" s="67"/>
      <c r="H9" s="67"/>
      <c r="I9" s="67"/>
      <c r="J9" s="67"/>
      <c r="K9" s="67"/>
      <c r="L9" s="67"/>
      <c r="M9" s="67"/>
      <c r="N9" s="67"/>
      <c r="O9" s="67"/>
      <c r="P9" s="67"/>
      <c r="Q9" s="67"/>
    </row>
    <row r="10" spans="1:33" hidden="1" outlineLevel="1">
      <c r="A10" s="5" t="s">
        <v>14</v>
      </c>
      <c r="B10" s="67"/>
      <c r="C10" s="67"/>
      <c r="D10" s="67"/>
      <c r="E10" s="67"/>
      <c r="F10" s="67"/>
      <c r="G10" s="67"/>
      <c r="H10" s="67"/>
      <c r="I10" s="67"/>
      <c r="J10" s="67"/>
      <c r="K10" s="67"/>
      <c r="L10" s="67"/>
      <c r="M10" s="67"/>
      <c r="N10" s="67"/>
      <c r="O10" s="67"/>
      <c r="P10" s="67"/>
      <c r="Q10" s="67"/>
    </row>
    <row r="11" spans="1:33" hidden="1" outlineLevel="1">
      <c r="A11" s="5" t="s">
        <v>3</v>
      </c>
      <c r="B11" s="67"/>
      <c r="C11" s="67"/>
      <c r="D11" s="67"/>
      <c r="E11" s="67"/>
      <c r="F11" s="67"/>
      <c r="G11" s="67"/>
      <c r="H11" s="67"/>
      <c r="I11" s="67"/>
      <c r="J11" s="67"/>
      <c r="K11" s="67"/>
      <c r="L11" s="67"/>
      <c r="M11" s="67"/>
      <c r="N11" s="67"/>
      <c r="O11" s="67"/>
      <c r="P11" s="67"/>
      <c r="Q11" s="67"/>
    </row>
    <row r="12" spans="1:33" collapsed="1">
      <c r="A12" s="5" t="s">
        <v>25</v>
      </c>
      <c r="B12" s="20">
        <v>10131</v>
      </c>
      <c r="C12" s="20">
        <v>8698</v>
      </c>
      <c r="D12" s="20">
        <v>1101</v>
      </c>
      <c r="E12" s="20">
        <f>U12-B12-C12-D12</f>
        <v>9460</v>
      </c>
      <c r="F12" s="20">
        <v>7578</v>
      </c>
      <c r="G12" s="20">
        <v>9116</v>
      </c>
      <c r="H12" s="21">
        <f>(AVERAGE(E12:G12)+D12)/2*1.04</f>
        <v>5105.88</v>
      </c>
      <c r="I12" s="21">
        <f t="shared" ref="I12:Q12" si="2">(AVERAGE(F12:H12)+E12)/2*1.04</f>
        <v>8697.8458666666666</v>
      </c>
      <c r="J12" s="21">
        <f t="shared" si="2"/>
        <v>7913.3124835555554</v>
      </c>
      <c r="K12" s="21">
        <f t="shared" si="2"/>
        <v>8504.6066473718529</v>
      </c>
      <c r="L12" s="21">
        <f t="shared" si="2"/>
        <v>7008.4568662496404</v>
      </c>
      <c r="M12" s="21">
        <f t="shared" si="2"/>
        <v>8583.451690177355</v>
      </c>
      <c r="N12" s="21">
        <f t="shared" si="2"/>
        <v>8291.6517934406893</v>
      </c>
      <c r="O12" s="21">
        <f t="shared" si="2"/>
        <v>8562.2125839437613</v>
      </c>
      <c r="P12" s="21">
        <f t="shared" si="2"/>
        <v>8053.5323554938595</v>
      </c>
      <c r="Q12" s="21">
        <f t="shared" si="2"/>
        <v>8780.6769792577998</v>
      </c>
      <c r="S12" s="20">
        <v>50041</v>
      </c>
      <c r="T12" s="20">
        <v>42983</v>
      </c>
      <c r="U12" s="20">
        <v>29390</v>
      </c>
      <c r="V12" s="21">
        <f>SUM(F12:I12)</f>
        <v>30497.725866666668</v>
      </c>
      <c r="W12" s="21">
        <f>SUM(J12:M12)</f>
        <v>32009.827687354402</v>
      </c>
      <c r="X12" s="21">
        <f>SUM(N12:Q12)</f>
        <v>33688.073712136109</v>
      </c>
      <c r="Y12" s="21">
        <f>X12*1.03</f>
        <v>34698.715923500196</v>
      </c>
      <c r="Z12" s="21">
        <f t="shared" ref="Z12:AG12" si="3">Y12*1.03</f>
        <v>35739.677401205205</v>
      </c>
      <c r="AA12" s="21">
        <f t="shared" si="3"/>
        <v>36811.867723241361</v>
      </c>
      <c r="AB12" s="21">
        <f t="shared" si="3"/>
        <v>37916.223754938605</v>
      </c>
      <c r="AC12" s="21">
        <f t="shared" si="3"/>
        <v>39053.710467586767</v>
      </c>
      <c r="AD12" s="21">
        <f t="shared" si="3"/>
        <v>40225.321781614373</v>
      </c>
      <c r="AE12" s="21">
        <f t="shared" si="3"/>
        <v>41432.081435062806</v>
      </c>
      <c r="AF12" s="21">
        <f t="shared" si="3"/>
        <v>42675.043878114695</v>
      </c>
      <c r="AG12" s="21">
        <f t="shared" si="3"/>
        <v>43955.295194458136</v>
      </c>
    </row>
    <row r="13" spans="1:33">
      <c r="V13" s="21"/>
      <c r="W13" s="21"/>
      <c r="X13" s="21"/>
      <c r="Y13" s="21"/>
      <c r="Z13" s="21"/>
    </row>
    <row r="14" spans="1:33" s="77" customFormat="1">
      <c r="A14" s="66" t="s">
        <v>134</v>
      </c>
      <c r="B14" s="77">
        <f t="shared" ref="B14:Q14" si="4">B12</f>
        <v>10131</v>
      </c>
      <c r="C14" s="77">
        <f t="shared" si="4"/>
        <v>8698</v>
      </c>
      <c r="D14" s="77">
        <f t="shared" si="4"/>
        <v>1101</v>
      </c>
      <c r="E14" s="77">
        <f t="shared" si="4"/>
        <v>9460</v>
      </c>
      <c r="F14" s="77">
        <f t="shared" si="4"/>
        <v>7578</v>
      </c>
      <c r="G14" s="77">
        <f t="shared" si="4"/>
        <v>9116</v>
      </c>
      <c r="H14" s="78">
        <f t="shared" si="4"/>
        <v>5105.88</v>
      </c>
      <c r="I14" s="78">
        <f t="shared" si="4"/>
        <v>8697.8458666666666</v>
      </c>
      <c r="J14" s="78">
        <f t="shared" si="4"/>
        <v>7913.3124835555554</v>
      </c>
      <c r="K14" s="78">
        <f t="shared" si="4"/>
        <v>8504.6066473718529</v>
      </c>
      <c r="L14" s="78">
        <f t="shared" si="4"/>
        <v>7008.4568662496404</v>
      </c>
      <c r="M14" s="78">
        <f t="shared" si="4"/>
        <v>8583.451690177355</v>
      </c>
      <c r="N14" s="78">
        <f t="shared" si="4"/>
        <v>8291.6517934406893</v>
      </c>
      <c r="O14" s="78">
        <f t="shared" si="4"/>
        <v>8562.2125839437613</v>
      </c>
      <c r="P14" s="78">
        <f t="shared" si="4"/>
        <v>8053.5323554938595</v>
      </c>
      <c r="Q14" s="78">
        <f t="shared" si="4"/>
        <v>8780.6769792577998</v>
      </c>
      <c r="S14" s="77">
        <f>S12</f>
        <v>50041</v>
      </c>
      <c r="T14" s="77">
        <f>T12</f>
        <v>42983</v>
      </c>
      <c r="U14" s="78">
        <f>U12</f>
        <v>29390</v>
      </c>
      <c r="V14" s="78">
        <f t="shared" ref="V14:AG14" si="5">V12</f>
        <v>30497.725866666668</v>
      </c>
      <c r="W14" s="78">
        <f t="shared" si="5"/>
        <v>32009.827687354402</v>
      </c>
      <c r="X14" s="78">
        <f t="shared" si="5"/>
        <v>33688.073712136109</v>
      </c>
      <c r="Y14" s="78">
        <f t="shared" si="5"/>
        <v>34698.715923500196</v>
      </c>
      <c r="Z14" s="78">
        <f t="shared" si="5"/>
        <v>35739.677401205205</v>
      </c>
      <c r="AA14" s="78">
        <f t="shared" si="5"/>
        <v>36811.867723241361</v>
      </c>
      <c r="AB14" s="78">
        <f t="shared" si="5"/>
        <v>37916.223754938605</v>
      </c>
      <c r="AC14" s="78">
        <f t="shared" si="5"/>
        <v>39053.710467586767</v>
      </c>
      <c r="AD14" s="78">
        <f t="shared" si="5"/>
        <v>40225.321781614373</v>
      </c>
      <c r="AE14" s="78">
        <f t="shared" si="5"/>
        <v>41432.081435062806</v>
      </c>
      <c r="AF14" s="78">
        <f t="shared" si="5"/>
        <v>42675.043878114695</v>
      </c>
      <c r="AG14" s="78">
        <f t="shared" si="5"/>
        <v>43955.295194458136</v>
      </c>
    </row>
    <row r="15" spans="1:33">
      <c r="A15" s="5" t="s">
        <v>135</v>
      </c>
      <c r="V15" s="21"/>
      <c r="W15" s="21"/>
      <c r="X15" s="21"/>
      <c r="Y15" s="21"/>
      <c r="Z15" s="21"/>
    </row>
    <row r="16" spans="1:33">
      <c r="A16" s="5" t="s">
        <v>140</v>
      </c>
      <c r="B16" s="20">
        <f t="shared" ref="B16:G16" si="6">B14-B15</f>
        <v>10131</v>
      </c>
      <c r="C16" s="20">
        <f t="shared" si="6"/>
        <v>8698</v>
      </c>
      <c r="D16" s="20">
        <f t="shared" si="6"/>
        <v>1101</v>
      </c>
      <c r="E16" s="20">
        <f t="shared" si="6"/>
        <v>9460</v>
      </c>
      <c r="F16" s="20">
        <f t="shared" si="6"/>
        <v>7578</v>
      </c>
      <c r="G16" s="20">
        <f t="shared" si="6"/>
        <v>9116</v>
      </c>
      <c r="H16" s="21">
        <f t="shared" ref="H16:Q16" si="7">H14-H15</f>
        <v>5105.88</v>
      </c>
      <c r="I16" s="21">
        <f t="shared" si="7"/>
        <v>8697.8458666666666</v>
      </c>
      <c r="J16" s="21">
        <f t="shared" si="7"/>
        <v>7913.3124835555554</v>
      </c>
      <c r="K16" s="21">
        <f t="shared" si="7"/>
        <v>8504.6066473718529</v>
      </c>
      <c r="L16" s="21">
        <f t="shared" si="7"/>
        <v>7008.4568662496404</v>
      </c>
      <c r="M16" s="21">
        <f t="shared" si="7"/>
        <v>8583.451690177355</v>
      </c>
      <c r="N16" s="21">
        <f t="shared" si="7"/>
        <v>8291.6517934406893</v>
      </c>
      <c r="O16" s="21">
        <f t="shared" si="7"/>
        <v>8562.2125839437613</v>
      </c>
      <c r="P16" s="21">
        <f t="shared" si="7"/>
        <v>8053.5323554938595</v>
      </c>
      <c r="Q16" s="21">
        <f t="shared" si="7"/>
        <v>8780.6769792577998</v>
      </c>
      <c r="S16" s="20">
        <f>S14-S15</f>
        <v>50041</v>
      </c>
      <c r="T16" s="20">
        <f>T14-T15</f>
        <v>42983</v>
      </c>
      <c r="U16" s="20">
        <f>U14-U15</f>
        <v>29390</v>
      </c>
      <c r="V16" s="21">
        <f>SUM(F16:I16)</f>
        <v>30497.725866666668</v>
      </c>
      <c r="W16" s="21">
        <f>SUM(J16:M16)</f>
        <v>32009.827687354402</v>
      </c>
      <c r="X16" s="21">
        <f>SUM(N16:Q16)</f>
        <v>33688.073712136109</v>
      </c>
      <c r="Y16" s="21">
        <f>Y14-Y15</f>
        <v>34698.715923500196</v>
      </c>
      <c r="Z16" s="21">
        <f t="shared" ref="Z16:AG16" si="8">Z14-Z15</f>
        <v>35739.677401205205</v>
      </c>
      <c r="AA16" s="21">
        <f t="shared" si="8"/>
        <v>36811.867723241361</v>
      </c>
      <c r="AB16" s="21">
        <f t="shared" si="8"/>
        <v>37916.223754938605</v>
      </c>
      <c r="AC16" s="21">
        <f t="shared" si="8"/>
        <v>39053.710467586767</v>
      </c>
      <c r="AD16" s="21">
        <f t="shared" si="8"/>
        <v>40225.321781614373</v>
      </c>
      <c r="AE16" s="21">
        <f t="shared" si="8"/>
        <v>41432.081435062806</v>
      </c>
      <c r="AF16" s="21">
        <f t="shared" si="8"/>
        <v>42675.043878114695</v>
      </c>
      <c r="AG16" s="21">
        <f t="shared" si="8"/>
        <v>43955.295194458136</v>
      </c>
    </row>
    <row r="17" spans="1:33">
      <c r="A17" s="5" t="s">
        <v>136</v>
      </c>
      <c r="B17" s="68">
        <f t="shared" ref="B17:G17" si="9">B16/B14</f>
        <v>1</v>
      </c>
      <c r="C17" s="68">
        <f t="shared" si="9"/>
        <v>1</v>
      </c>
      <c r="D17" s="68">
        <f t="shared" si="9"/>
        <v>1</v>
      </c>
      <c r="E17" s="68">
        <f t="shared" si="9"/>
        <v>1</v>
      </c>
      <c r="F17" s="68">
        <f t="shared" si="9"/>
        <v>1</v>
      </c>
      <c r="G17" s="68">
        <f t="shared" si="9"/>
        <v>1</v>
      </c>
      <c r="H17" s="68">
        <f t="shared" ref="H17:Q17" si="10">H16/H14</f>
        <v>1</v>
      </c>
      <c r="I17" s="68">
        <f t="shared" si="10"/>
        <v>1</v>
      </c>
      <c r="J17" s="68">
        <f t="shared" si="10"/>
        <v>1</v>
      </c>
      <c r="K17" s="68">
        <f t="shared" si="10"/>
        <v>1</v>
      </c>
      <c r="L17" s="68">
        <f t="shared" si="10"/>
        <v>1</v>
      </c>
      <c r="M17" s="68">
        <f t="shared" si="10"/>
        <v>1</v>
      </c>
      <c r="N17" s="68">
        <f t="shared" si="10"/>
        <v>1</v>
      </c>
      <c r="O17" s="68">
        <f t="shared" si="10"/>
        <v>1</v>
      </c>
      <c r="P17" s="68">
        <f t="shared" si="10"/>
        <v>1</v>
      </c>
      <c r="Q17" s="68">
        <f t="shared" si="10"/>
        <v>1</v>
      </c>
      <c r="S17" s="68">
        <f>S16/S14</f>
        <v>1</v>
      </c>
      <c r="T17" s="68">
        <f>T16/T14</f>
        <v>1</v>
      </c>
      <c r="U17" s="68">
        <f>U16/U14</f>
        <v>1</v>
      </c>
      <c r="V17" s="21"/>
      <c r="W17" s="21"/>
      <c r="X17" s="21"/>
      <c r="Y17" s="21"/>
      <c r="Z17" s="21"/>
    </row>
    <row r="18" spans="1:33">
      <c r="A18" s="5" t="s">
        <v>28</v>
      </c>
      <c r="B18" s="20">
        <v>40858</v>
      </c>
      <c r="C18" s="20">
        <v>45936</v>
      </c>
      <c r="D18" s="20">
        <v>46473</v>
      </c>
      <c r="E18" s="20">
        <f>U18-B18-C18-D18</f>
        <v>53681</v>
      </c>
      <c r="F18" s="20">
        <v>56490</v>
      </c>
      <c r="G18" s="20">
        <v>61001</v>
      </c>
      <c r="H18" s="21">
        <f>G18*(1+H20)</f>
        <v>64051.05</v>
      </c>
      <c r="I18" s="21">
        <f t="shared" ref="I18:Q18" si="11">H18*(1+I20)</f>
        <v>67253.602500000008</v>
      </c>
      <c r="J18" s="21">
        <f t="shared" si="11"/>
        <v>69271.210575000005</v>
      </c>
      <c r="K18" s="21">
        <f t="shared" si="11"/>
        <v>71349.346892250003</v>
      </c>
      <c r="L18" s="21">
        <f t="shared" si="11"/>
        <v>73489.827299017503</v>
      </c>
      <c r="M18" s="21">
        <f t="shared" si="11"/>
        <v>75694.522117988032</v>
      </c>
      <c r="N18" s="21">
        <f t="shared" si="11"/>
        <v>77208.412560347788</v>
      </c>
      <c r="O18" s="21">
        <f t="shared" si="11"/>
        <v>78752.580811554741</v>
      </c>
      <c r="P18" s="21">
        <f t="shared" si="11"/>
        <v>80327.632427785837</v>
      </c>
      <c r="Q18" s="21">
        <f t="shared" si="11"/>
        <v>81934.185076341557</v>
      </c>
      <c r="S18" s="20">
        <v>91755</v>
      </c>
      <c r="T18" s="20">
        <v>132252</v>
      </c>
      <c r="U18" s="20">
        <v>186948</v>
      </c>
      <c r="V18" s="21">
        <f>SUM(F18:I18)</f>
        <v>248795.6525</v>
      </c>
      <c r="W18" s="21">
        <f>SUM(J18:M18)</f>
        <v>289804.90688425553</v>
      </c>
      <c r="X18" s="21">
        <f>SUM(N18:Q18)</f>
        <v>318222.81087602989</v>
      </c>
      <c r="Y18" s="21">
        <f>X18*(1+Y19)</f>
        <v>337316.17952859169</v>
      </c>
      <c r="Z18" s="21">
        <f t="shared" ref="Z18:AG18" si="12">Y18*(1+Z19)</f>
        <v>357555.1503003072</v>
      </c>
      <c r="AA18" s="21">
        <f t="shared" si="12"/>
        <v>379008.45931832562</v>
      </c>
      <c r="AB18" s="21">
        <f t="shared" si="12"/>
        <v>401748.96687742521</v>
      </c>
      <c r="AC18" s="21">
        <f t="shared" si="12"/>
        <v>425853.90489007073</v>
      </c>
      <c r="AD18" s="21">
        <f t="shared" si="12"/>
        <v>451405.139183475</v>
      </c>
      <c r="AE18" s="21">
        <f t="shared" si="12"/>
        <v>478489.44753448351</v>
      </c>
      <c r="AF18" s="21">
        <f t="shared" si="12"/>
        <v>507198.81438655255</v>
      </c>
      <c r="AG18" s="21">
        <f t="shared" si="12"/>
        <v>537630.74324974569</v>
      </c>
    </row>
    <row r="19" spans="1:33" s="73" customFormat="1">
      <c r="A19" s="70" t="s">
        <v>175</v>
      </c>
      <c r="F19" s="72">
        <f>F18/B18-1</f>
        <v>0.38259337216701739</v>
      </c>
      <c r="G19" s="72">
        <f>G18/C18-1</f>
        <v>0.32795628700801105</v>
      </c>
      <c r="H19" s="72">
        <f t="shared" ref="H19:Q19" si="13">H18/D18-1</f>
        <v>0.3782422051513783</v>
      </c>
      <c r="I19" s="72">
        <f t="shared" si="13"/>
        <v>0.25283810845550581</v>
      </c>
      <c r="J19" s="72">
        <f t="shared" si="13"/>
        <v>0.22625616171003715</v>
      </c>
      <c r="K19" s="72">
        <f t="shared" si="13"/>
        <v>0.16964225000000011</v>
      </c>
      <c r="L19" s="72">
        <f t="shared" si="13"/>
        <v>0.14736335</v>
      </c>
      <c r="M19" s="72">
        <f t="shared" si="13"/>
        <v>0.12550880999999992</v>
      </c>
      <c r="N19" s="72">
        <f t="shared" si="13"/>
        <v>0.11458153999999987</v>
      </c>
      <c r="O19" s="72">
        <f t="shared" si="13"/>
        <v>0.10376035999999988</v>
      </c>
      <c r="P19" s="72">
        <f t="shared" si="13"/>
        <v>9.304424E-2</v>
      </c>
      <c r="Q19" s="72">
        <f t="shared" si="13"/>
        <v>8.2432159999999977E-2</v>
      </c>
      <c r="T19" s="72">
        <f>T18/S18-1</f>
        <v>0.4413601438613699</v>
      </c>
      <c r="U19" s="72">
        <f>U18/T18-1</f>
        <v>0.41357408583613098</v>
      </c>
      <c r="V19" s="76"/>
      <c r="W19" s="76"/>
      <c r="X19" s="76"/>
      <c r="Y19" s="75">
        <v>0.06</v>
      </c>
      <c r="Z19" s="75">
        <v>0.06</v>
      </c>
      <c r="AA19" s="75">
        <v>0.06</v>
      </c>
      <c r="AB19" s="75">
        <v>0.06</v>
      </c>
      <c r="AC19" s="75">
        <v>0.06</v>
      </c>
      <c r="AD19" s="75">
        <v>0.06</v>
      </c>
      <c r="AE19" s="75">
        <v>0.06</v>
      </c>
      <c r="AF19" s="75">
        <v>0.06</v>
      </c>
      <c r="AG19" s="75">
        <v>0.06</v>
      </c>
    </row>
    <row r="20" spans="1:33" s="73" customFormat="1">
      <c r="A20" s="70" t="s">
        <v>176</v>
      </c>
      <c r="C20" s="72">
        <f>C18/B18-1</f>
        <v>0.12428410592784767</v>
      </c>
      <c r="D20" s="72">
        <f t="shared" ref="D20:F20" si="14">D18/C18-1</f>
        <v>1.1690177638453481E-2</v>
      </c>
      <c r="E20" s="72">
        <f t="shared" si="14"/>
        <v>0.15510081122372132</v>
      </c>
      <c r="F20" s="72">
        <f t="shared" si="14"/>
        <v>5.232763920195227E-2</v>
      </c>
      <c r="G20" s="72">
        <f>G18/F18-1</f>
        <v>7.9854841564878765E-2</v>
      </c>
      <c r="H20" s="75">
        <v>0.05</v>
      </c>
      <c r="I20" s="75">
        <v>0.05</v>
      </c>
      <c r="J20" s="75">
        <v>0.03</v>
      </c>
      <c r="K20" s="75">
        <v>0.03</v>
      </c>
      <c r="L20" s="75">
        <v>0.03</v>
      </c>
      <c r="M20" s="75">
        <v>0.03</v>
      </c>
      <c r="N20" s="75">
        <v>0.02</v>
      </c>
      <c r="O20" s="75">
        <v>0.02</v>
      </c>
      <c r="P20" s="75">
        <v>0.02</v>
      </c>
      <c r="Q20" s="75">
        <v>0.02</v>
      </c>
      <c r="T20" s="72"/>
      <c r="U20" s="72"/>
      <c r="V20" s="76"/>
      <c r="W20" s="76"/>
      <c r="X20" s="76"/>
    </row>
    <row r="21" spans="1:33">
      <c r="A21" s="5" t="s">
        <v>29</v>
      </c>
      <c r="B21" s="20">
        <v>6670</v>
      </c>
      <c r="C21" s="20">
        <v>7297</v>
      </c>
      <c r="D21" s="20">
        <v>7791</v>
      </c>
      <c r="E21" s="20">
        <f>U21-B21-C21-D21</f>
        <v>8692</v>
      </c>
      <c r="F21" s="20">
        <v>9037</v>
      </c>
      <c r="G21" s="20">
        <v>10204</v>
      </c>
      <c r="H21" s="21">
        <f>G21*(1+H23)</f>
        <v>11122.36</v>
      </c>
      <c r="I21" s="21">
        <f t="shared" ref="I21:Q21" si="15">H21*(1+I23)</f>
        <v>12123.372400000002</v>
      </c>
      <c r="J21" s="21">
        <f t="shared" si="15"/>
        <v>13093.242192000003</v>
      </c>
      <c r="K21" s="21">
        <f t="shared" si="15"/>
        <v>13747.904301600003</v>
      </c>
      <c r="L21" s="21">
        <f t="shared" si="15"/>
        <v>14435.299516680005</v>
      </c>
      <c r="M21" s="21">
        <f t="shared" si="15"/>
        <v>15157.064492514006</v>
      </c>
      <c r="N21" s="21">
        <f t="shared" si="15"/>
        <v>15914.917717139708</v>
      </c>
      <c r="O21" s="21">
        <f t="shared" si="15"/>
        <v>16710.663602996694</v>
      </c>
      <c r="P21" s="21">
        <f t="shared" si="15"/>
        <v>17546.19678314653</v>
      </c>
      <c r="Q21" s="21">
        <f t="shared" si="15"/>
        <v>18423.506622303856</v>
      </c>
      <c r="S21" s="20">
        <v>12406</v>
      </c>
      <c r="T21" s="20">
        <v>21428</v>
      </c>
      <c r="U21" s="20">
        <v>30450</v>
      </c>
      <c r="V21" s="21">
        <f>SUM(F21:I21)</f>
        <v>42486.732400000001</v>
      </c>
      <c r="W21" s="21">
        <f>SUM(J21:M21)</f>
        <v>56433.510502794015</v>
      </c>
      <c r="X21" s="21">
        <f>SUM(N21:Q21)</f>
        <v>68595.284725586782</v>
      </c>
      <c r="Y21" s="21"/>
      <c r="Z21" s="21"/>
    </row>
    <row r="22" spans="1:33" s="73" customFormat="1">
      <c r="A22" s="70" t="s">
        <v>175</v>
      </c>
      <c r="F22" s="72">
        <f>F21/B21-1</f>
        <v>0.35487256371814091</v>
      </c>
      <c r="G22" s="72">
        <f>G21/C21-1</f>
        <v>0.39838289708099217</v>
      </c>
      <c r="H22" s="72">
        <f t="shared" ref="H22:Q22" si="16">H21/D21-1</f>
        <v>0.42759080990886922</v>
      </c>
      <c r="I22" s="72">
        <f t="shared" si="16"/>
        <v>0.39477363092498874</v>
      </c>
      <c r="J22" s="72">
        <f t="shared" si="16"/>
        <v>0.44884831160783478</v>
      </c>
      <c r="K22" s="72">
        <f t="shared" si="16"/>
        <v>0.34730540000000021</v>
      </c>
      <c r="L22" s="72">
        <f t="shared" si="16"/>
        <v>0.29786300000000043</v>
      </c>
      <c r="M22" s="72">
        <f t="shared" si="16"/>
        <v>0.25023500000000021</v>
      </c>
      <c r="N22" s="72">
        <f t="shared" si="16"/>
        <v>0.21550625000000023</v>
      </c>
      <c r="O22" s="72">
        <f t="shared" si="16"/>
        <v>0.21550625000000045</v>
      </c>
      <c r="P22" s="72">
        <f t="shared" si="16"/>
        <v>0.21550625000000045</v>
      </c>
      <c r="Q22" s="72">
        <f t="shared" si="16"/>
        <v>0.21550625000000023</v>
      </c>
      <c r="T22" s="72">
        <f>T21/S21-1</f>
        <v>0.72722876027728511</v>
      </c>
      <c r="U22" s="72">
        <f>U21/T21-1</f>
        <v>0.42103789434384908</v>
      </c>
      <c r="V22" s="72">
        <f t="shared" ref="V22:X22" si="17">V21/U21-1</f>
        <v>0.39529498850574707</v>
      </c>
      <c r="W22" s="72">
        <f t="shared" si="17"/>
        <v>0.32826196120448214</v>
      </c>
      <c r="X22" s="72">
        <f t="shared" si="17"/>
        <v>0.21550625000000023</v>
      </c>
      <c r="Y22" s="75">
        <v>0.06</v>
      </c>
      <c r="Z22" s="75">
        <v>0.06</v>
      </c>
      <c r="AA22" s="75">
        <v>0.06</v>
      </c>
      <c r="AB22" s="75">
        <v>0.06</v>
      </c>
      <c r="AC22" s="75">
        <v>0.06</v>
      </c>
      <c r="AD22" s="75">
        <v>0.06</v>
      </c>
      <c r="AE22" s="75">
        <v>0.06</v>
      </c>
      <c r="AF22" s="75">
        <v>0.06</v>
      </c>
      <c r="AG22" s="75">
        <v>0.06</v>
      </c>
    </row>
    <row r="23" spans="1:33" s="73" customFormat="1">
      <c r="A23" s="70" t="s">
        <v>176</v>
      </c>
      <c r="C23" s="72">
        <f>C21/B21-1</f>
        <v>9.4002998500749557E-2</v>
      </c>
      <c r="D23" s="72">
        <f t="shared" ref="D23:F23" si="18">D21/C21-1</f>
        <v>6.7699054405920167E-2</v>
      </c>
      <c r="E23" s="72">
        <f t="shared" si="18"/>
        <v>0.11564625850340127</v>
      </c>
      <c r="F23" s="72">
        <f t="shared" si="18"/>
        <v>3.9691670501610599E-2</v>
      </c>
      <c r="G23" s="72">
        <f>G21/F21-1</f>
        <v>0.12913577514661956</v>
      </c>
      <c r="H23" s="75">
        <v>0.09</v>
      </c>
      <c r="I23" s="75">
        <v>0.09</v>
      </c>
      <c r="J23" s="75">
        <v>0.08</v>
      </c>
      <c r="K23" s="75">
        <v>0.05</v>
      </c>
      <c r="L23" s="75">
        <v>0.05</v>
      </c>
      <c r="M23" s="75">
        <v>0.05</v>
      </c>
      <c r="N23" s="75">
        <v>0.05</v>
      </c>
      <c r="O23" s="75">
        <v>0.05</v>
      </c>
      <c r="P23" s="75">
        <v>0.05</v>
      </c>
      <c r="Q23" s="75">
        <v>0.05</v>
      </c>
      <c r="T23" s="72"/>
      <c r="U23" s="72"/>
    </row>
    <row r="24" spans="1:33">
      <c r="A24" s="5" t="s">
        <v>137</v>
      </c>
      <c r="B24" s="20">
        <f t="shared" ref="B24:G24" si="19">B18+B21</f>
        <v>47528</v>
      </c>
      <c r="C24" s="20">
        <f t="shared" si="19"/>
        <v>53233</v>
      </c>
      <c r="D24" s="20">
        <f t="shared" si="19"/>
        <v>54264</v>
      </c>
      <c r="E24" s="20">
        <f t="shared" si="19"/>
        <v>62373</v>
      </c>
      <c r="F24" s="20">
        <f t="shared" si="19"/>
        <v>65527</v>
      </c>
      <c r="G24" s="21">
        <f t="shared" si="19"/>
        <v>71205</v>
      </c>
      <c r="H24" s="21">
        <f t="shared" ref="H24:Q24" si="20">H18+H21</f>
        <v>75173.41</v>
      </c>
      <c r="I24" s="21">
        <f t="shared" si="20"/>
        <v>79376.974900000016</v>
      </c>
      <c r="J24" s="21">
        <f t="shared" si="20"/>
        <v>82364.45276700001</v>
      </c>
      <c r="K24" s="21">
        <f t="shared" si="20"/>
        <v>85097.25119385001</v>
      </c>
      <c r="L24" s="21">
        <f t="shared" si="20"/>
        <v>87925.126815697513</v>
      </c>
      <c r="M24" s="21">
        <f t="shared" si="20"/>
        <v>90851.58661050204</v>
      </c>
      <c r="N24" s="21">
        <f t="shared" si="20"/>
        <v>93123.33027748749</v>
      </c>
      <c r="O24" s="21">
        <f t="shared" si="20"/>
        <v>95463.244414551431</v>
      </c>
      <c r="P24" s="21">
        <f t="shared" si="20"/>
        <v>97873.829210932367</v>
      </c>
      <c r="Q24" s="21">
        <f t="shared" si="20"/>
        <v>100357.69169864542</v>
      </c>
      <c r="S24" s="20">
        <f>S18+S21</f>
        <v>104161</v>
      </c>
      <c r="T24" s="20">
        <f>T18+T21</f>
        <v>153680</v>
      </c>
      <c r="U24" s="21">
        <f>U18+U21</f>
        <v>217398</v>
      </c>
      <c r="V24" s="21">
        <f t="shared" ref="V24:AG24" si="21">V18+V21</f>
        <v>291282.3849</v>
      </c>
      <c r="W24" s="21">
        <f t="shared" si="21"/>
        <v>346238.41738704953</v>
      </c>
      <c r="X24" s="21">
        <f t="shared" si="21"/>
        <v>386818.09560161666</v>
      </c>
      <c r="Y24" s="21">
        <f t="shared" si="21"/>
        <v>337316.17952859169</v>
      </c>
      <c r="Z24" s="21">
        <f t="shared" si="21"/>
        <v>357555.1503003072</v>
      </c>
      <c r="AA24" s="21">
        <f t="shared" si="21"/>
        <v>379008.45931832562</v>
      </c>
      <c r="AB24" s="21">
        <f t="shared" si="21"/>
        <v>401748.96687742521</v>
      </c>
      <c r="AC24" s="21">
        <f t="shared" si="21"/>
        <v>425853.90489007073</v>
      </c>
      <c r="AD24" s="21">
        <f t="shared" si="21"/>
        <v>451405.139183475</v>
      </c>
      <c r="AE24" s="21">
        <f t="shared" si="21"/>
        <v>478489.44753448351</v>
      </c>
      <c r="AF24" s="21">
        <f t="shared" si="21"/>
        <v>507198.81438655255</v>
      </c>
      <c r="AG24" s="21">
        <f t="shared" si="21"/>
        <v>537630.74324974569</v>
      </c>
    </row>
    <row r="25" spans="1:33">
      <c r="A25" s="5" t="s">
        <v>138</v>
      </c>
      <c r="B25" s="20">
        <f t="shared" ref="B25:G25" si="22">B16-B24</f>
        <v>-37397</v>
      </c>
      <c r="C25" s="20">
        <f t="shared" si="22"/>
        <v>-44535</v>
      </c>
      <c r="D25" s="20">
        <f t="shared" si="22"/>
        <v>-53163</v>
      </c>
      <c r="E25" s="20">
        <f t="shared" si="22"/>
        <v>-52913</v>
      </c>
      <c r="F25" s="20">
        <f t="shared" si="22"/>
        <v>-57949</v>
      </c>
      <c r="G25" s="21">
        <f t="shared" si="22"/>
        <v>-62089</v>
      </c>
      <c r="H25" s="21">
        <f t="shared" ref="H25:Q25" si="23">H16-H24</f>
        <v>-70067.53</v>
      </c>
      <c r="I25" s="21">
        <f t="shared" si="23"/>
        <v>-70679.129033333345</v>
      </c>
      <c r="J25" s="21">
        <f t="shared" si="23"/>
        <v>-74451.14028344446</v>
      </c>
      <c r="K25" s="21">
        <f t="shared" si="23"/>
        <v>-76592.644546478157</v>
      </c>
      <c r="L25" s="21">
        <f t="shared" si="23"/>
        <v>-80916.669949447867</v>
      </c>
      <c r="M25" s="21">
        <f t="shared" si="23"/>
        <v>-82268.134920324679</v>
      </c>
      <c r="N25" s="21">
        <f t="shared" si="23"/>
        <v>-84831.678484046803</v>
      </c>
      <c r="O25" s="21">
        <f t="shared" si="23"/>
        <v>-86901.031830607666</v>
      </c>
      <c r="P25" s="21">
        <f t="shared" si="23"/>
        <v>-89820.296855438501</v>
      </c>
      <c r="Q25" s="21">
        <f t="shared" si="23"/>
        <v>-91577.014719387618</v>
      </c>
      <c r="S25" s="20">
        <f>S16-S24</f>
        <v>-54120</v>
      </c>
      <c r="T25" s="20">
        <f>T16-T24</f>
        <v>-110697</v>
      </c>
      <c r="U25" s="21">
        <f>U16-U24</f>
        <v>-188008</v>
      </c>
      <c r="V25" s="21">
        <f t="shared" ref="V25:AG25" si="24">V16-V24</f>
        <v>-260784.65903333333</v>
      </c>
      <c r="W25" s="21">
        <f t="shared" si="24"/>
        <v>-314228.58969969512</v>
      </c>
      <c r="X25" s="21">
        <f t="shared" si="24"/>
        <v>-353130.02188948053</v>
      </c>
      <c r="Y25" s="21">
        <f t="shared" si="24"/>
        <v>-302617.4636050915</v>
      </c>
      <c r="Z25" s="21">
        <f t="shared" si="24"/>
        <v>-321815.47289910202</v>
      </c>
      <c r="AA25" s="21">
        <f t="shared" si="24"/>
        <v>-342196.59159508429</v>
      </c>
      <c r="AB25" s="21">
        <f t="shared" si="24"/>
        <v>-363832.74312248663</v>
      </c>
      <c r="AC25" s="21">
        <f t="shared" si="24"/>
        <v>-386800.19442248397</v>
      </c>
      <c r="AD25" s="21">
        <f t="shared" si="24"/>
        <v>-411179.81740186061</v>
      </c>
      <c r="AE25" s="21">
        <f t="shared" si="24"/>
        <v>-437057.3660994207</v>
      </c>
      <c r="AF25" s="21">
        <f t="shared" si="24"/>
        <v>-464523.77050843788</v>
      </c>
      <c r="AG25" s="21">
        <f t="shared" si="24"/>
        <v>-493675.44805528753</v>
      </c>
    </row>
    <row r="26" spans="1:33">
      <c r="A26" s="5" t="s">
        <v>30</v>
      </c>
      <c r="B26" s="20">
        <v>233</v>
      </c>
      <c r="C26" s="20">
        <v>236</v>
      </c>
      <c r="D26" s="20">
        <v>223</v>
      </c>
      <c r="E26" s="20">
        <f>U26-B26-C26-D26</f>
        <v>237</v>
      </c>
      <c r="F26" s="20">
        <v>302</v>
      </c>
      <c r="G26" s="20">
        <v>867</v>
      </c>
      <c r="H26" s="20">
        <f>G26</f>
        <v>867</v>
      </c>
      <c r="I26" s="20">
        <f t="shared" ref="I26:Q26" si="25">H26</f>
        <v>867</v>
      </c>
      <c r="J26" s="20">
        <f t="shared" si="25"/>
        <v>867</v>
      </c>
      <c r="K26" s="20">
        <f t="shared" si="25"/>
        <v>867</v>
      </c>
      <c r="L26" s="20">
        <f t="shared" si="25"/>
        <v>867</v>
      </c>
      <c r="M26" s="20">
        <f t="shared" si="25"/>
        <v>867</v>
      </c>
      <c r="N26" s="20">
        <f t="shared" si="25"/>
        <v>867</v>
      </c>
      <c r="O26" s="20">
        <f t="shared" si="25"/>
        <v>867</v>
      </c>
      <c r="P26" s="20">
        <f t="shared" si="25"/>
        <v>867</v>
      </c>
      <c r="Q26" s="20">
        <f t="shared" si="25"/>
        <v>867</v>
      </c>
      <c r="S26" s="20">
        <v>2189</v>
      </c>
      <c r="T26" s="20">
        <v>2238</v>
      </c>
      <c r="U26" s="20">
        <v>929</v>
      </c>
      <c r="V26" s="20">
        <f>SUM(F26:I26)</f>
        <v>2903</v>
      </c>
      <c r="W26" s="20">
        <f>SUM(J26:M26)</f>
        <v>3468</v>
      </c>
      <c r="X26" s="20">
        <f>SUM(N26:Q26)</f>
        <v>3468</v>
      </c>
      <c r="Y26" s="21">
        <f>X26*0.98</f>
        <v>3398.64</v>
      </c>
      <c r="Z26" s="21">
        <f t="shared" ref="Z26:AG26" si="26">Y26*0.98</f>
        <v>3330.6671999999999</v>
      </c>
      <c r="AA26" s="21">
        <f t="shared" si="26"/>
        <v>3264.053856</v>
      </c>
      <c r="AB26" s="21">
        <f t="shared" si="26"/>
        <v>3198.7727788799998</v>
      </c>
      <c r="AC26" s="21">
        <f t="shared" si="26"/>
        <v>3134.7973233023999</v>
      </c>
      <c r="AD26" s="21">
        <f t="shared" si="26"/>
        <v>3072.1013768363518</v>
      </c>
      <c r="AE26" s="21">
        <f t="shared" si="26"/>
        <v>3010.6593492996249</v>
      </c>
      <c r="AF26" s="21">
        <f t="shared" si="26"/>
        <v>2950.4461623136322</v>
      </c>
      <c r="AG26" s="21">
        <f t="shared" si="26"/>
        <v>2891.4372390673593</v>
      </c>
    </row>
    <row r="27" spans="1:33">
      <c r="A27" s="5" t="s">
        <v>31</v>
      </c>
      <c r="B27" s="20">
        <v>-12</v>
      </c>
      <c r="S27" s="20">
        <v>-106</v>
      </c>
      <c r="T27" s="20">
        <v>-71</v>
      </c>
      <c r="U27" s="20">
        <v>-12</v>
      </c>
      <c r="V27" s="20">
        <f>SUM(F27:I27)</f>
        <v>0</v>
      </c>
      <c r="W27" s="20">
        <f>SUM(J27:M27)</f>
        <v>0</v>
      </c>
      <c r="X27" s="20">
        <f>SUM(N27:Q27)</f>
        <v>0</v>
      </c>
    </row>
    <row r="28" spans="1:33">
      <c r="A28" s="5" t="s">
        <v>139</v>
      </c>
      <c r="B28" s="20">
        <f t="shared" ref="B28:Q28" si="27">B25+B26+B27</f>
        <v>-37176</v>
      </c>
      <c r="C28" s="20">
        <f t="shared" si="27"/>
        <v>-44299</v>
      </c>
      <c r="D28" s="20">
        <f t="shared" si="27"/>
        <v>-52940</v>
      </c>
      <c r="E28" s="20">
        <f t="shared" si="27"/>
        <v>-52676</v>
      </c>
      <c r="F28" s="20">
        <f t="shared" si="27"/>
        <v>-57647</v>
      </c>
      <c r="G28" s="21">
        <f t="shared" si="27"/>
        <v>-61222</v>
      </c>
      <c r="H28" s="21">
        <f t="shared" si="27"/>
        <v>-69200.53</v>
      </c>
      <c r="I28" s="21">
        <f t="shared" si="27"/>
        <v>-69812.129033333345</v>
      </c>
      <c r="J28" s="21">
        <f t="shared" si="27"/>
        <v>-73584.14028344446</v>
      </c>
      <c r="K28" s="21">
        <f t="shared" si="27"/>
        <v>-75725.644546478157</v>
      </c>
      <c r="L28" s="21">
        <f t="shared" si="27"/>
        <v>-80049.669949447867</v>
      </c>
      <c r="M28" s="21">
        <f t="shared" si="27"/>
        <v>-81401.134920324679</v>
      </c>
      <c r="N28" s="21">
        <f t="shared" si="27"/>
        <v>-83964.678484046803</v>
      </c>
      <c r="O28" s="21">
        <f t="shared" si="27"/>
        <v>-86034.031830607666</v>
      </c>
      <c r="P28" s="21">
        <f t="shared" si="27"/>
        <v>-88953.296855438501</v>
      </c>
      <c r="Q28" s="21">
        <f t="shared" si="27"/>
        <v>-90710.014719387618</v>
      </c>
      <c r="S28" s="20">
        <f>S25+S26+S27</f>
        <v>-52037</v>
      </c>
      <c r="T28" s="20">
        <f>T25+T26+T27</f>
        <v>-108530</v>
      </c>
      <c r="U28" s="21">
        <f>U25+U26+U27</f>
        <v>-187091</v>
      </c>
      <c r="V28" s="21">
        <f t="shared" ref="V28:AG28" si="28">V25+V26+V27</f>
        <v>-257881.65903333333</v>
      </c>
      <c r="W28" s="21">
        <f t="shared" si="28"/>
        <v>-310760.58969969512</v>
      </c>
      <c r="X28" s="21">
        <f t="shared" si="28"/>
        <v>-349662.02188948053</v>
      </c>
      <c r="Y28" s="21">
        <f t="shared" si="28"/>
        <v>-299218.82360509149</v>
      </c>
      <c r="Z28" s="21">
        <f t="shared" si="28"/>
        <v>-318484.805699102</v>
      </c>
      <c r="AA28" s="21">
        <f t="shared" si="28"/>
        <v>-338932.53773908428</v>
      </c>
      <c r="AB28" s="21">
        <f t="shared" si="28"/>
        <v>-360633.9703436066</v>
      </c>
      <c r="AC28" s="21">
        <f t="shared" si="28"/>
        <v>-383665.39709918154</v>
      </c>
      <c r="AD28" s="21">
        <f t="shared" si="28"/>
        <v>-408107.71602502425</v>
      </c>
      <c r="AE28" s="21">
        <f t="shared" si="28"/>
        <v>-434046.70675012108</v>
      </c>
      <c r="AF28" s="21">
        <f t="shared" si="28"/>
        <v>-461573.32434612425</v>
      </c>
      <c r="AG28" s="21">
        <f t="shared" si="28"/>
        <v>-490784.01081622019</v>
      </c>
    </row>
    <row r="29" spans="1:33">
      <c r="A29" s="5" t="s">
        <v>32</v>
      </c>
      <c r="S29" s="20">
        <v>4373</v>
      </c>
      <c r="T29" s="20">
        <v>371</v>
      </c>
      <c r="V29" s="21">
        <f>SUM(F29:I29)</f>
        <v>0</v>
      </c>
      <c r="W29" s="21">
        <f>SUM(J29:M29)</f>
        <v>0</v>
      </c>
      <c r="X29" s="21">
        <f>SUM(N29:Q29)</f>
        <v>0</v>
      </c>
      <c r="Y29" s="21">
        <f>-0.2*Y28</f>
        <v>59843.764721018299</v>
      </c>
      <c r="Z29" s="21">
        <f t="shared" ref="Z29:AG29" si="29">-0.2*Z28</f>
        <v>63696.9611398204</v>
      </c>
      <c r="AA29" s="21">
        <f t="shared" si="29"/>
        <v>67786.507547816858</v>
      </c>
      <c r="AB29" s="21">
        <f t="shared" si="29"/>
        <v>72126.794068721327</v>
      </c>
      <c r="AC29" s="21">
        <f t="shared" si="29"/>
        <v>76733.079419836315</v>
      </c>
      <c r="AD29" s="21">
        <f t="shared" si="29"/>
        <v>81621.543205004855</v>
      </c>
      <c r="AE29" s="21">
        <f t="shared" si="29"/>
        <v>86809.341350024217</v>
      </c>
      <c r="AF29" s="21">
        <f t="shared" si="29"/>
        <v>92314.664869224856</v>
      </c>
      <c r="AG29" s="21">
        <f t="shared" si="29"/>
        <v>98156.80216324405</v>
      </c>
    </row>
    <row r="30" spans="1:33" s="77" customFormat="1">
      <c r="A30" s="66" t="s">
        <v>141</v>
      </c>
      <c r="B30" s="77">
        <f t="shared" ref="B30:Q30" si="30">B28+B29</f>
        <v>-37176</v>
      </c>
      <c r="C30" s="77">
        <f t="shared" si="30"/>
        <v>-44299</v>
      </c>
      <c r="D30" s="77">
        <f t="shared" si="30"/>
        <v>-52940</v>
      </c>
      <c r="E30" s="77">
        <f t="shared" si="30"/>
        <v>-52676</v>
      </c>
      <c r="F30" s="77">
        <f t="shared" si="30"/>
        <v>-57647</v>
      </c>
      <c r="G30" s="78">
        <f t="shared" si="30"/>
        <v>-61222</v>
      </c>
      <c r="H30" s="78">
        <f t="shared" si="30"/>
        <v>-69200.53</v>
      </c>
      <c r="I30" s="78">
        <f t="shared" si="30"/>
        <v>-69812.129033333345</v>
      </c>
      <c r="J30" s="78">
        <f t="shared" si="30"/>
        <v>-73584.14028344446</v>
      </c>
      <c r="K30" s="78">
        <f t="shared" si="30"/>
        <v>-75725.644546478157</v>
      </c>
      <c r="L30" s="78">
        <f t="shared" si="30"/>
        <v>-80049.669949447867</v>
      </c>
      <c r="M30" s="78">
        <f t="shared" si="30"/>
        <v>-81401.134920324679</v>
      </c>
      <c r="N30" s="78">
        <f t="shared" si="30"/>
        <v>-83964.678484046803</v>
      </c>
      <c r="O30" s="78">
        <f t="shared" si="30"/>
        <v>-86034.031830607666</v>
      </c>
      <c r="P30" s="78">
        <f t="shared" si="30"/>
        <v>-88953.296855438501</v>
      </c>
      <c r="Q30" s="78">
        <f t="shared" si="30"/>
        <v>-90710.014719387618</v>
      </c>
      <c r="S30" s="77">
        <f>S28+S29</f>
        <v>-47664</v>
      </c>
      <c r="T30" s="77">
        <f>T28+T29</f>
        <v>-108159</v>
      </c>
      <c r="U30" s="77">
        <f>U28+U29</f>
        <v>-187091</v>
      </c>
      <c r="V30" s="78">
        <f t="shared" ref="V30:AG30" si="31">V28+V29</f>
        <v>-257881.65903333333</v>
      </c>
      <c r="W30" s="78">
        <f t="shared" si="31"/>
        <v>-310760.58969969512</v>
      </c>
      <c r="X30" s="78">
        <f t="shared" si="31"/>
        <v>-349662.02188948053</v>
      </c>
      <c r="Y30" s="78">
        <f t="shared" si="31"/>
        <v>-239375.05888407319</v>
      </c>
      <c r="Z30" s="78">
        <f t="shared" si="31"/>
        <v>-254787.8445592816</v>
      </c>
      <c r="AA30" s="78">
        <f t="shared" si="31"/>
        <v>-271146.03019126743</v>
      </c>
      <c r="AB30" s="78">
        <f t="shared" si="31"/>
        <v>-288507.17627488531</v>
      </c>
      <c r="AC30" s="78">
        <f t="shared" si="31"/>
        <v>-306932.31767934526</v>
      </c>
      <c r="AD30" s="78">
        <f t="shared" si="31"/>
        <v>-326486.17282001942</v>
      </c>
      <c r="AE30" s="78">
        <f t="shared" si="31"/>
        <v>-347237.36540009687</v>
      </c>
      <c r="AF30" s="78">
        <f t="shared" si="31"/>
        <v>-369258.65947689943</v>
      </c>
      <c r="AG30" s="78">
        <f t="shared" si="31"/>
        <v>-392627.20865297614</v>
      </c>
    </row>
    <row r="32" spans="1:33">
      <c r="A32" s="5" t="s">
        <v>88</v>
      </c>
      <c r="B32" s="22">
        <f t="shared" ref="B32:Q32" si="32">B28/B33/1000</f>
        <v>-0.52791763530615898</v>
      </c>
      <c r="C32" s="22">
        <f t="shared" si="32"/>
        <v>-0.60353096198712708</v>
      </c>
      <c r="D32" s="22">
        <f t="shared" si="32"/>
        <v>-0.7199225692951311</v>
      </c>
      <c r="E32" s="22">
        <f t="shared" si="32"/>
        <v>-0.71046856329690766</v>
      </c>
      <c r="F32" s="22">
        <f t="shared" si="32"/>
        <v>-0.7773080261749481</v>
      </c>
      <c r="G32" s="22">
        <f t="shared" si="32"/>
        <v>-0.82419916158447315</v>
      </c>
      <c r="H32" s="22">
        <f t="shared" si="32"/>
        <v>-0.92528924622494313</v>
      </c>
      <c r="I32" s="22">
        <f t="shared" si="32"/>
        <v>-0.92674158835320541</v>
      </c>
      <c r="J32" s="22">
        <f t="shared" si="32"/>
        <v>-0.96928755443155623</v>
      </c>
      <c r="K32" s="22">
        <f t="shared" si="32"/>
        <v>-0.98922035347577708</v>
      </c>
      <c r="L32" s="22">
        <f t="shared" si="32"/>
        <v>-1.0366329024443413</v>
      </c>
      <c r="M32" s="22">
        <f t="shared" si="32"/>
        <v>-1.0445475055477536</v>
      </c>
      <c r="N32" s="22">
        <f t="shared" si="32"/>
        <v>-1.0671863911031991</v>
      </c>
      <c r="O32" s="22">
        <f t="shared" si="32"/>
        <v>-1.0826141930233149</v>
      </c>
      <c r="P32" s="22">
        <f t="shared" si="32"/>
        <v>-1.107761147841259</v>
      </c>
      <c r="Q32" s="22">
        <f t="shared" si="32"/>
        <v>-1.1175232265330197</v>
      </c>
      <c r="S32" s="22">
        <f>S30/S33/1000</f>
        <v>-1.7191152385009103</v>
      </c>
      <c r="T32" s="22">
        <f t="shared" ref="T32:U32" si="33">T30/T33/1000</f>
        <v>-1.9710384780847232</v>
      </c>
      <c r="U32" s="22">
        <f t="shared" si="33"/>
        <v>-2.5233934614583822</v>
      </c>
      <c r="V32" s="22">
        <f>SUM(F32:I32)</f>
        <v>-3.4535380223375696</v>
      </c>
      <c r="W32" s="22">
        <f>SUM(J32:M32)</f>
        <v>-4.0396883158994283</v>
      </c>
      <c r="X32" s="22">
        <f>SUM(N32:Q32)</f>
        <v>-4.3750849585007927</v>
      </c>
      <c r="Y32" s="22">
        <f t="shared" ref="Y32:AG32" si="34">Y30/Y33/1000</f>
        <v>-2.8093860806889994</v>
      </c>
      <c r="Z32" s="22">
        <f t="shared" si="34"/>
        <v>-2.8360067296496934</v>
      </c>
      <c r="AA32" s="22">
        <f t="shared" si="34"/>
        <v>-2.851910143235465</v>
      </c>
      <c r="AB32" s="22">
        <f t="shared" si="34"/>
        <v>-2.8590509795820305</v>
      </c>
      <c r="AC32" s="22">
        <f t="shared" si="34"/>
        <v>-2.8593069899585752</v>
      </c>
      <c r="AD32" s="22">
        <f t="shared" si="34"/>
        <v>-2.854401963062954</v>
      </c>
      <c r="AE32" s="22">
        <f t="shared" si="34"/>
        <v>-2.845863374948169</v>
      </c>
      <c r="AF32" s="22">
        <f t="shared" si="34"/>
        <v>-2.835006844972789</v>
      </c>
      <c r="AG32" s="22">
        <f t="shared" si="34"/>
        <v>-2.8229393207764639</v>
      </c>
    </row>
    <row r="33" spans="1:33">
      <c r="A33" s="5" t="s">
        <v>89</v>
      </c>
      <c r="B33" s="69">
        <v>70.420075999999995</v>
      </c>
      <c r="C33" s="69">
        <v>73.399714000000003</v>
      </c>
      <c r="D33" s="69">
        <v>73.535685999999998</v>
      </c>
      <c r="E33" s="69">
        <v>74.142618999999996</v>
      </c>
      <c r="F33" s="69">
        <v>74.162362999999999</v>
      </c>
      <c r="G33" s="69">
        <v>74.280590000000004</v>
      </c>
      <c r="H33" s="69">
        <f t="shared" ref="H33:Q33" si="35">H108+G33</f>
        <v>74.787997680000004</v>
      </c>
      <c r="I33" s="69">
        <f t="shared" si="35"/>
        <v>75.330739346000001</v>
      </c>
      <c r="J33" s="69">
        <f t="shared" si="35"/>
        <v>75.915696995200008</v>
      </c>
      <c r="K33" s="69">
        <f t="shared" si="35"/>
        <v>76.550835494240005</v>
      </c>
      <c r="L33" s="69">
        <f t="shared" si="35"/>
        <v>77.220846223088003</v>
      </c>
      <c r="M33" s="69">
        <f t="shared" si="35"/>
        <v>77.929567097705601</v>
      </c>
      <c r="N33" s="69">
        <f t="shared" si="35"/>
        <v>78.67855061124672</v>
      </c>
      <c r="O33" s="69">
        <f t="shared" si="35"/>
        <v>79.468782494296065</v>
      </c>
      <c r="P33" s="69">
        <f t="shared" si="35"/>
        <v>80.300069224115276</v>
      </c>
      <c r="Q33" s="69">
        <f t="shared" si="35"/>
        <v>81.170585600090334</v>
      </c>
      <c r="S33" s="69">
        <v>27.72589</v>
      </c>
      <c r="T33" s="69">
        <v>54.874119</v>
      </c>
      <c r="U33" s="69">
        <v>74.142618999999996</v>
      </c>
      <c r="V33" s="22">
        <f>I33</f>
        <v>75.330739346000001</v>
      </c>
      <c r="W33" s="21">
        <f>M33</f>
        <v>77.929567097705601</v>
      </c>
      <c r="X33" s="21">
        <f>Q33</f>
        <v>81.170585600090334</v>
      </c>
      <c r="Y33" s="21">
        <f t="shared" ref="Y33:AG33" si="36">X33+Y108</f>
        <v>85.205469098560741</v>
      </c>
      <c r="Z33" s="21">
        <f t="shared" si="36"/>
        <v>89.840352597031142</v>
      </c>
      <c r="AA33" s="21">
        <f t="shared" si="36"/>
        <v>95.075236095501538</v>
      </c>
      <c r="AB33" s="21">
        <f t="shared" si="36"/>
        <v>100.91011959397194</v>
      </c>
      <c r="AC33" s="21">
        <f t="shared" si="36"/>
        <v>107.34500309244234</v>
      </c>
      <c r="AD33" s="21">
        <f t="shared" si="36"/>
        <v>114.37988659091275</v>
      </c>
      <c r="AE33" s="21">
        <f t="shared" si="36"/>
        <v>122.01477008938315</v>
      </c>
      <c r="AF33" s="21">
        <f t="shared" si="36"/>
        <v>130.24965358785354</v>
      </c>
      <c r="AG33" s="21">
        <f t="shared" si="36"/>
        <v>139.08453708632393</v>
      </c>
    </row>
    <row r="35" spans="1:33" s="73" customFormat="1">
      <c r="A35" s="70" t="s">
        <v>133</v>
      </c>
      <c r="B35" s="71"/>
      <c r="C35" s="72"/>
      <c r="D35" s="72"/>
      <c r="E35" s="72"/>
      <c r="F35" s="72">
        <f t="shared" ref="F35:Q35" si="37">F14/B14-1</f>
        <v>-0.25199881551673087</v>
      </c>
      <c r="G35" s="72">
        <f t="shared" si="37"/>
        <v>4.8057024603357146E-2</v>
      </c>
      <c r="H35" s="72">
        <f t="shared" si="37"/>
        <v>3.6374931880108994</v>
      </c>
      <c r="I35" s="72">
        <f t="shared" si="37"/>
        <v>-8.0565976039464471E-2</v>
      </c>
      <c r="J35" s="72">
        <f t="shared" si="37"/>
        <v>4.4248150376821727E-2</v>
      </c>
      <c r="K35" s="72">
        <f t="shared" si="37"/>
        <v>-6.7068160665659016E-2</v>
      </c>
      <c r="L35" s="72">
        <f t="shared" si="37"/>
        <v>0.37262467317086179</v>
      </c>
      <c r="M35" s="72">
        <f t="shared" si="37"/>
        <v>-1.3152012376732469E-2</v>
      </c>
      <c r="N35" s="72">
        <f t="shared" si="37"/>
        <v>4.7810485264085045E-2</v>
      </c>
      <c r="O35" s="72">
        <f t="shared" si="37"/>
        <v>6.7734980535179012E-3</v>
      </c>
      <c r="P35" s="72">
        <f t="shared" si="37"/>
        <v>0.14911634746258473</v>
      </c>
      <c r="Q35" s="72">
        <f t="shared" si="37"/>
        <v>2.2977386743627148E-2</v>
      </c>
      <c r="R35" s="72"/>
      <c r="S35" s="72"/>
      <c r="T35" s="72">
        <f t="shared" ref="T35:AG35" si="38">T14/S14-1</f>
        <v>-0.14104434363821661</v>
      </c>
      <c r="U35" s="72">
        <f t="shared" si="38"/>
        <v>-0.31624130470185885</v>
      </c>
      <c r="V35" s="72">
        <f t="shared" si="38"/>
        <v>3.7690570488828401E-2</v>
      </c>
      <c r="W35" s="72">
        <f t="shared" si="38"/>
        <v>4.9580805706579856E-2</v>
      </c>
      <c r="X35" s="72">
        <f t="shared" si="38"/>
        <v>5.2429086503477329E-2</v>
      </c>
      <c r="Y35" s="72">
        <f t="shared" si="38"/>
        <v>3.0000000000000027E-2</v>
      </c>
      <c r="Z35" s="72">
        <f t="shared" si="38"/>
        <v>3.0000000000000027E-2</v>
      </c>
      <c r="AA35" s="72">
        <f t="shared" si="38"/>
        <v>3.0000000000000027E-2</v>
      </c>
      <c r="AB35" s="72">
        <f t="shared" si="38"/>
        <v>3.0000000000000027E-2</v>
      </c>
      <c r="AC35" s="72">
        <f t="shared" si="38"/>
        <v>3.0000000000000027E-2</v>
      </c>
      <c r="AD35" s="72">
        <f t="shared" si="38"/>
        <v>3.0000000000000027E-2</v>
      </c>
      <c r="AE35" s="72">
        <f t="shared" si="38"/>
        <v>3.0000000000000027E-2</v>
      </c>
      <c r="AF35" s="72">
        <f t="shared" si="38"/>
        <v>3.0000000000000027E-2</v>
      </c>
      <c r="AG35" s="72">
        <f t="shared" si="38"/>
        <v>3.0000000000000027E-2</v>
      </c>
    </row>
    <row r="36" spans="1:33" s="73" customFormat="1">
      <c r="A36" s="70" t="s">
        <v>142</v>
      </c>
      <c r="B36" s="71"/>
      <c r="C36" s="72">
        <f t="shared" ref="C36:Q36" si="39">C14/B14-1</f>
        <v>-0.14144704372717398</v>
      </c>
      <c r="D36" s="72">
        <f t="shared" si="39"/>
        <v>-0.873419176822258</v>
      </c>
      <c r="E36" s="72">
        <f t="shared" si="39"/>
        <v>7.5921889191643963</v>
      </c>
      <c r="F36" s="72">
        <f t="shared" si="39"/>
        <v>-0.19894291754756877</v>
      </c>
      <c r="G36" s="72">
        <f t="shared" si="39"/>
        <v>0.20295592504618631</v>
      </c>
      <c r="H36" s="72">
        <f t="shared" si="39"/>
        <v>-0.43989907854322075</v>
      </c>
      <c r="I36" s="72">
        <f t="shared" si="39"/>
        <v>0.70349594323929798</v>
      </c>
      <c r="J36" s="72">
        <f t="shared" si="39"/>
        <v>-9.019858424000482E-2</v>
      </c>
      <c r="K36" s="72">
        <f t="shared" si="39"/>
        <v>7.4721447566370003E-2</v>
      </c>
      <c r="L36" s="72">
        <f t="shared" si="39"/>
        <v>-0.17592227873167565</v>
      </c>
      <c r="M36" s="72">
        <f t="shared" si="39"/>
        <v>0.22472776161502228</v>
      </c>
      <c r="N36" s="72">
        <f t="shared" si="39"/>
        <v>-3.3995635703360727E-2</v>
      </c>
      <c r="O36" s="72">
        <f t="shared" si="39"/>
        <v>3.2630505627009754E-2</v>
      </c>
      <c r="P36" s="72">
        <f t="shared" si="39"/>
        <v>-5.940990409462632E-2</v>
      </c>
      <c r="Q36" s="72">
        <f t="shared" si="39"/>
        <v>9.0288905745552261E-2</v>
      </c>
      <c r="R36" s="72"/>
      <c r="S36" s="72"/>
      <c r="T36" s="72"/>
      <c r="U36" s="72"/>
    </row>
    <row r="37" spans="1:33" s="73" customFormat="1">
      <c r="A37" s="70" t="s">
        <v>143</v>
      </c>
      <c r="B37" s="71"/>
      <c r="C37" s="72"/>
      <c r="D37" s="72"/>
      <c r="E37" s="72"/>
      <c r="F37" s="72">
        <f t="shared" ref="F37:Q38" si="40">F24/B24-1</f>
        <v>0.37870308028951349</v>
      </c>
      <c r="G37" s="72">
        <f t="shared" si="40"/>
        <v>0.33761012905528531</v>
      </c>
      <c r="H37" s="72">
        <f t="shared" si="40"/>
        <v>0.38532747309450111</v>
      </c>
      <c r="I37" s="72">
        <f t="shared" si="40"/>
        <v>0.27261755727638581</v>
      </c>
      <c r="J37" s="72">
        <f t="shared" si="40"/>
        <v>0.25695442744212316</v>
      </c>
      <c r="K37" s="72">
        <f t="shared" si="40"/>
        <v>0.19510218655782618</v>
      </c>
      <c r="L37" s="72">
        <f t="shared" si="40"/>
        <v>0.16963068212147769</v>
      </c>
      <c r="M37" s="72">
        <f t="shared" si="40"/>
        <v>0.14455844059260081</v>
      </c>
      <c r="N37" s="72">
        <f t="shared" si="40"/>
        <v>0.13062525335927577</v>
      </c>
      <c r="O37" s="72">
        <f t="shared" si="40"/>
        <v>0.12181349074469949</v>
      </c>
      <c r="P37" s="72">
        <f t="shared" si="40"/>
        <v>0.11314970766079901</v>
      </c>
      <c r="Q37" s="72">
        <f t="shared" si="40"/>
        <v>0.10463334150561243</v>
      </c>
      <c r="R37" s="72"/>
      <c r="S37" s="72"/>
      <c r="T37" s="72">
        <f t="shared" ref="T37:AG37" si="41">T24/S24-1</f>
        <v>0.47540826220946419</v>
      </c>
      <c r="U37" s="72">
        <f t="shared" si="41"/>
        <v>0.41461478396668405</v>
      </c>
      <c r="V37" s="72">
        <f t="shared" si="41"/>
        <v>0.33985770292275008</v>
      </c>
      <c r="W37" s="72">
        <f t="shared" si="41"/>
        <v>0.18866926163735043</v>
      </c>
      <c r="X37" s="72">
        <f t="shared" si="41"/>
        <v>0.11720154719054277</v>
      </c>
      <c r="Y37" s="72">
        <f t="shared" si="41"/>
        <v>-0.12797207947584466</v>
      </c>
      <c r="Z37" s="72">
        <f t="shared" si="41"/>
        <v>6.0000000000000053E-2</v>
      </c>
      <c r="AA37" s="72">
        <f t="shared" si="41"/>
        <v>6.0000000000000053E-2</v>
      </c>
      <c r="AB37" s="72">
        <f t="shared" si="41"/>
        <v>6.0000000000000053E-2</v>
      </c>
      <c r="AC37" s="72">
        <f t="shared" si="41"/>
        <v>6.0000000000000053E-2</v>
      </c>
      <c r="AD37" s="72">
        <f t="shared" si="41"/>
        <v>6.0000000000000053E-2</v>
      </c>
      <c r="AE37" s="72">
        <f t="shared" si="41"/>
        <v>6.0000000000000053E-2</v>
      </c>
      <c r="AF37" s="72">
        <f t="shared" si="41"/>
        <v>6.0000000000000053E-2</v>
      </c>
      <c r="AG37" s="72">
        <f t="shared" si="41"/>
        <v>6.0000000000000053E-2</v>
      </c>
    </row>
    <row r="38" spans="1:33" s="73" customFormat="1">
      <c r="A38" s="70" t="s">
        <v>144</v>
      </c>
      <c r="B38" s="71"/>
      <c r="C38" s="72"/>
      <c r="D38" s="72"/>
      <c r="E38" s="72"/>
      <c r="F38" s="72">
        <f t="shared" si="40"/>
        <v>0.54956279915501249</v>
      </c>
      <c r="G38" s="72">
        <f t="shared" si="40"/>
        <v>0.39416189513865496</v>
      </c>
      <c r="H38" s="72">
        <f t="shared" si="40"/>
        <v>0.31797547166262241</v>
      </c>
      <c r="I38" s="72">
        <f t="shared" si="40"/>
        <v>0.33576113683467845</v>
      </c>
      <c r="J38" s="72">
        <f t="shared" si="40"/>
        <v>0.28477006132020333</v>
      </c>
      <c r="K38" s="72">
        <f t="shared" si="40"/>
        <v>0.23359442971344624</v>
      </c>
      <c r="L38" s="72">
        <f t="shared" si="40"/>
        <v>0.15483833880611853</v>
      </c>
      <c r="M38" s="72">
        <f t="shared" si="40"/>
        <v>0.16396645014578182</v>
      </c>
      <c r="N38" s="72">
        <f t="shared" si="40"/>
        <v>0.13942752469716901</v>
      </c>
      <c r="O38" s="72">
        <f t="shared" si="40"/>
        <v>0.13458717015410193</v>
      </c>
      <c r="P38" s="72">
        <f t="shared" si="40"/>
        <v>0.11003451960582544</v>
      </c>
      <c r="Q38" s="72">
        <f t="shared" si="40"/>
        <v>0.11315292133556243</v>
      </c>
      <c r="R38" s="72"/>
      <c r="S38" s="72"/>
      <c r="T38" s="72">
        <f t="shared" ref="T38:AG38" si="42">T25/S25-1</f>
        <v>1.0453991130820399</v>
      </c>
      <c r="U38" s="72">
        <f t="shared" si="42"/>
        <v>0.69840194404545741</v>
      </c>
      <c r="V38" s="72">
        <f t="shared" si="42"/>
        <v>0.38709341641490425</v>
      </c>
      <c r="W38" s="72">
        <f t="shared" si="42"/>
        <v>0.20493510187472586</v>
      </c>
      <c r="X38" s="72">
        <f t="shared" si="42"/>
        <v>0.12379978609509434</v>
      </c>
      <c r="Y38" s="72">
        <f t="shared" si="42"/>
        <v>-0.14304237859503777</v>
      </c>
      <c r="Z38" s="72">
        <f t="shared" si="42"/>
        <v>6.3439859237811369E-2</v>
      </c>
      <c r="AA38" s="72">
        <f t="shared" si="42"/>
        <v>6.3331692887160562E-2</v>
      </c>
      <c r="AB38" s="72">
        <f t="shared" si="42"/>
        <v>6.3227256082678984E-2</v>
      </c>
      <c r="AC38" s="72">
        <f t="shared" si="42"/>
        <v>6.3126400067476052E-2</v>
      </c>
      <c r="AD38" s="72">
        <f t="shared" si="42"/>
        <v>6.3028983260406291E-2</v>
      </c>
      <c r="AE38" s="72">
        <f t="shared" si="42"/>
        <v>6.2934870833577516E-2</v>
      </c>
      <c r="AF38" s="72">
        <f t="shared" si="42"/>
        <v>6.2843934319526396E-2</v>
      </c>
      <c r="AG38" s="72">
        <f t="shared" si="42"/>
        <v>6.2756051245649092E-2</v>
      </c>
    </row>
    <row r="39" spans="1:33" s="73" customFormat="1">
      <c r="A39" s="70" t="s">
        <v>145</v>
      </c>
      <c r="B39" s="71"/>
      <c r="C39" s="72"/>
      <c r="D39" s="72"/>
      <c r="E39" s="72"/>
      <c r="F39" s="72">
        <f t="shared" ref="F39:Q39" si="43">F28/B28-1</f>
        <v>0.5506509576070584</v>
      </c>
      <c r="G39" s="72">
        <f t="shared" si="43"/>
        <v>0.3820176527686856</v>
      </c>
      <c r="H39" s="72">
        <f t="shared" si="43"/>
        <v>0.30715017000377776</v>
      </c>
      <c r="I39" s="72">
        <f t="shared" si="43"/>
        <v>0.3253118883995243</v>
      </c>
      <c r="J39" s="72">
        <f t="shared" si="43"/>
        <v>0.27646087885656589</v>
      </c>
      <c r="K39" s="72">
        <f t="shared" si="43"/>
        <v>0.23690249496060489</v>
      </c>
      <c r="L39" s="72">
        <f t="shared" si="43"/>
        <v>0.1567782782797742</v>
      </c>
      <c r="M39" s="72">
        <f t="shared" si="43"/>
        <v>0.16600275693437028</v>
      </c>
      <c r="N39" s="72">
        <f t="shared" si="43"/>
        <v>0.14107031978109341</v>
      </c>
      <c r="O39" s="72">
        <f t="shared" si="43"/>
        <v>0.13612808904917961</v>
      </c>
      <c r="P39" s="72">
        <f t="shared" si="43"/>
        <v>0.11122627877932989</v>
      </c>
      <c r="Q39" s="72">
        <f t="shared" si="43"/>
        <v>0.1143581082521079</v>
      </c>
      <c r="R39" s="72"/>
      <c r="S39" s="72"/>
      <c r="T39" s="72">
        <f t="shared" ref="T39:AG39" si="44">T28/S28-1</f>
        <v>1.0856313776735784</v>
      </c>
      <c r="U39" s="72">
        <f t="shared" si="44"/>
        <v>0.72386436929881137</v>
      </c>
      <c r="V39" s="72">
        <f t="shared" si="44"/>
        <v>0.37837554469928181</v>
      </c>
      <c r="W39" s="72">
        <f t="shared" si="44"/>
        <v>0.20505114968074079</v>
      </c>
      <c r="X39" s="72">
        <f t="shared" si="44"/>
        <v>0.12518135657863816</v>
      </c>
      <c r="Y39" s="72">
        <f t="shared" si="44"/>
        <v>-0.14426273122773647</v>
      </c>
      <c r="Z39" s="72">
        <f t="shared" si="44"/>
        <v>6.438760055897319E-2</v>
      </c>
      <c r="AA39" s="72">
        <f t="shared" si="44"/>
        <v>6.4203163460491375E-2</v>
      </c>
      <c r="AB39" s="72">
        <f t="shared" si="44"/>
        <v>6.4028767344929349E-2</v>
      </c>
      <c r="AC39" s="72">
        <f t="shared" si="44"/>
        <v>6.3863719587012202E-2</v>
      </c>
      <c r="AD39" s="72">
        <f t="shared" si="44"/>
        <v>6.3707384378800525E-2</v>
      </c>
      <c r="AE39" s="72">
        <f t="shared" si="44"/>
        <v>6.3559177409687306E-2</v>
      </c>
      <c r="AF39" s="72">
        <f t="shared" si="44"/>
        <v>6.3418561108563143E-2</v>
      </c>
      <c r="AG39" s="72">
        <f t="shared" si="44"/>
        <v>6.3285040381128033E-2</v>
      </c>
    </row>
    <row r="40" spans="1:33" s="73" customFormat="1">
      <c r="A40" s="70" t="s">
        <v>146</v>
      </c>
      <c r="B40" s="71"/>
      <c r="C40" s="72"/>
      <c r="D40" s="72"/>
      <c r="E40" s="72"/>
      <c r="F40" s="72">
        <f t="shared" ref="F40:Q40" si="45">F30/B30-1</f>
        <v>0.5506509576070584</v>
      </c>
      <c r="G40" s="72">
        <f t="shared" si="45"/>
        <v>0.3820176527686856</v>
      </c>
      <c r="H40" s="72">
        <f t="shared" si="45"/>
        <v>0.30715017000377776</v>
      </c>
      <c r="I40" s="72">
        <f t="shared" si="45"/>
        <v>0.3253118883995243</v>
      </c>
      <c r="J40" s="72">
        <f t="shared" si="45"/>
        <v>0.27646087885656589</v>
      </c>
      <c r="K40" s="72">
        <f t="shared" si="45"/>
        <v>0.23690249496060489</v>
      </c>
      <c r="L40" s="72">
        <f t="shared" si="45"/>
        <v>0.1567782782797742</v>
      </c>
      <c r="M40" s="72">
        <f t="shared" si="45"/>
        <v>0.16600275693437028</v>
      </c>
      <c r="N40" s="72">
        <f t="shared" si="45"/>
        <v>0.14107031978109341</v>
      </c>
      <c r="O40" s="72">
        <f t="shared" si="45"/>
        <v>0.13612808904917961</v>
      </c>
      <c r="P40" s="72">
        <f t="shared" si="45"/>
        <v>0.11122627877932989</v>
      </c>
      <c r="Q40" s="72">
        <f t="shared" si="45"/>
        <v>0.1143581082521079</v>
      </c>
      <c r="R40" s="72"/>
      <c r="S40" s="72"/>
      <c r="T40" s="72">
        <f t="shared" ref="T40:AG40" si="46">T30/S30-1</f>
        <v>1.2691968781470293</v>
      </c>
      <c r="U40" s="72">
        <f t="shared" si="46"/>
        <v>0.72977745726199394</v>
      </c>
      <c r="V40" s="72">
        <f t="shared" si="46"/>
        <v>0.37837554469928181</v>
      </c>
      <c r="W40" s="72">
        <f t="shared" si="46"/>
        <v>0.20505114968074079</v>
      </c>
      <c r="X40" s="72">
        <f t="shared" si="46"/>
        <v>0.12518135657863816</v>
      </c>
      <c r="Y40" s="72">
        <f t="shared" si="46"/>
        <v>-0.3154101849821892</v>
      </c>
      <c r="Z40" s="72">
        <f t="shared" si="46"/>
        <v>6.438760055897319E-2</v>
      </c>
      <c r="AA40" s="72">
        <f t="shared" si="46"/>
        <v>6.4203163460491375E-2</v>
      </c>
      <c r="AB40" s="72">
        <f t="shared" si="46"/>
        <v>6.4028767344929349E-2</v>
      </c>
      <c r="AC40" s="72">
        <f t="shared" si="46"/>
        <v>6.3863719587012202E-2</v>
      </c>
      <c r="AD40" s="72">
        <f t="shared" si="46"/>
        <v>6.3707384378800525E-2</v>
      </c>
      <c r="AE40" s="72">
        <f t="shared" si="46"/>
        <v>6.3559177409687306E-2</v>
      </c>
      <c r="AF40" s="72">
        <f t="shared" si="46"/>
        <v>6.3418561108563365E-2</v>
      </c>
      <c r="AG40" s="72">
        <f t="shared" si="46"/>
        <v>6.3285040381127811E-2</v>
      </c>
    </row>
    <row r="41" spans="1:33" s="72" customFormat="1">
      <c r="A41" s="74" t="s">
        <v>147</v>
      </c>
      <c r="B41" s="71"/>
      <c r="F41" s="72">
        <f t="shared" ref="F41:Q41" si="47">F33/B33-1</f>
        <v>5.3142331172718382E-2</v>
      </c>
      <c r="G41" s="72">
        <f t="shared" si="47"/>
        <v>1.2001082184053269E-2</v>
      </c>
      <c r="H41" s="72">
        <f t="shared" si="47"/>
        <v>1.7029985686133564E-2</v>
      </c>
      <c r="I41" s="72">
        <f t="shared" si="47"/>
        <v>1.6024796021840038E-2</v>
      </c>
      <c r="J41" s="72">
        <f t="shared" si="47"/>
        <v>2.3641830225932914E-2</v>
      </c>
      <c r="K41" s="72">
        <f t="shared" si="47"/>
        <v>3.0563105304360239E-2</v>
      </c>
      <c r="L41" s="72">
        <f t="shared" si="47"/>
        <v>3.2529932857643606E-2</v>
      </c>
      <c r="M41" s="72">
        <f t="shared" si="47"/>
        <v>3.4498901434764528E-2</v>
      </c>
      <c r="N41" s="72">
        <f t="shared" si="47"/>
        <v>3.6393706774784595E-2</v>
      </c>
      <c r="O41" s="72">
        <f t="shared" si="47"/>
        <v>3.8117768163034915E-2</v>
      </c>
      <c r="P41" s="72">
        <f t="shared" si="47"/>
        <v>3.9875540759181982E-2</v>
      </c>
      <c r="Q41" s="72">
        <f t="shared" si="47"/>
        <v>4.158907360952302E-2</v>
      </c>
      <c r="T41" s="72">
        <f>T33/S33-1</f>
        <v>0.97916528558686489</v>
      </c>
      <c r="U41" s="72">
        <f>U33/T33-1</f>
        <v>0.35114003379261538</v>
      </c>
      <c r="V41" s="72">
        <f t="shared" ref="V41:AG41" si="48">V33/U33-1</f>
        <v>1.6024796021840038E-2</v>
      </c>
      <c r="W41" s="72">
        <f t="shared" si="48"/>
        <v>3.4498901434764528E-2</v>
      </c>
      <c r="X41" s="72">
        <f t="shared" si="48"/>
        <v>4.158907360952302E-2</v>
      </c>
      <c r="Y41" s="72">
        <f t="shared" si="48"/>
        <v>4.9708690268041034E-2</v>
      </c>
      <c r="Z41" s="72">
        <f t="shared" si="48"/>
        <v>5.4396549276772843E-2</v>
      </c>
      <c r="AA41" s="72">
        <f t="shared" si="48"/>
        <v>5.8268732781480592E-2</v>
      </c>
      <c r="AB41" s="72">
        <f t="shared" si="48"/>
        <v>6.137122281357632E-2</v>
      </c>
      <c r="AC41" s="72">
        <f t="shared" si="48"/>
        <v>6.3768465683740949E-2</v>
      </c>
      <c r="AD41" s="72">
        <f t="shared" si="48"/>
        <v>6.5535267556070309E-2</v>
      </c>
      <c r="AE41" s="72">
        <f t="shared" si="48"/>
        <v>6.6750227911809956E-2</v>
      </c>
      <c r="AF41" s="72">
        <f t="shared" si="48"/>
        <v>6.7490874198573136E-2</v>
      </c>
      <c r="AG41" s="72">
        <f t="shared" si="48"/>
        <v>6.7830380005665436E-2</v>
      </c>
    </row>
    <row r="49" spans="1:21">
      <c r="A49" s="5" t="s">
        <v>66</v>
      </c>
      <c r="B49" s="20">
        <v>-37246</v>
      </c>
      <c r="C49" s="20">
        <f>-71327-B49</f>
        <v>-34081</v>
      </c>
      <c r="D49" s="20">
        <f>-107915-B49-C49</f>
        <v>-36588</v>
      </c>
      <c r="E49" s="20">
        <f>U49-B49-C49-D49</f>
        <v>-39265</v>
      </c>
      <c r="F49" s="20">
        <v>-55160</v>
      </c>
      <c r="G49" s="20">
        <f>-110876-F49</f>
        <v>-55716</v>
      </c>
      <c r="S49" s="20">
        <v>-49616</v>
      </c>
      <c r="T49" s="20">
        <v>-100064</v>
      </c>
      <c r="U49" s="20">
        <v>-147180</v>
      </c>
    </row>
    <row r="50" spans="1:21">
      <c r="A50" s="5" t="s">
        <v>67</v>
      </c>
      <c r="B50" s="20">
        <v>2309</v>
      </c>
      <c r="C50" s="20">
        <f>-120473-B50</f>
        <v>-122782</v>
      </c>
      <c r="D50" s="20">
        <f>-150650-B50-C50</f>
        <v>-30177</v>
      </c>
      <c r="E50" s="20">
        <f>U50-B50-C50-D50</f>
        <v>8533</v>
      </c>
      <c r="F50" s="20">
        <v>44025</v>
      </c>
      <c r="G50" s="20">
        <f>106426-F50</f>
        <v>62401</v>
      </c>
      <c r="S50" s="20">
        <v>-101969</v>
      </c>
      <c r="T50" s="20">
        <v>-234233</v>
      </c>
      <c r="U50" s="20">
        <v>-142117</v>
      </c>
    </row>
    <row r="51" spans="1:21">
      <c r="A51" s="5" t="s">
        <v>68</v>
      </c>
      <c r="B51" s="20">
        <v>282264</v>
      </c>
      <c r="C51" s="20">
        <f>283132-B51</f>
        <v>868</v>
      </c>
      <c r="D51" s="20">
        <f>283451-B51-C51</f>
        <v>319</v>
      </c>
      <c r="E51" s="20">
        <f>U51-B51-C51-D51</f>
        <v>10728</v>
      </c>
      <c r="F51" s="20">
        <v>305</v>
      </c>
      <c r="G51" s="20">
        <f>1734-F51</f>
        <v>1429</v>
      </c>
      <c r="S51" s="20">
        <v>98658</v>
      </c>
      <c r="T51" s="20">
        <v>422776</v>
      </c>
      <c r="U51" s="20">
        <v>294179</v>
      </c>
    </row>
    <row r="52" spans="1:21">
      <c r="A52" s="5" t="s">
        <v>69</v>
      </c>
      <c r="B52" s="20">
        <f t="shared" ref="B52:G52" si="49">B49+B50+B51</f>
        <v>247327</v>
      </c>
      <c r="C52" s="20">
        <f t="shared" si="49"/>
        <v>-155995</v>
      </c>
      <c r="D52" s="20">
        <f t="shared" si="49"/>
        <v>-66446</v>
      </c>
      <c r="E52" s="20">
        <f t="shared" si="49"/>
        <v>-20004</v>
      </c>
      <c r="F52" s="20">
        <f t="shared" si="49"/>
        <v>-10830</v>
      </c>
      <c r="G52" s="20">
        <f t="shared" si="49"/>
        <v>8114</v>
      </c>
      <c r="S52" s="20">
        <f>S49+S50+S51</f>
        <v>-52927</v>
      </c>
      <c r="T52" s="20">
        <f>T49+T50+T51</f>
        <v>88479</v>
      </c>
      <c r="U52" s="20">
        <f>U49+U50+U51</f>
        <v>4882</v>
      </c>
    </row>
    <row r="53" spans="1:21">
      <c r="A53" s="5" t="s">
        <v>70</v>
      </c>
      <c r="B53" s="20">
        <f>T54</f>
        <v>105352</v>
      </c>
      <c r="C53" s="20">
        <f>B54</f>
        <v>352679</v>
      </c>
      <c r="D53" s="20">
        <f>C54</f>
        <v>196684</v>
      </c>
      <c r="E53" s="20">
        <f>D54</f>
        <v>130238</v>
      </c>
      <c r="F53" s="20">
        <f>U54</f>
        <v>110234</v>
      </c>
      <c r="G53" s="20">
        <f>F54</f>
        <v>99404</v>
      </c>
      <c r="S53" s="20">
        <v>69800</v>
      </c>
      <c r="T53" s="20">
        <f>S54</f>
        <v>16873</v>
      </c>
      <c r="U53" s="20">
        <f>T54</f>
        <v>105352</v>
      </c>
    </row>
    <row r="54" spans="1:21">
      <c r="A54" s="5" t="s">
        <v>71</v>
      </c>
      <c r="B54" s="20">
        <f>B53+B52</f>
        <v>352679</v>
      </c>
      <c r="C54" s="20">
        <f>C53+C52</f>
        <v>196684</v>
      </c>
      <c r="D54" s="20">
        <f>D53+D52</f>
        <v>130238</v>
      </c>
      <c r="E54" s="20">
        <f>E53+E52</f>
        <v>110234</v>
      </c>
      <c r="F54" s="20">
        <f>F52+F53</f>
        <v>99404</v>
      </c>
      <c r="G54" s="20">
        <f>G53+G52</f>
        <v>107518</v>
      </c>
      <c r="S54" s="20">
        <f>S53+S52</f>
        <v>16873</v>
      </c>
      <c r="T54" s="20">
        <f>T53+T52</f>
        <v>105352</v>
      </c>
      <c r="U54" s="20">
        <f>U53+U52</f>
        <v>110234</v>
      </c>
    </row>
    <row r="56" spans="1:21">
      <c r="A56" s="5" t="s">
        <v>79</v>
      </c>
      <c r="B56" s="20">
        <v>3387</v>
      </c>
      <c r="C56" s="20">
        <f>8700-B56</f>
        <v>5313</v>
      </c>
      <c r="D56" s="20">
        <f>14527-B56-C56</f>
        <v>5827</v>
      </c>
      <c r="E56" s="20">
        <f>U56-B56-C56-D56</f>
        <v>6197</v>
      </c>
      <c r="F56" s="20">
        <v>6644</v>
      </c>
      <c r="G56" s="20">
        <f>14742-F56</f>
        <v>8098</v>
      </c>
      <c r="H56" s="21">
        <f>H108*15*1000</f>
        <v>7611.1152000000002</v>
      </c>
      <c r="I56" s="21">
        <f t="shared" ref="I56:Q56" si="50">I108*15*1000</f>
        <v>8141.1249900000012</v>
      </c>
      <c r="J56" s="21">
        <f t="shared" si="50"/>
        <v>8774.3647380000002</v>
      </c>
      <c r="K56" s="21">
        <f t="shared" si="50"/>
        <v>9527.0774856000007</v>
      </c>
      <c r="L56" s="21">
        <f t="shared" si="50"/>
        <v>10050.16093272</v>
      </c>
      <c r="M56" s="21">
        <f t="shared" si="50"/>
        <v>10630.813119264001</v>
      </c>
      <c r="N56" s="21">
        <f t="shared" si="50"/>
        <v>11234.752703116803</v>
      </c>
      <c r="O56" s="21">
        <f t="shared" si="50"/>
        <v>11853.478245740163</v>
      </c>
      <c r="P56" s="21">
        <f t="shared" si="50"/>
        <v>12469.300947288197</v>
      </c>
      <c r="Q56" s="21">
        <f t="shared" si="50"/>
        <v>13057.745639625833</v>
      </c>
      <c r="S56" s="20">
        <v>3161</v>
      </c>
      <c r="T56" s="20">
        <v>8886</v>
      </c>
      <c r="U56" s="20">
        <v>20724</v>
      </c>
    </row>
    <row r="57" spans="1:21">
      <c r="A57" s="5" t="s">
        <v>80</v>
      </c>
      <c r="B57" s="20">
        <v>671</v>
      </c>
      <c r="C57" s="20">
        <f>1474-B57</f>
        <v>803</v>
      </c>
      <c r="D57" s="20">
        <f>2267-C57-B57</f>
        <v>793</v>
      </c>
      <c r="E57" s="20">
        <f>U57-B57-C57-D57</f>
        <v>816</v>
      </c>
      <c r="F57" s="20">
        <v>901</v>
      </c>
      <c r="G57" s="20">
        <f>1832-F57</f>
        <v>931</v>
      </c>
      <c r="H57" s="21">
        <f>0.12*H71/4</f>
        <v>859.11</v>
      </c>
      <c r="I57" s="21">
        <f t="shared" ref="I57:Q57" si="51">0.12*I71/4</f>
        <v>921.92</v>
      </c>
      <c r="J57" s="21">
        <f t="shared" si="51"/>
        <v>986.77666666666664</v>
      </c>
      <c r="K57" s="21">
        <f t="shared" si="51"/>
        <v>1047.9922222222222</v>
      </c>
      <c r="L57" s="21">
        <f t="shared" si="51"/>
        <v>1110.9529629629628</v>
      </c>
      <c r="M57" s="21">
        <f t="shared" si="51"/>
        <v>1173.9639506172839</v>
      </c>
      <c r="N57" s="21">
        <f t="shared" si="51"/>
        <v>1236.3597119341564</v>
      </c>
      <c r="O57" s="21">
        <f t="shared" si="51"/>
        <v>1299.1488751714678</v>
      </c>
      <c r="P57" s="21">
        <f t="shared" si="51"/>
        <v>1361.8808459076361</v>
      </c>
      <c r="Q57" s="21">
        <f t="shared" si="51"/>
        <v>1424.51981100442</v>
      </c>
      <c r="S57" s="20">
        <v>2273</v>
      </c>
      <c r="T57" s="20">
        <v>2611</v>
      </c>
      <c r="U57" s="20">
        <v>3083</v>
      </c>
    </row>
    <row r="58" spans="1:21">
      <c r="A58" s="5" t="s">
        <v>82</v>
      </c>
      <c r="B58" s="20">
        <v>-3579</v>
      </c>
      <c r="C58" s="20">
        <f>-4891-B58</f>
        <v>-1312</v>
      </c>
      <c r="D58" s="20">
        <f>-5345-C58-B58</f>
        <v>-454</v>
      </c>
      <c r="E58" s="20">
        <f>U58-B58-C58-D58</f>
        <v>-1183</v>
      </c>
      <c r="F58" s="20">
        <v>-1889</v>
      </c>
      <c r="G58" s="20">
        <f>-4415-F58</f>
        <v>-2526</v>
      </c>
      <c r="H58" s="21">
        <f>AVERAGE(E58:G58)</f>
        <v>-1866</v>
      </c>
      <c r="I58" s="21">
        <f t="shared" ref="I58:Q58" si="52">AVERAGE(F58:H58)</f>
        <v>-2093.6666666666665</v>
      </c>
      <c r="J58" s="21">
        <f t="shared" si="52"/>
        <v>-2161.8888888888887</v>
      </c>
      <c r="K58" s="21">
        <f t="shared" si="52"/>
        <v>-2040.5185185185182</v>
      </c>
      <c r="L58" s="21">
        <f t="shared" si="52"/>
        <v>-2098.691358024691</v>
      </c>
      <c r="M58" s="21">
        <f t="shared" si="52"/>
        <v>-2100.3662551440325</v>
      </c>
      <c r="N58" s="21">
        <f t="shared" si="52"/>
        <v>-2079.8587105624138</v>
      </c>
      <c r="O58" s="21">
        <f t="shared" si="52"/>
        <v>-2092.9721079103788</v>
      </c>
      <c r="P58" s="21">
        <f t="shared" si="52"/>
        <v>-2091.0656912056079</v>
      </c>
      <c r="Q58" s="21">
        <f t="shared" si="52"/>
        <v>-2087.965503226133</v>
      </c>
      <c r="S58" s="20">
        <v>-2589</v>
      </c>
      <c r="T58" s="20">
        <v>-2933</v>
      </c>
      <c r="U58" s="20">
        <v>-6528</v>
      </c>
    </row>
    <row r="59" spans="1:21">
      <c r="A59" s="5" t="s">
        <v>81</v>
      </c>
      <c r="B59" s="20">
        <f t="shared" ref="B59:G59" si="53">B49-B56-B57+B58</f>
        <v>-44883</v>
      </c>
      <c r="C59" s="20">
        <f t="shared" si="53"/>
        <v>-41509</v>
      </c>
      <c r="D59" s="20">
        <f t="shared" si="53"/>
        <v>-43662</v>
      </c>
      <c r="E59" s="20">
        <f t="shared" si="53"/>
        <v>-47461</v>
      </c>
      <c r="F59" s="20">
        <f t="shared" si="53"/>
        <v>-64594</v>
      </c>
      <c r="G59" s="20">
        <f t="shared" si="53"/>
        <v>-67271</v>
      </c>
      <c r="S59" s="20">
        <f>S49-S56-S57+S58</f>
        <v>-57639</v>
      </c>
      <c r="T59" s="20">
        <f>T49-T56-T57+T58</f>
        <v>-114494</v>
      </c>
      <c r="U59" s="20">
        <f>U49-U56-U57+U58</f>
        <v>-177515</v>
      </c>
    </row>
    <row r="61" spans="1:21" ht="17" customHeight="1">
      <c r="A61" s="5" t="s">
        <v>34</v>
      </c>
      <c r="D61" s="20">
        <v>129154</v>
      </c>
      <c r="E61" s="20">
        <v>108497</v>
      </c>
      <c r="F61" s="20">
        <v>97667</v>
      </c>
      <c r="G61" s="20">
        <v>105781</v>
      </c>
      <c r="H61" s="21">
        <f>G61</f>
        <v>105781</v>
      </c>
      <c r="I61" s="21">
        <f t="shared" ref="I61:J61" si="54">H61</f>
        <v>105781</v>
      </c>
      <c r="J61" s="21">
        <f t="shared" si="54"/>
        <v>105781</v>
      </c>
      <c r="K61" s="21">
        <f t="shared" ref="K61" si="55">J61</f>
        <v>105781</v>
      </c>
      <c r="L61" s="21">
        <f>K61+L30</f>
        <v>25731.330050552133</v>
      </c>
      <c r="M61" s="21">
        <f>L61</f>
        <v>25731.330050552133</v>
      </c>
      <c r="N61" s="21">
        <f t="shared" ref="N61:Q61" si="56">M61</f>
        <v>25731.330050552133</v>
      </c>
      <c r="O61" s="21">
        <f t="shared" si="56"/>
        <v>25731.330050552133</v>
      </c>
      <c r="P61" s="21">
        <f t="shared" si="56"/>
        <v>25731.330050552133</v>
      </c>
      <c r="Q61" s="21">
        <f t="shared" si="56"/>
        <v>25731.330050552133</v>
      </c>
      <c r="T61" s="20">
        <v>104268</v>
      </c>
      <c r="U61" s="20">
        <v>108497</v>
      </c>
    </row>
    <row r="62" spans="1:21" ht="17" customHeight="1">
      <c r="A62" s="5" t="s">
        <v>43</v>
      </c>
      <c r="D62" s="20">
        <v>479501</v>
      </c>
      <c r="E62" s="20">
        <v>468557</v>
      </c>
      <c r="F62" s="20">
        <v>421087</v>
      </c>
      <c r="G62" s="20">
        <v>355652</v>
      </c>
      <c r="H62" s="21">
        <f>G62+H30</f>
        <v>286451.46999999997</v>
      </c>
      <c r="I62" s="21">
        <f>H62+I30</f>
        <v>216639.34096666664</v>
      </c>
      <c r="J62" s="21">
        <f>I62+J30</f>
        <v>143055.20068322218</v>
      </c>
      <c r="K62" s="21">
        <f>J62+K30</f>
        <v>67329.556136744024</v>
      </c>
      <c r="L62" s="21">
        <f t="shared" ref="L62:Q62" si="57">K62</f>
        <v>67329.556136744024</v>
      </c>
      <c r="M62" s="21">
        <f t="shared" si="57"/>
        <v>67329.556136744024</v>
      </c>
      <c r="N62" s="21">
        <f t="shared" si="57"/>
        <v>67329.556136744024</v>
      </c>
      <c r="O62" s="21">
        <f t="shared" si="57"/>
        <v>67329.556136744024</v>
      </c>
      <c r="P62" s="21">
        <f t="shared" si="57"/>
        <v>67329.556136744024</v>
      </c>
      <c r="Q62" s="21">
        <f t="shared" si="57"/>
        <v>67329.556136744024</v>
      </c>
      <c r="T62" s="20">
        <v>336473</v>
      </c>
      <c r="U62" s="20">
        <v>468557</v>
      </c>
    </row>
    <row r="63" spans="1:21">
      <c r="A63" s="5" t="s">
        <v>35</v>
      </c>
      <c r="D63" s="20">
        <v>7412</v>
      </c>
      <c r="E63" s="20">
        <v>5929</v>
      </c>
      <c r="F63" s="20">
        <v>5383</v>
      </c>
      <c r="G63" s="20">
        <v>5624</v>
      </c>
      <c r="H63" s="20">
        <f>G63</f>
        <v>5624</v>
      </c>
      <c r="I63" s="20">
        <f t="shared" ref="I63:Q63" si="58">H63</f>
        <v>5624</v>
      </c>
      <c r="J63" s="20">
        <f t="shared" si="58"/>
        <v>5624</v>
      </c>
      <c r="K63" s="20">
        <f t="shared" si="58"/>
        <v>5624</v>
      </c>
      <c r="L63" s="20">
        <f t="shared" si="58"/>
        <v>5624</v>
      </c>
      <c r="M63" s="20">
        <f t="shared" si="58"/>
        <v>5624</v>
      </c>
      <c r="N63" s="20">
        <f t="shared" si="58"/>
        <v>5624</v>
      </c>
      <c r="O63" s="20">
        <f t="shared" si="58"/>
        <v>5624</v>
      </c>
      <c r="P63" s="20">
        <f t="shared" si="58"/>
        <v>5624</v>
      </c>
      <c r="Q63" s="20">
        <f t="shared" si="58"/>
        <v>5624</v>
      </c>
      <c r="T63" s="20">
        <v>6393</v>
      </c>
      <c r="U63" s="20">
        <v>5929</v>
      </c>
    </row>
    <row r="64" spans="1:21">
      <c r="A64" s="5" t="s">
        <v>36</v>
      </c>
      <c r="D64" s="20">
        <v>7469</v>
      </c>
      <c r="E64" s="20">
        <v>6790</v>
      </c>
      <c r="F64" s="20">
        <v>10206</v>
      </c>
      <c r="G64" s="20">
        <v>15989</v>
      </c>
      <c r="H64" s="21">
        <f>G64*1.02</f>
        <v>16308.78</v>
      </c>
      <c r="I64" s="21">
        <f t="shared" ref="I64:Q64" si="59">H64*1.02</f>
        <v>16634.955600000001</v>
      </c>
      <c r="J64" s="21">
        <f t="shared" si="59"/>
        <v>16967.654712000003</v>
      </c>
      <c r="K64" s="21">
        <f t="shared" si="59"/>
        <v>17307.007806240003</v>
      </c>
      <c r="L64" s="21">
        <f t="shared" si="59"/>
        <v>17653.147962364805</v>
      </c>
      <c r="M64" s="21">
        <f t="shared" si="59"/>
        <v>18006.210921612103</v>
      </c>
      <c r="N64" s="21">
        <f t="shared" si="59"/>
        <v>18366.335140044346</v>
      </c>
      <c r="O64" s="21">
        <f t="shared" si="59"/>
        <v>18733.661842845235</v>
      </c>
      <c r="P64" s="21">
        <f t="shared" si="59"/>
        <v>19108.335079702141</v>
      </c>
      <c r="Q64" s="21">
        <f t="shared" si="59"/>
        <v>19490.501781296185</v>
      </c>
      <c r="T64" s="20">
        <v>6988</v>
      </c>
      <c r="U64" s="20">
        <v>6790</v>
      </c>
    </row>
    <row r="65" spans="1:21">
      <c r="A65" s="5" t="s">
        <v>37</v>
      </c>
      <c r="D65" s="20">
        <v>10107</v>
      </c>
      <c r="E65" s="20">
        <f>E71+E72</f>
        <v>11544</v>
      </c>
      <c r="F65" s="20">
        <v>13056</v>
      </c>
      <c r="G65" s="20">
        <v>15910</v>
      </c>
      <c r="H65" s="21">
        <f>H71+H72</f>
        <v>16916.89</v>
      </c>
      <c r="I65" s="21">
        <f t="shared" ref="I65:Q65" si="60">I71+I72</f>
        <v>18088.636666666665</v>
      </c>
      <c r="J65" s="21">
        <f t="shared" si="60"/>
        <v>19263.748888888887</v>
      </c>
      <c r="K65" s="21">
        <f t="shared" si="60"/>
        <v>20256.275185185183</v>
      </c>
      <c r="L65" s="21">
        <f t="shared" si="60"/>
        <v>21244.013580246909</v>
      </c>
      <c r="M65" s="21">
        <f t="shared" si="60"/>
        <v>22170.415884773662</v>
      </c>
      <c r="N65" s="21">
        <f t="shared" si="60"/>
        <v>23013.914883401922</v>
      </c>
      <c r="O65" s="21">
        <f t="shared" si="60"/>
        <v>23807.73811614083</v>
      </c>
      <c r="P65" s="21">
        <f t="shared" si="60"/>
        <v>24536.922961438802</v>
      </c>
      <c r="Q65" s="21">
        <f t="shared" si="60"/>
        <v>25200.36865366052</v>
      </c>
      <c r="T65" s="20">
        <f>T71+T72</f>
        <v>8902</v>
      </c>
      <c r="U65" s="20">
        <f>U71+U72</f>
        <v>11544</v>
      </c>
    </row>
    <row r="66" spans="1:21" hidden="1" outlineLevel="1">
      <c r="A66" s="5" t="s">
        <v>72</v>
      </c>
      <c r="E66" s="20">
        <v>12727</v>
      </c>
      <c r="T66" s="20">
        <v>9978</v>
      </c>
      <c r="U66" s="20">
        <v>12727</v>
      </c>
    </row>
    <row r="67" spans="1:21" hidden="1" outlineLevel="1">
      <c r="A67" s="5" t="s">
        <v>73</v>
      </c>
      <c r="E67" s="20">
        <v>7245</v>
      </c>
      <c r="T67" s="20">
        <v>3387</v>
      </c>
      <c r="U67" s="20">
        <v>7245</v>
      </c>
    </row>
    <row r="68" spans="1:21" hidden="1" outlineLevel="1">
      <c r="A68" s="5" t="s">
        <v>74</v>
      </c>
      <c r="E68" s="20">
        <v>2186</v>
      </c>
      <c r="T68" s="20">
        <v>1578</v>
      </c>
      <c r="U68" s="20">
        <v>2186</v>
      </c>
    </row>
    <row r="69" spans="1:21" hidden="1" outlineLevel="1">
      <c r="A69" s="5" t="s">
        <v>75</v>
      </c>
      <c r="E69" s="20">
        <v>69</v>
      </c>
      <c r="T69" s="20">
        <v>48</v>
      </c>
      <c r="U69" s="20">
        <v>69</v>
      </c>
    </row>
    <row r="70" spans="1:21" hidden="1" outlineLevel="1">
      <c r="A70" s="5" t="s">
        <v>76</v>
      </c>
      <c r="E70" s="20">
        <v>129</v>
      </c>
      <c r="T70" s="20">
        <v>1981</v>
      </c>
      <c r="U70" s="20">
        <v>129</v>
      </c>
    </row>
    <row r="71" spans="1:21" hidden="1" outlineLevel="1">
      <c r="A71" s="5" t="s">
        <v>78</v>
      </c>
      <c r="E71" s="20">
        <f>E66+E67+E68+E69+E70</f>
        <v>22356</v>
      </c>
      <c r="F71" s="20">
        <f>E71-F58</f>
        <v>24245</v>
      </c>
      <c r="G71" s="20">
        <f>F71-G58</f>
        <v>26771</v>
      </c>
      <c r="H71" s="21">
        <f>G71-H58</f>
        <v>28637</v>
      </c>
      <c r="I71" s="21">
        <f t="shared" ref="I71:Q71" si="61">H71-I58</f>
        <v>30730.666666666668</v>
      </c>
      <c r="J71" s="21">
        <f t="shared" si="61"/>
        <v>32892.555555555555</v>
      </c>
      <c r="K71" s="21">
        <f t="shared" si="61"/>
        <v>34933.074074074073</v>
      </c>
      <c r="L71" s="21">
        <f t="shared" si="61"/>
        <v>37031.765432098764</v>
      </c>
      <c r="M71" s="21">
        <f t="shared" si="61"/>
        <v>39132.1316872428</v>
      </c>
      <c r="N71" s="21">
        <f t="shared" si="61"/>
        <v>41211.990397805217</v>
      </c>
      <c r="O71" s="21">
        <f t="shared" si="61"/>
        <v>43304.962505715594</v>
      </c>
      <c r="P71" s="21">
        <f t="shared" si="61"/>
        <v>45396.028196921201</v>
      </c>
      <c r="Q71" s="21">
        <f t="shared" si="61"/>
        <v>47483.993700147337</v>
      </c>
      <c r="T71" s="20">
        <f>T66+T67+T68+T69+T70</f>
        <v>16972</v>
      </c>
      <c r="U71" s="20">
        <f>U66+U67+U68+U69+U70</f>
        <v>22356</v>
      </c>
    </row>
    <row r="72" spans="1:21" hidden="1" outlineLevel="1">
      <c r="A72" s="5" t="s">
        <v>77</v>
      </c>
      <c r="E72" s="20">
        <v>-10812</v>
      </c>
      <c r="F72" s="20">
        <f>F65-F71</f>
        <v>-11189</v>
      </c>
      <c r="G72" s="20">
        <f>G65-G71</f>
        <v>-10861</v>
      </c>
      <c r="H72" s="21">
        <f>G72-H57</f>
        <v>-11720.11</v>
      </c>
      <c r="I72" s="21">
        <f t="shared" ref="I72:Q72" si="62">H72-I57</f>
        <v>-12642.03</v>
      </c>
      <c r="J72" s="21">
        <f t="shared" si="62"/>
        <v>-13628.806666666667</v>
      </c>
      <c r="K72" s="21">
        <f t="shared" si="62"/>
        <v>-14676.79888888889</v>
      </c>
      <c r="L72" s="21">
        <f t="shared" si="62"/>
        <v>-15787.751851851854</v>
      </c>
      <c r="M72" s="21">
        <f t="shared" si="62"/>
        <v>-16961.715802469138</v>
      </c>
      <c r="N72" s="21">
        <f t="shared" si="62"/>
        <v>-18198.075514403296</v>
      </c>
      <c r="O72" s="21">
        <f t="shared" si="62"/>
        <v>-19497.224389574763</v>
      </c>
      <c r="P72" s="21">
        <f t="shared" si="62"/>
        <v>-20859.105235482399</v>
      </c>
      <c r="Q72" s="21">
        <f t="shared" si="62"/>
        <v>-22283.625046486817</v>
      </c>
      <c r="T72" s="20">
        <v>-8070</v>
      </c>
      <c r="U72" s="20">
        <v>-10812</v>
      </c>
    </row>
    <row r="73" spans="1:21" hidden="1" outlineLevel="1">
      <c r="A73" s="5" t="s">
        <v>174</v>
      </c>
      <c r="U73" s="22">
        <f>(U72-T72)/U71</f>
        <v>-0.12265163714439077</v>
      </c>
    </row>
    <row r="74" spans="1:21" collapsed="1">
      <c r="A74" s="5" t="s">
        <v>38</v>
      </c>
      <c r="D74" s="20">
        <v>25234</v>
      </c>
      <c r="E74" s="20">
        <v>59692</v>
      </c>
      <c r="F74" s="20">
        <v>58570</v>
      </c>
      <c r="G74" s="20">
        <v>57434</v>
      </c>
      <c r="H74" s="21">
        <f>0.98*G74</f>
        <v>56285.32</v>
      </c>
      <c r="I74" s="21">
        <f t="shared" ref="I74:Q74" si="63">0.98*H74</f>
        <v>55159.613599999997</v>
      </c>
      <c r="J74" s="21">
        <f t="shared" si="63"/>
        <v>54056.421327999997</v>
      </c>
      <c r="K74" s="21">
        <f t="shared" si="63"/>
        <v>52975.292901439992</v>
      </c>
      <c r="L74" s="21">
        <f t="shared" si="63"/>
        <v>51915.78704341119</v>
      </c>
      <c r="M74" s="21">
        <f t="shared" si="63"/>
        <v>50877.471302542966</v>
      </c>
      <c r="N74" s="21">
        <f t="shared" si="63"/>
        <v>49859.92187649211</v>
      </c>
      <c r="O74" s="21">
        <f t="shared" si="63"/>
        <v>48862.723438962268</v>
      </c>
      <c r="P74" s="21">
        <f t="shared" si="63"/>
        <v>47885.468970183021</v>
      </c>
      <c r="Q74" s="21">
        <f t="shared" si="63"/>
        <v>46927.759590779358</v>
      </c>
      <c r="T74" s="20">
        <v>27435</v>
      </c>
      <c r="U74" s="20">
        <v>59692</v>
      </c>
    </row>
    <row r="75" spans="1:21">
      <c r="A75" s="5" t="s">
        <v>39</v>
      </c>
      <c r="D75" s="20">
        <v>60143</v>
      </c>
      <c r="E75" s="20">
        <v>59876</v>
      </c>
      <c r="F75" s="20">
        <v>59609</v>
      </c>
      <c r="G75" s="20">
        <v>59342</v>
      </c>
      <c r="H75" s="20">
        <f>G75-267</f>
        <v>59075</v>
      </c>
      <c r="I75" s="20">
        <f t="shared" ref="I75:Q75" si="64">H75-267</f>
        <v>58808</v>
      </c>
      <c r="J75" s="20">
        <f t="shared" si="64"/>
        <v>58541</v>
      </c>
      <c r="K75" s="20">
        <f t="shared" si="64"/>
        <v>58274</v>
      </c>
      <c r="L75" s="20">
        <f t="shared" si="64"/>
        <v>58007</v>
      </c>
      <c r="M75" s="20">
        <f t="shared" si="64"/>
        <v>57740</v>
      </c>
      <c r="N75" s="20">
        <f t="shared" si="64"/>
        <v>57473</v>
      </c>
      <c r="O75" s="20">
        <f t="shared" si="64"/>
        <v>57206</v>
      </c>
      <c r="P75" s="20">
        <f t="shared" si="64"/>
        <v>56939</v>
      </c>
      <c r="Q75" s="20">
        <f t="shared" si="64"/>
        <v>56672</v>
      </c>
      <c r="T75" s="20">
        <v>60945</v>
      </c>
      <c r="U75" s="20">
        <v>59876</v>
      </c>
    </row>
    <row r="76" spans="1:21">
      <c r="A76" s="5" t="s">
        <v>40</v>
      </c>
      <c r="D76" s="20">
        <v>14608</v>
      </c>
      <c r="E76" s="20">
        <v>14608</v>
      </c>
      <c r="F76" s="20">
        <v>14608</v>
      </c>
      <c r="G76" s="20">
        <v>14608</v>
      </c>
      <c r="H76" s="20">
        <f>G76</f>
        <v>14608</v>
      </c>
      <c r="I76" s="20">
        <f t="shared" ref="I76:Q76" si="65">H76</f>
        <v>14608</v>
      </c>
      <c r="J76" s="20">
        <f t="shared" si="65"/>
        <v>14608</v>
      </c>
      <c r="K76" s="20">
        <f t="shared" si="65"/>
        <v>14608</v>
      </c>
      <c r="L76" s="20">
        <f t="shared" si="65"/>
        <v>14608</v>
      </c>
      <c r="M76" s="20">
        <f t="shared" si="65"/>
        <v>14608</v>
      </c>
      <c r="N76" s="20">
        <f t="shared" si="65"/>
        <v>14608</v>
      </c>
      <c r="O76" s="20">
        <f t="shared" si="65"/>
        <v>14608</v>
      </c>
      <c r="P76" s="20">
        <f t="shared" si="65"/>
        <v>14608</v>
      </c>
      <c r="Q76" s="20">
        <f t="shared" si="65"/>
        <v>14608</v>
      </c>
      <c r="T76" s="20">
        <v>14608</v>
      </c>
      <c r="U76" s="20">
        <v>14608</v>
      </c>
    </row>
    <row r="77" spans="1:21">
      <c r="A77" s="5" t="s">
        <v>41</v>
      </c>
      <c r="D77" s="20">
        <v>1084</v>
      </c>
      <c r="E77" s="20">
        <v>1737</v>
      </c>
      <c r="F77" s="20">
        <v>1737</v>
      </c>
      <c r="G77" s="20">
        <v>1737</v>
      </c>
      <c r="H77" s="20">
        <f>G77</f>
        <v>1737</v>
      </c>
      <c r="I77" s="20">
        <f t="shared" ref="I77:Q77" si="66">H77</f>
        <v>1737</v>
      </c>
      <c r="J77" s="20">
        <f t="shared" si="66"/>
        <v>1737</v>
      </c>
      <c r="K77" s="20">
        <f t="shared" si="66"/>
        <v>1737</v>
      </c>
      <c r="L77" s="20">
        <f t="shared" si="66"/>
        <v>1737</v>
      </c>
      <c r="M77" s="20">
        <f t="shared" si="66"/>
        <v>1737</v>
      </c>
      <c r="N77" s="20">
        <f t="shared" si="66"/>
        <v>1737</v>
      </c>
      <c r="O77" s="20">
        <f t="shared" si="66"/>
        <v>1737</v>
      </c>
      <c r="P77" s="20">
        <f t="shared" si="66"/>
        <v>1737</v>
      </c>
      <c r="Q77" s="20">
        <f t="shared" si="66"/>
        <v>1737</v>
      </c>
      <c r="T77" s="20">
        <v>1084</v>
      </c>
      <c r="U77" s="20">
        <v>1737</v>
      </c>
    </row>
    <row r="78" spans="1:21">
      <c r="A78" s="5" t="s">
        <v>42</v>
      </c>
      <c r="D78" s="20">
        <v>264</v>
      </c>
      <c r="E78" s="20">
        <v>758</v>
      </c>
      <c r="F78" s="20">
        <v>851</v>
      </c>
      <c r="G78" s="20">
        <v>725</v>
      </c>
      <c r="H78" s="20">
        <f>G78</f>
        <v>725</v>
      </c>
      <c r="I78" s="20">
        <f t="shared" ref="I78:Q78" si="67">H78</f>
        <v>725</v>
      </c>
      <c r="J78" s="20">
        <f t="shared" si="67"/>
        <v>725</v>
      </c>
      <c r="K78" s="20">
        <f t="shared" si="67"/>
        <v>725</v>
      </c>
      <c r="L78" s="20">
        <f t="shared" si="67"/>
        <v>725</v>
      </c>
      <c r="M78" s="20">
        <f t="shared" si="67"/>
        <v>725</v>
      </c>
      <c r="N78" s="20">
        <f t="shared" si="67"/>
        <v>725</v>
      </c>
      <c r="O78" s="20">
        <f t="shared" si="67"/>
        <v>725</v>
      </c>
      <c r="P78" s="20">
        <f t="shared" si="67"/>
        <v>725</v>
      </c>
      <c r="Q78" s="20">
        <f t="shared" si="67"/>
        <v>725</v>
      </c>
      <c r="T78" s="20">
        <v>305</v>
      </c>
      <c r="U78" s="20">
        <v>758</v>
      </c>
    </row>
    <row r="79" spans="1:21">
      <c r="A79" s="5" t="s">
        <v>44</v>
      </c>
      <c r="D79" s="20">
        <f>D61+D62+D63+D64+D65+D74+D75+D76+D77+D78</f>
        <v>734976</v>
      </c>
      <c r="E79" s="20">
        <f>E61+E62+E63+E64+E65+E74+E75+E76+E77+E78</f>
        <v>737988</v>
      </c>
      <c r="F79" s="20">
        <f>F61+F62+F63+F64+F65+F74+F75+F76+F77+F78</f>
        <v>682774</v>
      </c>
      <c r="G79" s="20">
        <f>G61+G62+G63+G64+G65+G74+G75+G76+G77+G78</f>
        <v>632802</v>
      </c>
      <c r="H79" s="20">
        <f t="shared" ref="H79:Q79" si="68">H61+H62+H63+H64+H65+H74+H75+H76+H77+H78</f>
        <v>563512.46</v>
      </c>
      <c r="I79" s="20">
        <f t="shared" si="68"/>
        <v>493805.54683333327</v>
      </c>
      <c r="J79" s="20">
        <f t="shared" si="68"/>
        <v>420359.02561211109</v>
      </c>
      <c r="K79" s="20">
        <f t="shared" si="68"/>
        <v>344617.13202960923</v>
      </c>
      <c r="L79" s="20">
        <f t="shared" si="68"/>
        <v>264574.83477331907</v>
      </c>
      <c r="M79" s="20">
        <f t="shared" si="68"/>
        <v>264548.98429622489</v>
      </c>
      <c r="N79" s="20">
        <f t="shared" si="68"/>
        <v>264468.05808723456</v>
      </c>
      <c r="O79" s="20">
        <f t="shared" si="68"/>
        <v>264365.00958524446</v>
      </c>
      <c r="P79" s="20">
        <f t="shared" si="68"/>
        <v>264224.61319862015</v>
      </c>
      <c r="Q79" s="20">
        <f t="shared" si="68"/>
        <v>264045.51621303224</v>
      </c>
      <c r="T79" s="20">
        <f>T61+T62+T63+T64+T65+T74+T75+T76+T77+T78</f>
        <v>567401</v>
      </c>
      <c r="U79" s="20">
        <f>U61+U62+U63+U64+U65+U74+U75+U76+U77+U78</f>
        <v>737988</v>
      </c>
    </row>
    <row r="81" spans="1:21">
      <c r="A81" s="5" t="s">
        <v>45</v>
      </c>
      <c r="D81" s="20">
        <v>10491</v>
      </c>
      <c r="E81" s="20">
        <v>14057</v>
      </c>
      <c r="F81" s="20">
        <v>14174</v>
      </c>
      <c r="G81" s="20">
        <v>14067</v>
      </c>
      <c r="H81" s="20">
        <f>G81</f>
        <v>14067</v>
      </c>
      <c r="I81" s="20">
        <f t="shared" ref="I81:Q81" si="69">H81</f>
        <v>14067</v>
      </c>
      <c r="J81" s="20">
        <f t="shared" si="69"/>
        <v>14067</v>
      </c>
      <c r="K81" s="20">
        <f t="shared" si="69"/>
        <v>14067</v>
      </c>
      <c r="L81" s="20">
        <f t="shared" si="69"/>
        <v>14067</v>
      </c>
      <c r="M81" s="20">
        <f t="shared" si="69"/>
        <v>14067</v>
      </c>
      <c r="N81" s="20">
        <f t="shared" si="69"/>
        <v>14067</v>
      </c>
      <c r="O81" s="20">
        <f t="shared" si="69"/>
        <v>14067</v>
      </c>
      <c r="P81" s="20">
        <f t="shared" si="69"/>
        <v>14067</v>
      </c>
      <c r="Q81" s="20">
        <f t="shared" si="69"/>
        <v>14067</v>
      </c>
      <c r="T81" s="20">
        <v>12609</v>
      </c>
      <c r="U81" s="20">
        <v>14057</v>
      </c>
    </row>
    <row r="82" spans="1:21">
      <c r="A82" s="5" t="s">
        <v>46</v>
      </c>
      <c r="D82" s="20">
        <v>23776</v>
      </c>
      <c r="E82" s="20">
        <v>27721</v>
      </c>
      <c r="F82" s="20">
        <v>25520</v>
      </c>
      <c r="G82" s="20">
        <v>33756</v>
      </c>
      <c r="H82" s="21">
        <f>G82*1.03</f>
        <v>34768.68</v>
      </c>
      <c r="I82" s="21">
        <f t="shared" ref="I82:Q82" si="70">H82*1.03</f>
        <v>35811.740400000002</v>
      </c>
      <c r="J82" s="21">
        <f t="shared" si="70"/>
        <v>36886.092612</v>
      </c>
      <c r="K82" s="21">
        <f t="shared" si="70"/>
        <v>37992.675390360004</v>
      </c>
      <c r="L82" s="21">
        <f t="shared" si="70"/>
        <v>39132.455652070807</v>
      </c>
      <c r="M82" s="21">
        <f t="shared" si="70"/>
        <v>40306.429321632932</v>
      </c>
      <c r="N82" s="21">
        <f t="shared" si="70"/>
        <v>41515.62220128192</v>
      </c>
      <c r="O82" s="21">
        <f t="shared" si="70"/>
        <v>42761.090867320381</v>
      </c>
      <c r="P82" s="21">
        <f t="shared" si="70"/>
        <v>44043.92359333999</v>
      </c>
      <c r="Q82" s="21">
        <f t="shared" si="70"/>
        <v>45365.241301140195</v>
      </c>
      <c r="T82" s="20">
        <v>18784</v>
      </c>
      <c r="U82" s="20">
        <v>27721</v>
      </c>
    </row>
    <row r="83" spans="1:21">
      <c r="A83" s="5" t="s">
        <v>38</v>
      </c>
      <c r="D83" s="20">
        <v>4959</v>
      </c>
      <c r="E83" s="20">
        <v>6214</v>
      </c>
      <c r="F83" s="20">
        <v>6331</v>
      </c>
      <c r="G83" s="20">
        <v>6030</v>
      </c>
      <c r="H83" s="20">
        <f>G83</f>
        <v>6030</v>
      </c>
      <c r="I83" s="20">
        <f t="shared" ref="I83:Q83" si="71">H83</f>
        <v>6030</v>
      </c>
      <c r="J83" s="20">
        <f t="shared" si="71"/>
        <v>6030</v>
      </c>
      <c r="K83" s="20">
        <f t="shared" si="71"/>
        <v>6030</v>
      </c>
      <c r="L83" s="20">
        <f t="shared" si="71"/>
        <v>6030</v>
      </c>
      <c r="M83" s="20">
        <f t="shared" si="71"/>
        <v>6030</v>
      </c>
      <c r="N83" s="20">
        <f t="shared" si="71"/>
        <v>6030</v>
      </c>
      <c r="O83" s="20">
        <f t="shared" si="71"/>
        <v>6030</v>
      </c>
      <c r="P83" s="20">
        <f t="shared" si="71"/>
        <v>6030</v>
      </c>
      <c r="Q83" s="20">
        <f t="shared" si="71"/>
        <v>6030</v>
      </c>
      <c r="T83" s="20">
        <v>3672</v>
      </c>
      <c r="U83" s="20">
        <v>6214</v>
      </c>
    </row>
    <row r="84" spans="1:21">
      <c r="A84" s="5" t="s">
        <v>48</v>
      </c>
      <c r="D84" s="20">
        <v>12665</v>
      </c>
      <c r="E84" s="20">
        <v>12358</v>
      </c>
      <c r="F84" s="20">
        <v>11433</v>
      </c>
      <c r="G84" s="20">
        <v>9686</v>
      </c>
      <c r="H84" s="21">
        <f>G84*0.98</f>
        <v>9492.2800000000007</v>
      </c>
      <c r="I84" s="21">
        <f t="shared" ref="I84:Q84" si="72">H84*0.98</f>
        <v>9302.4344000000001</v>
      </c>
      <c r="J84" s="21">
        <f t="shared" si="72"/>
        <v>9116.3857119999993</v>
      </c>
      <c r="K84" s="21">
        <f t="shared" si="72"/>
        <v>8934.0579977599991</v>
      </c>
      <c r="L84" s="21">
        <f t="shared" si="72"/>
        <v>8755.3768378047989</v>
      </c>
      <c r="M84" s="21">
        <f t="shared" si="72"/>
        <v>8580.2693010487019</v>
      </c>
      <c r="N84" s="21">
        <f t="shared" si="72"/>
        <v>8408.6639150277279</v>
      </c>
      <c r="O84" s="21">
        <f t="shared" si="72"/>
        <v>8240.4906367271724</v>
      </c>
      <c r="P84" s="21">
        <f t="shared" si="72"/>
        <v>8075.6808239926286</v>
      </c>
      <c r="Q84" s="21">
        <f t="shared" si="72"/>
        <v>7914.1672075127763</v>
      </c>
      <c r="T84" s="20">
        <v>12111</v>
      </c>
      <c r="U84" s="20">
        <v>12358</v>
      </c>
    </row>
    <row r="85" spans="1:21">
      <c r="A85" s="5" t="s">
        <v>47</v>
      </c>
      <c r="D85" s="20">
        <v>9678</v>
      </c>
      <c r="E85" s="20">
        <v>6573</v>
      </c>
      <c r="F85" s="20">
        <v>5662</v>
      </c>
      <c r="G85" s="20">
        <v>3837</v>
      </c>
      <c r="H85" s="20">
        <f>G85</f>
        <v>3837</v>
      </c>
      <c r="I85" s="20">
        <f t="shared" ref="I85:Q85" si="73">H85</f>
        <v>3837</v>
      </c>
      <c r="J85" s="20">
        <f t="shared" si="73"/>
        <v>3837</v>
      </c>
      <c r="K85" s="20">
        <f t="shared" si="73"/>
        <v>3837</v>
      </c>
      <c r="L85" s="20">
        <f t="shared" si="73"/>
        <v>3837</v>
      </c>
      <c r="M85" s="20">
        <f t="shared" si="73"/>
        <v>3837</v>
      </c>
      <c r="N85" s="20">
        <f t="shared" si="73"/>
        <v>3837</v>
      </c>
      <c r="O85" s="20">
        <f t="shared" si="73"/>
        <v>3837</v>
      </c>
      <c r="P85" s="20">
        <f t="shared" si="73"/>
        <v>3837</v>
      </c>
      <c r="Q85" s="20">
        <f t="shared" si="73"/>
        <v>3837</v>
      </c>
      <c r="T85" s="20">
        <v>8481</v>
      </c>
      <c r="U85" s="20">
        <v>6573</v>
      </c>
    </row>
    <row r="86" spans="1:21">
      <c r="A86" s="5" t="s">
        <v>49</v>
      </c>
      <c r="D86" s="20">
        <v>7444</v>
      </c>
      <c r="E86" s="20">
        <v>7444</v>
      </c>
      <c r="F86" s="20">
        <v>7444</v>
      </c>
      <c r="G86" s="20">
        <v>7444</v>
      </c>
      <c r="H86" s="20">
        <f>G86</f>
        <v>7444</v>
      </c>
      <c r="I86" s="20">
        <f t="shared" ref="I86:Q86" si="74">H86</f>
        <v>7444</v>
      </c>
      <c r="J86" s="20">
        <f t="shared" si="74"/>
        <v>7444</v>
      </c>
      <c r="K86" s="20">
        <f t="shared" si="74"/>
        <v>7444</v>
      </c>
      <c r="L86" s="20">
        <f t="shared" si="74"/>
        <v>7444</v>
      </c>
      <c r="M86" s="20">
        <f t="shared" si="74"/>
        <v>7444</v>
      </c>
      <c r="N86" s="20">
        <f t="shared" si="74"/>
        <v>7444</v>
      </c>
      <c r="O86" s="20">
        <f t="shared" si="74"/>
        <v>7444</v>
      </c>
      <c r="P86" s="20">
        <f t="shared" si="74"/>
        <v>7444</v>
      </c>
      <c r="Q86" s="20">
        <f t="shared" si="74"/>
        <v>7444</v>
      </c>
      <c r="T86" s="20">
        <v>7444</v>
      </c>
      <c r="U86" s="20">
        <v>7444</v>
      </c>
    </row>
    <row r="87" spans="1:21">
      <c r="A87" s="5" t="s">
        <v>38</v>
      </c>
      <c r="D87" s="20">
        <v>26827</v>
      </c>
      <c r="E87" s="20">
        <v>60419</v>
      </c>
      <c r="F87" s="20">
        <v>59583</v>
      </c>
      <c r="G87" s="20">
        <v>58922</v>
      </c>
      <c r="H87" s="20">
        <f>G87</f>
        <v>58922</v>
      </c>
      <c r="I87" s="20">
        <f t="shared" ref="I87:Q87" si="75">H87</f>
        <v>58922</v>
      </c>
      <c r="J87" s="20">
        <f t="shared" si="75"/>
        <v>58922</v>
      </c>
      <c r="K87" s="20">
        <f t="shared" si="75"/>
        <v>58922</v>
      </c>
      <c r="L87" s="20">
        <f t="shared" si="75"/>
        <v>58922</v>
      </c>
      <c r="M87" s="20">
        <f t="shared" si="75"/>
        <v>58922</v>
      </c>
      <c r="N87" s="20">
        <f t="shared" si="75"/>
        <v>58922</v>
      </c>
      <c r="O87" s="20">
        <f t="shared" si="75"/>
        <v>58922</v>
      </c>
      <c r="P87" s="20">
        <f t="shared" si="75"/>
        <v>58922</v>
      </c>
      <c r="Q87" s="20">
        <f t="shared" si="75"/>
        <v>58922</v>
      </c>
      <c r="T87" s="20">
        <v>28992</v>
      </c>
      <c r="U87" s="20">
        <v>60419</v>
      </c>
    </row>
    <row r="88" spans="1:21">
      <c r="A88" s="5" t="s">
        <v>42</v>
      </c>
      <c r="D88" s="20">
        <v>932</v>
      </c>
      <c r="E88" s="20">
        <v>634</v>
      </c>
      <c r="F88" s="20">
        <v>1634</v>
      </c>
      <c r="G88" s="20">
        <v>219</v>
      </c>
      <c r="T88" s="20">
        <v>632</v>
      </c>
      <c r="U88" s="20">
        <v>634</v>
      </c>
    </row>
    <row r="89" spans="1:21">
      <c r="A89" s="5" t="s">
        <v>50</v>
      </c>
      <c r="D89" s="20">
        <f>D81+D82+D83+D84+D85+D86+D87+D88</f>
        <v>96772</v>
      </c>
      <c r="E89" s="20">
        <f>E81+E82+E83+E84+E85+E86+E87+E88</f>
        <v>135420</v>
      </c>
      <c r="F89" s="20">
        <f>F81+F82+F83+F84+F85+F86+F87+F88</f>
        <v>131781</v>
      </c>
      <c r="G89" s="20">
        <f>G81+G82+G83+G84+G85+G86+G87+G88</f>
        <v>133961</v>
      </c>
      <c r="H89" s="20">
        <f t="shared" ref="H89:Q89" si="76">H81+H82+H83+H84+H85+H86+H87+H88</f>
        <v>134560.95999999999</v>
      </c>
      <c r="I89" s="20">
        <f t="shared" si="76"/>
        <v>135414.17480000001</v>
      </c>
      <c r="J89" s="20">
        <f t="shared" si="76"/>
        <v>136302.478324</v>
      </c>
      <c r="K89" s="20">
        <f t="shared" si="76"/>
        <v>137226.73338812002</v>
      </c>
      <c r="L89" s="20">
        <f t="shared" si="76"/>
        <v>138187.83248987561</v>
      </c>
      <c r="M89" s="20">
        <f t="shared" si="76"/>
        <v>139186.69862268164</v>
      </c>
      <c r="N89" s="20">
        <f t="shared" si="76"/>
        <v>140224.28611630964</v>
      </c>
      <c r="O89" s="20">
        <f t="shared" si="76"/>
        <v>141301.58150404756</v>
      </c>
      <c r="P89" s="20">
        <f t="shared" si="76"/>
        <v>142419.60441733262</v>
      </c>
      <c r="Q89" s="20">
        <f t="shared" si="76"/>
        <v>143579.40850865297</v>
      </c>
      <c r="T89" s="20">
        <f>T81+T82+T83+T84+T85+T86+T87+T88</f>
        <v>92725</v>
      </c>
      <c r="U89" s="20">
        <f>U81+U82+U83+U84+U85+U86+U87+U88</f>
        <v>135420</v>
      </c>
    </row>
    <row r="91" spans="1:21">
      <c r="A91" s="5" t="s">
        <v>51</v>
      </c>
      <c r="D91" s="20">
        <v>8</v>
      </c>
      <c r="E91" s="21">
        <v>8</v>
      </c>
      <c r="F91" s="20">
        <v>8</v>
      </c>
      <c r="G91" s="20">
        <v>8</v>
      </c>
      <c r="H91" s="20">
        <v>8</v>
      </c>
      <c r="I91" s="20">
        <v>8</v>
      </c>
      <c r="J91" s="20">
        <v>8</v>
      </c>
      <c r="K91" s="20">
        <v>8</v>
      </c>
      <c r="L91" s="20">
        <v>8</v>
      </c>
      <c r="M91" s="20">
        <v>8</v>
      </c>
      <c r="N91" s="20">
        <v>8</v>
      </c>
      <c r="O91" s="20">
        <v>8</v>
      </c>
      <c r="P91" s="20">
        <v>8</v>
      </c>
      <c r="Q91" s="20">
        <v>8</v>
      </c>
      <c r="T91" s="21">
        <v>7</v>
      </c>
      <c r="U91" s="21">
        <v>8</v>
      </c>
    </row>
    <row r="92" spans="1:21">
      <c r="A92" s="5" t="s">
        <v>52</v>
      </c>
      <c r="D92" s="20">
        <v>1038196</v>
      </c>
      <c r="E92" s="20">
        <v>1055572</v>
      </c>
      <c r="F92" s="20">
        <v>1062552</v>
      </c>
      <c r="G92" s="20">
        <v>1072103</v>
      </c>
      <c r="H92" s="21">
        <f>G92-654</f>
        <v>1071449</v>
      </c>
      <c r="I92" s="21">
        <f>(H92)-711.662933333369</f>
        <v>1070737.3370666667</v>
      </c>
      <c r="J92" s="21">
        <f>(I92)-714</f>
        <v>1070023.3370666667</v>
      </c>
      <c r="K92" s="21">
        <f>(J92)-903</f>
        <v>1069120.3370666667</v>
      </c>
      <c r="L92" s="21">
        <f>(K92)-916</f>
        <v>1068204.3370666667</v>
      </c>
      <c r="M92" s="21">
        <f>(L92)--81490.5413497018</f>
        <v>1149694.8784163685</v>
      </c>
      <c r="N92" s="21">
        <f>(M92)--169938.92234951</f>
        <v>1319633.8007658783</v>
      </c>
      <c r="O92" s="21">
        <f>(N92)--93348</f>
        <v>1412981.8007658783</v>
      </c>
      <c r="P92" s="21">
        <f>(O92)--357762.832920282-260126</f>
        <v>1510618.6336861602</v>
      </c>
      <c r="Q92" s="21">
        <f>(P92)--456990.221181853-356134</f>
        <v>1611474.8548680132</v>
      </c>
      <c r="T92" s="20">
        <v>740098</v>
      </c>
      <c r="U92" s="20">
        <v>1055572</v>
      </c>
    </row>
    <row r="93" spans="1:21">
      <c r="A93" s="5" t="s">
        <v>53</v>
      </c>
      <c r="D93" s="20">
        <v>-40</v>
      </c>
      <c r="E93" s="20">
        <v>-376</v>
      </c>
      <c r="F93" s="20">
        <v>-1284</v>
      </c>
      <c r="G93" s="20">
        <v>-1765</v>
      </c>
      <c r="H93" s="21">
        <f>G93*1.02</f>
        <v>-1800.3</v>
      </c>
      <c r="I93" s="21">
        <f t="shared" ref="I93:L93" si="77">H93*1.02</f>
        <v>-1836.306</v>
      </c>
      <c r="J93" s="21">
        <f t="shared" si="77"/>
        <v>-1873.0321200000001</v>
      </c>
      <c r="K93" s="21">
        <f t="shared" si="77"/>
        <v>-1910.4927624000002</v>
      </c>
      <c r="L93" s="21">
        <f t="shared" si="77"/>
        <v>-1948.7026176480001</v>
      </c>
      <c r="M93" s="21">
        <f>L93*1.02--3245-4320</f>
        <v>-3062.6766700009603</v>
      </c>
      <c r="N93" s="21">
        <f>M93*1.02-81556-5475</f>
        <v>-90154.930203400974</v>
      </c>
      <c r="O93" s="21">
        <f>N93*1.02-6691</f>
        <v>-98649.028807468989</v>
      </c>
      <c r="P93" s="21">
        <f>O93*1.02-7969</f>
        <v>-108591.00938361837</v>
      </c>
      <c r="Q93" s="21">
        <f>P93*1.02-9314</f>
        <v>-120076.82957129074</v>
      </c>
      <c r="T93" s="20">
        <v>116</v>
      </c>
      <c r="U93" s="20">
        <v>-376</v>
      </c>
    </row>
    <row r="94" spans="1:21">
      <c r="A94" s="5" t="s">
        <v>54</v>
      </c>
      <c r="D94" s="20">
        <v>-399960</v>
      </c>
      <c r="E94" s="20">
        <v>-452636</v>
      </c>
      <c r="F94" s="20">
        <v>-510283</v>
      </c>
      <c r="G94" s="21">
        <f t="shared" ref="G94:Q94" si="78">F94+G30</f>
        <v>-571505</v>
      </c>
      <c r="H94" s="21">
        <f t="shared" si="78"/>
        <v>-640705.53</v>
      </c>
      <c r="I94" s="21">
        <f t="shared" si="78"/>
        <v>-710517.65903333342</v>
      </c>
      <c r="J94" s="21">
        <f t="shared" si="78"/>
        <v>-784101.79931677785</v>
      </c>
      <c r="K94" s="21">
        <f t="shared" si="78"/>
        <v>-859827.44386325602</v>
      </c>
      <c r="L94" s="21">
        <f t="shared" si="78"/>
        <v>-939877.11381270387</v>
      </c>
      <c r="M94" s="21">
        <f t="shared" si="78"/>
        <v>-1021278.2487330285</v>
      </c>
      <c r="N94" s="21">
        <f t="shared" si="78"/>
        <v>-1105242.9272170754</v>
      </c>
      <c r="O94" s="21">
        <f t="shared" si="78"/>
        <v>-1191276.959047683</v>
      </c>
      <c r="P94" s="21">
        <f t="shared" si="78"/>
        <v>-1280230.2559031215</v>
      </c>
      <c r="Q94" s="21">
        <f t="shared" si="78"/>
        <v>-1370940.2706225091</v>
      </c>
      <c r="T94" s="20">
        <v>-265545</v>
      </c>
      <c r="U94" s="20">
        <v>-452636</v>
      </c>
    </row>
    <row r="95" spans="1:21">
      <c r="A95" s="5" t="s">
        <v>55</v>
      </c>
      <c r="B95" s="21"/>
      <c r="D95" s="21">
        <f>D91+D92+D93+D94</f>
        <v>638204</v>
      </c>
      <c r="E95" s="21">
        <f>E91+E92+E93+E94</f>
        <v>602568</v>
      </c>
      <c r="F95" s="21">
        <f>F91+F92+F93+F94</f>
        <v>550993</v>
      </c>
      <c r="G95" s="21">
        <f>G91+G92+G93+G94</f>
        <v>498841</v>
      </c>
      <c r="H95" s="21">
        <f>H94+H93+H92+H91</f>
        <v>428951.16999999993</v>
      </c>
      <c r="I95" s="21">
        <f t="shared" ref="I95:Q95" si="79">I94+I93+I92+I91</f>
        <v>358391.37203333329</v>
      </c>
      <c r="J95" s="21">
        <f t="shared" si="79"/>
        <v>284056.50562988885</v>
      </c>
      <c r="K95" s="21">
        <f t="shared" si="79"/>
        <v>207390.40044101072</v>
      </c>
      <c r="L95" s="21">
        <f t="shared" si="79"/>
        <v>126386.52063631476</v>
      </c>
      <c r="M95" s="21">
        <f t="shared" si="79"/>
        <v>125361.95301333896</v>
      </c>
      <c r="N95" s="21">
        <f t="shared" si="79"/>
        <v>124243.9433454019</v>
      </c>
      <c r="O95" s="21">
        <f t="shared" si="79"/>
        <v>123063.81291072629</v>
      </c>
      <c r="P95" s="21">
        <f t="shared" si="79"/>
        <v>121805.36839942029</v>
      </c>
      <c r="Q95" s="21">
        <f t="shared" si="79"/>
        <v>120465.75467421347</v>
      </c>
      <c r="T95" s="21">
        <f>T91+T92+T93+T94</f>
        <v>474676</v>
      </c>
      <c r="U95" s="21">
        <f>U91+U92+U93+U94</f>
        <v>602568</v>
      </c>
    </row>
    <row r="96" spans="1:21">
      <c r="A96" s="5" t="s">
        <v>56</v>
      </c>
      <c r="B96" s="21"/>
      <c r="D96" s="21">
        <f>+D95+D89</f>
        <v>734976</v>
      </c>
      <c r="E96" s="21">
        <f>+E95+E89</f>
        <v>737988</v>
      </c>
      <c r="F96" s="21">
        <f>+F95+F89</f>
        <v>682774</v>
      </c>
      <c r="G96" s="21">
        <f>+G95+G89</f>
        <v>632802</v>
      </c>
      <c r="H96" s="21">
        <f t="shared" ref="H96:Q96" si="80">+H95+H89</f>
        <v>563512.12999999989</v>
      </c>
      <c r="I96" s="21">
        <f t="shared" si="80"/>
        <v>493805.54683333333</v>
      </c>
      <c r="J96" s="21">
        <f t="shared" si="80"/>
        <v>420358.98395388888</v>
      </c>
      <c r="K96" s="21">
        <f t="shared" si="80"/>
        <v>344617.13382913073</v>
      </c>
      <c r="L96" s="21">
        <f t="shared" si="80"/>
        <v>264574.35312619037</v>
      </c>
      <c r="M96" s="21">
        <f t="shared" si="80"/>
        <v>264548.65163602063</v>
      </c>
      <c r="N96" s="21">
        <f t="shared" si="80"/>
        <v>264468.22946171154</v>
      </c>
      <c r="O96" s="21">
        <f t="shared" si="80"/>
        <v>264365.39441477385</v>
      </c>
      <c r="P96" s="21">
        <f t="shared" si="80"/>
        <v>264224.97281675291</v>
      </c>
      <c r="Q96" s="21">
        <f t="shared" si="80"/>
        <v>264045.16318286641</v>
      </c>
      <c r="T96" s="21">
        <f>+T95+T89</f>
        <v>567401</v>
      </c>
      <c r="U96" s="21">
        <f>+U95+U89</f>
        <v>737988</v>
      </c>
    </row>
    <row r="97" spans="1:33">
      <c r="A97" s="5" t="s">
        <v>57</v>
      </c>
      <c r="B97" s="21"/>
      <c r="D97" s="20">
        <f>D96-D79</f>
        <v>0</v>
      </c>
      <c r="E97" s="20">
        <f>E96-E79</f>
        <v>0</v>
      </c>
      <c r="F97" s="20">
        <f>F96-F79</f>
        <v>0</v>
      </c>
      <c r="G97" s="20">
        <f>G96-G79</f>
        <v>0</v>
      </c>
      <c r="H97" s="21">
        <f t="shared" ref="H97:Q97" si="81">H96-H79</f>
        <v>-0.33000000007450581</v>
      </c>
      <c r="I97" s="21">
        <f t="shared" si="81"/>
        <v>0</v>
      </c>
      <c r="J97" s="21">
        <f t="shared" si="81"/>
        <v>-4.1658222209662199E-2</v>
      </c>
      <c r="K97" s="21">
        <f t="shared" si="81"/>
        <v>1.7995215021073818E-3</v>
      </c>
      <c r="L97" s="21">
        <f t="shared" si="81"/>
        <v>-0.48164712870493531</v>
      </c>
      <c r="M97" s="21">
        <f t="shared" si="81"/>
        <v>-0.33266020426526666</v>
      </c>
      <c r="N97" s="21">
        <f t="shared" si="81"/>
        <v>0.17137447698041797</v>
      </c>
      <c r="O97" s="21">
        <f t="shared" si="81"/>
        <v>0.38482952938647941</v>
      </c>
      <c r="P97" s="21">
        <f t="shared" si="81"/>
        <v>0.35961813275935128</v>
      </c>
      <c r="Q97" s="21">
        <f t="shared" si="81"/>
        <v>-0.35303016583202407</v>
      </c>
      <c r="S97" s="20">
        <f>S96-S79</f>
        <v>0</v>
      </c>
      <c r="T97" s="20">
        <f>T96-T79</f>
        <v>0</v>
      </c>
      <c r="U97" s="20">
        <f>U96-U79</f>
        <v>0</v>
      </c>
    </row>
    <row r="98" spans="1:33">
      <c r="I98" s="21"/>
      <c r="J98" s="21"/>
      <c r="K98" s="21"/>
      <c r="L98" s="21"/>
      <c r="M98" s="21"/>
      <c r="N98" s="21"/>
      <c r="O98" s="21"/>
      <c r="P98" s="21"/>
      <c r="Q98" s="21"/>
    </row>
    <row r="99" spans="1:33">
      <c r="I99" s="21"/>
      <c r="J99" s="21"/>
      <c r="K99" s="21"/>
      <c r="L99" s="21"/>
      <c r="M99" s="21"/>
      <c r="N99" s="21"/>
      <c r="O99" s="21"/>
      <c r="P99" s="21"/>
      <c r="Q99" s="21"/>
    </row>
    <row r="100" spans="1:33">
      <c r="A100" s="5" t="s">
        <v>96</v>
      </c>
      <c r="S100" s="22">
        <v>39.600422999999999</v>
      </c>
      <c r="T100" s="22"/>
      <c r="U100" s="22"/>
    </row>
    <row r="101" spans="1:33">
      <c r="A101" s="5" t="s">
        <v>83</v>
      </c>
      <c r="B101" s="69">
        <v>5.8921210000000004</v>
      </c>
      <c r="C101" s="69">
        <v>6.0124769999999996</v>
      </c>
      <c r="D101" s="69">
        <v>6.0349300000000001</v>
      </c>
      <c r="E101" s="69">
        <v>6.0509380000000004</v>
      </c>
      <c r="F101" s="69">
        <v>7.8785590000000001</v>
      </c>
      <c r="G101" s="69">
        <v>8.0302570000000006</v>
      </c>
      <c r="S101" s="22">
        <v>4.9182990000000002</v>
      </c>
      <c r="T101" s="22">
        <v>5.1189790000000004</v>
      </c>
      <c r="U101" s="22">
        <v>6.0509380000000004</v>
      </c>
    </row>
    <row r="102" spans="1:33">
      <c r="A102" s="5" t="s">
        <v>84</v>
      </c>
      <c r="B102" s="69">
        <v>9.5935999999999994E-2</v>
      </c>
      <c r="C102" s="69">
        <v>7.1549000000000001E-2</v>
      </c>
      <c r="D102" s="69">
        <v>4.7919000000000003E-2</v>
      </c>
      <c r="E102" s="69">
        <v>3.0377999999999999E-2</v>
      </c>
      <c r="F102" s="69">
        <v>2.0656999999999998E-2</v>
      </c>
      <c r="G102" s="69">
        <v>1.7795999999999999E-2</v>
      </c>
      <c r="S102" s="22">
        <v>0.34950100000000001</v>
      </c>
      <c r="T102" s="22">
        <v>0.13079299999999999</v>
      </c>
      <c r="U102" s="22">
        <v>3.0377999999999999E-2</v>
      </c>
    </row>
    <row r="103" spans="1:33">
      <c r="A103" s="5" t="s">
        <v>85</v>
      </c>
      <c r="B103" s="69">
        <v>0.35233199999999998</v>
      </c>
      <c r="C103" s="69">
        <v>0.383768</v>
      </c>
      <c r="D103" s="69">
        <v>0.40637400000000001</v>
      </c>
      <c r="E103" s="69">
        <v>0.42362100000000003</v>
      </c>
      <c r="F103" s="69">
        <v>1.1402000000000001</v>
      </c>
      <c r="G103" s="69">
        <v>1.1459189999999999</v>
      </c>
      <c r="S103" s="22"/>
      <c r="T103" s="22">
        <v>8.5639000000000007E-2</v>
      </c>
      <c r="U103" s="22">
        <v>0.42362100000000003</v>
      </c>
    </row>
    <row r="104" spans="1:33">
      <c r="A104" s="5" t="s">
        <v>87</v>
      </c>
      <c r="B104" s="69">
        <v>9.4043000000000002E-2</v>
      </c>
      <c r="C104" s="69">
        <v>0.14696100000000001</v>
      </c>
      <c r="D104" s="69">
        <v>0.144012</v>
      </c>
      <c r="E104" s="69">
        <v>0.17613100000000001</v>
      </c>
      <c r="F104" s="69">
        <v>0.17613100000000001</v>
      </c>
      <c r="G104" s="69">
        <v>0.33522800000000003</v>
      </c>
      <c r="S104" s="22"/>
      <c r="T104" s="22">
        <v>9.1209999999999999E-2</v>
      </c>
      <c r="U104" s="22">
        <v>0.17613100000000001</v>
      </c>
    </row>
    <row r="105" spans="1:33">
      <c r="A105" s="5" t="s">
        <v>86</v>
      </c>
      <c r="B105" s="69">
        <f t="shared" ref="B105:G105" si="82">SUM(B100:B104)</f>
        <v>6.4344320000000002</v>
      </c>
      <c r="C105" s="69">
        <f t="shared" si="82"/>
        <v>6.6147549999999997</v>
      </c>
      <c r="D105" s="69">
        <f t="shared" si="82"/>
        <v>6.6332350000000009</v>
      </c>
      <c r="E105" s="69">
        <f t="shared" si="82"/>
        <v>6.6810679999999998</v>
      </c>
      <c r="F105" s="69">
        <f t="shared" si="82"/>
        <v>9.215546999999999</v>
      </c>
      <c r="G105" s="69">
        <f t="shared" si="82"/>
        <v>9.5292000000000012</v>
      </c>
      <c r="H105" s="69">
        <f>G105+H106</f>
        <v>10.148153600000001</v>
      </c>
      <c r="I105" s="69">
        <f t="shared" ref="I105:Q105" si="83">H105+I106</f>
        <v>10.854833320000001</v>
      </c>
      <c r="J105" s="69">
        <f t="shared" si="83"/>
        <v>11.699152984000001</v>
      </c>
      <c r="K105" s="69">
        <f t="shared" si="83"/>
        <v>12.702769980800001</v>
      </c>
      <c r="L105" s="69">
        <f t="shared" si="83"/>
        <v>13.400214576960002</v>
      </c>
      <c r="M105" s="69">
        <f t="shared" si="83"/>
        <v>14.174417492352003</v>
      </c>
      <c r="N105" s="69">
        <f t="shared" si="83"/>
        <v>14.979670270822403</v>
      </c>
      <c r="O105" s="69">
        <f t="shared" si="83"/>
        <v>15.804637660986884</v>
      </c>
      <c r="P105" s="69">
        <f t="shared" si="83"/>
        <v>16.625734596384262</v>
      </c>
      <c r="Q105" s="69">
        <f t="shared" si="83"/>
        <v>17.410327519501113</v>
      </c>
      <c r="S105" s="69">
        <f t="shared" ref="S105:U105" si="84">SUM(S100:S104)</f>
        <v>44.868222999999993</v>
      </c>
      <c r="T105" s="69">
        <f t="shared" si="84"/>
        <v>5.4266209999999999</v>
      </c>
      <c r="U105" s="69">
        <f t="shared" si="84"/>
        <v>6.6810679999999998</v>
      </c>
      <c r="V105" s="69">
        <f>I105</f>
        <v>10.854833320000001</v>
      </c>
      <c r="W105" s="69">
        <f>M105</f>
        <v>14.174417492352003</v>
      </c>
      <c r="X105" s="69">
        <f t="shared" ref="X105:Y105" si="85">W105+X106</f>
        <v>17.174417492352003</v>
      </c>
      <c r="Y105" s="69">
        <f t="shared" si="85"/>
        <v>20.174417492352003</v>
      </c>
      <c r="Z105" s="69">
        <f t="shared" ref="Z105" si="86">Y105+Z106</f>
        <v>23.174417492352003</v>
      </c>
      <c r="AA105" s="69">
        <f t="shared" ref="AA105" si="87">Z105+AA106</f>
        <v>26.174417492352003</v>
      </c>
      <c r="AB105" s="69">
        <f t="shared" ref="AB105" si="88">AA105+AB106</f>
        <v>29.174417492352003</v>
      </c>
      <c r="AC105" s="69">
        <f t="shared" ref="AC105" si="89">AB105+AC106</f>
        <v>32.174417492352006</v>
      </c>
      <c r="AD105" s="69">
        <f t="shared" ref="AD105" si="90">AC105+AD106</f>
        <v>35.174417492352006</v>
      </c>
      <c r="AE105" s="69">
        <f t="shared" ref="AE105" si="91">AD105+AE106</f>
        <v>38.174417492352006</v>
      </c>
      <c r="AF105" s="69">
        <f t="shared" ref="AF105" si="92">AE105+AF106</f>
        <v>41.174417492352006</v>
      </c>
      <c r="AG105" s="69">
        <f t="shared" ref="AG105" si="93">AF105+AG106</f>
        <v>44.174417492352006</v>
      </c>
    </row>
    <row r="106" spans="1:33">
      <c r="A106" s="5" t="s">
        <v>99</v>
      </c>
      <c r="B106" s="69"/>
      <c r="C106" s="69">
        <f>C105-B105</f>
        <v>0.18032299999999957</v>
      </c>
      <c r="D106" s="69">
        <f t="shared" ref="D106:G106" si="94">D105-C105</f>
        <v>1.8480000000001162E-2</v>
      </c>
      <c r="E106" s="69">
        <f t="shared" si="94"/>
        <v>4.7832999999998904E-2</v>
      </c>
      <c r="F106" s="69">
        <f t="shared" si="94"/>
        <v>2.5344789999999993</v>
      </c>
      <c r="G106" s="69">
        <f t="shared" si="94"/>
        <v>0.31365300000000218</v>
      </c>
      <c r="H106" s="21">
        <f>AVERAGE(C106:G106)</f>
        <v>0.61895360000000021</v>
      </c>
      <c r="I106" s="21">
        <f t="shared" ref="I106:L106" si="95">AVERAGE(D106:H106)</f>
        <v>0.70667972000000034</v>
      </c>
      <c r="J106" s="21">
        <f t="shared" si="95"/>
        <v>0.84431966400000014</v>
      </c>
      <c r="K106" s="21">
        <f t="shared" si="95"/>
        <v>1.0036169968000004</v>
      </c>
      <c r="L106" s="21">
        <f t="shared" si="95"/>
        <v>0.69744459616000065</v>
      </c>
      <c r="M106" s="21">
        <f t="shared" ref="M106" si="96">AVERAGE(H106:L106)</f>
        <v>0.77420291539200048</v>
      </c>
      <c r="N106" s="21">
        <f t="shared" ref="N106" si="97">AVERAGE(I106:M106)</f>
        <v>0.80525277847040022</v>
      </c>
      <c r="O106" s="21">
        <f t="shared" ref="O106" si="98">AVERAGE(J106:N106)</f>
        <v>0.82496739016448051</v>
      </c>
      <c r="P106" s="21">
        <f t="shared" ref="P106" si="99">AVERAGE(K106:O106)</f>
        <v>0.82109693539737649</v>
      </c>
      <c r="Q106" s="21">
        <f t="shared" ref="Q106" si="100">AVERAGE(L106:P106)</f>
        <v>0.78459292311685158</v>
      </c>
      <c r="X106" s="21">
        <f>3</f>
        <v>3</v>
      </c>
      <c r="Y106" s="21">
        <f>3</f>
        <v>3</v>
      </c>
      <c r="Z106" s="21">
        <f>3</f>
        <v>3</v>
      </c>
      <c r="AA106" s="21">
        <f>3</f>
        <v>3</v>
      </c>
      <c r="AB106" s="21">
        <f>3</f>
        <v>3</v>
      </c>
      <c r="AC106" s="21">
        <f>3</f>
        <v>3</v>
      </c>
      <c r="AD106" s="21">
        <f>3</f>
        <v>3</v>
      </c>
      <c r="AE106" s="21">
        <f>3</f>
        <v>3</v>
      </c>
      <c r="AF106" s="21">
        <f>3</f>
        <v>3</v>
      </c>
      <c r="AG106" s="21">
        <f>3</f>
        <v>3</v>
      </c>
    </row>
    <row r="107" spans="1:33">
      <c r="A107" s="5" t="s">
        <v>174</v>
      </c>
      <c r="G107" s="21">
        <v>5</v>
      </c>
      <c r="H107" s="20">
        <v>5</v>
      </c>
      <c r="I107" s="20">
        <v>5</v>
      </c>
      <c r="J107" s="20">
        <v>5</v>
      </c>
      <c r="K107" s="20">
        <v>5</v>
      </c>
      <c r="L107" s="20">
        <v>5</v>
      </c>
      <c r="M107" s="20">
        <v>5</v>
      </c>
      <c r="N107" s="20">
        <v>5</v>
      </c>
      <c r="O107" s="20">
        <v>5</v>
      </c>
      <c r="P107" s="20">
        <v>5</v>
      </c>
      <c r="Q107" s="20">
        <v>5</v>
      </c>
      <c r="X107" s="20">
        <v>5</v>
      </c>
      <c r="Y107" s="20">
        <v>5</v>
      </c>
      <c r="Z107" s="20">
        <v>5</v>
      </c>
      <c r="AA107" s="20">
        <v>5</v>
      </c>
      <c r="AB107" s="20">
        <v>5</v>
      </c>
      <c r="AC107" s="20">
        <v>5</v>
      </c>
      <c r="AD107" s="20">
        <v>5</v>
      </c>
      <c r="AE107" s="20">
        <v>5</v>
      </c>
      <c r="AF107" s="20">
        <v>5</v>
      </c>
      <c r="AG107" s="20">
        <v>5</v>
      </c>
    </row>
    <row r="108" spans="1:33">
      <c r="A108" s="5" t="s">
        <v>178</v>
      </c>
      <c r="G108" s="22">
        <f>G105/G107/4</f>
        <v>0.47646000000000005</v>
      </c>
      <c r="H108" s="22">
        <f>H105/H107/4</f>
        <v>0.50740768000000003</v>
      </c>
      <c r="I108" s="22">
        <f t="shared" ref="I108:Q108" si="101">I105/I107/4</f>
        <v>0.54274166600000007</v>
      </c>
      <c r="J108" s="22">
        <f t="shared" si="101"/>
        <v>0.58495764920000004</v>
      </c>
      <c r="K108" s="22">
        <f t="shared" si="101"/>
        <v>0.63513849904000008</v>
      </c>
      <c r="L108" s="22">
        <f t="shared" si="101"/>
        <v>0.67001072884800006</v>
      </c>
      <c r="M108" s="22">
        <f t="shared" si="101"/>
        <v>0.70872087461760014</v>
      </c>
      <c r="N108" s="22">
        <f t="shared" si="101"/>
        <v>0.74898351354112014</v>
      </c>
      <c r="O108" s="22">
        <f t="shared" si="101"/>
        <v>0.79023188304934422</v>
      </c>
      <c r="P108" s="22">
        <f t="shared" si="101"/>
        <v>0.83128672981921314</v>
      </c>
      <c r="Q108" s="22">
        <f t="shared" si="101"/>
        <v>0.8705163759750556</v>
      </c>
      <c r="V108" s="69">
        <f>SUM(F108:I108)</f>
        <v>1.5266093460000003</v>
      </c>
      <c r="W108" s="69">
        <f>SUM(J108:M108)</f>
        <v>2.5988277517056004</v>
      </c>
      <c r="X108" s="69">
        <f>SUM(N108:Q108)</f>
        <v>3.2410185023847333</v>
      </c>
      <c r="Y108" s="22">
        <f>Y105/Y107</f>
        <v>4.0348834984704007</v>
      </c>
      <c r="Z108" s="22">
        <f t="shared" ref="Z108:AG108" si="102">Z105/Z107</f>
        <v>4.6348834984704004</v>
      </c>
      <c r="AA108" s="22">
        <f t="shared" si="102"/>
        <v>5.2348834984704009</v>
      </c>
      <c r="AB108" s="22">
        <f t="shared" si="102"/>
        <v>5.8348834984704006</v>
      </c>
      <c r="AC108" s="22">
        <f t="shared" si="102"/>
        <v>6.4348834984704011</v>
      </c>
      <c r="AD108" s="22">
        <f t="shared" si="102"/>
        <v>7.0348834984704016</v>
      </c>
      <c r="AE108" s="22">
        <f t="shared" si="102"/>
        <v>7.6348834984704013</v>
      </c>
      <c r="AF108" s="22">
        <f t="shared" si="102"/>
        <v>8.2348834984704009</v>
      </c>
      <c r="AG108" s="22">
        <f t="shared" si="102"/>
        <v>8.8348834984704006</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2B2F1-218E-A74F-90B2-E0B21D7A4EC0}">
  <dimension ref="D7:P33"/>
  <sheetViews>
    <sheetView workbookViewId="0">
      <selection activeCell="F41" sqref="F41"/>
    </sheetView>
  </sheetViews>
  <sheetFormatPr baseColWidth="10" defaultRowHeight="13"/>
  <cols>
    <col min="1" max="4" width="10.83203125" style="8"/>
    <col min="5" max="16" width="11.1640625" style="8" customWidth="1"/>
    <col min="17" max="16384" width="10.83203125" style="8"/>
  </cols>
  <sheetData>
    <row r="7" spans="4:16">
      <c r="E7" s="91" t="s">
        <v>101</v>
      </c>
      <c r="F7" s="101" t="s">
        <v>102</v>
      </c>
      <c r="G7" s="101" t="s">
        <v>110</v>
      </c>
      <c r="H7" s="101" t="s">
        <v>111</v>
      </c>
      <c r="I7" s="101" t="s">
        <v>112</v>
      </c>
      <c r="J7" s="101" t="s">
        <v>113</v>
      </c>
      <c r="K7" s="101" t="s">
        <v>114</v>
      </c>
      <c r="L7" s="101" t="s">
        <v>115</v>
      </c>
      <c r="M7" s="101" t="s">
        <v>116</v>
      </c>
      <c r="N7" s="101" t="s">
        <v>117</v>
      </c>
      <c r="O7" s="101" t="s">
        <v>185</v>
      </c>
      <c r="P7" s="92" t="s">
        <v>186</v>
      </c>
    </row>
    <row r="8" spans="4:16">
      <c r="E8" s="99"/>
      <c r="F8" s="102"/>
      <c r="G8" s="102"/>
      <c r="H8" s="102"/>
      <c r="I8" s="102"/>
      <c r="J8" s="102"/>
      <c r="K8" s="102"/>
      <c r="L8" s="102"/>
      <c r="M8" s="102"/>
      <c r="N8" s="102"/>
      <c r="O8" s="102"/>
      <c r="P8" s="103"/>
    </row>
    <row r="9" spans="4:16">
      <c r="D9" s="8" t="s">
        <v>179</v>
      </c>
      <c r="E9" s="88">
        <f>Model!H30</f>
        <v>-69200.53</v>
      </c>
      <c r="F9" s="88">
        <f>Model!I30</f>
        <v>-69812.129033333345</v>
      </c>
      <c r="G9" s="88">
        <f>Model!W30</f>
        <v>-310760.58969969512</v>
      </c>
      <c r="H9" s="88">
        <f>Model!X30</f>
        <v>-349662.02188948053</v>
      </c>
      <c r="I9" s="88">
        <f>Model!Y30</f>
        <v>-239375.05888407319</v>
      </c>
      <c r="J9" s="88">
        <f>Model!Z30</f>
        <v>-254787.8445592816</v>
      </c>
      <c r="K9" s="88">
        <f>Model!AA30</f>
        <v>-271146.03019126743</v>
      </c>
      <c r="L9" s="88">
        <f>Model!AB30</f>
        <v>-288507.17627488531</v>
      </c>
      <c r="M9" s="88">
        <f>Model!AC30</f>
        <v>-306932.31767934526</v>
      </c>
      <c r="N9" s="88">
        <f>Model!AD30</f>
        <v>-326486.17282001942</v>
      </c>
      <c r="O9" s="88">
        <f>Model!AE30</f>
        <v>-347237.36540009687</v>
      </c>
      <c r="P9" s="88">
        <f>Model!AF30</f>
        <v>-369258.65947689943</v>
      </c>
    </row>
    <row r="10" spans="4:16">
      <c r="E10" s="88"/>
      <c r="F10" s="88"/>
      <c r="G10" s="88"/>
      <c r="H10" s="88"/>
      <c r="I10" s="88"/>
      <c r="J10" s="88"/>
      <c r="K10" s="88"/>
      <c r="L10" s="88"/>
      <c r="M10" s="88"/>
      <c r="N10" s="88"/>
      <c r="O10" s="88"/>
      <c r="P10" s="88"/>
    </row>
    <row r="11" spans="4:16">
      <c r="D11" s="8" t="s">
        <v>192</v>
      </c>
      <c r="E11" s="88"/>
      <c r="F11" s="88"/>
      <c r="G11" s="88"/>
      <c r="H11" s="88"/>
      <c r="I11" s="88"/>
      <c r="J11" s="88">
        <f>0.06*2000000*12*0.5*6*0.3*0.86*0.95*0.8</f>
        <v>847065.60000000009</v>
      </c>
      <c r="K11" s="88">
        <f t="shared" ref="K11:P11" si="0">0.06*2000000*12*0.5*6*0.3*0.86*0.95*0.8</f>
        <v>847065.60000000009</v>
      </c>
      <c r="L11" s="88">
        <f t="shared" si="0"/>
        <v>847065.60000000009</v>
      </c>
      <c r="M11" s="88">
        <f t="shared" si="0"/>
        <v>847065.60000000009</v>
      </c>
      <c r="N11" s="88">
        <f t="shared" si="0"/>
        <v>847065.60000000009</v>
      </c>
      <c r="O11" s="88">
        <f t="shared" si="0"/>
        <v>847065.60000000009</v>
      </c>
      <c r="P11" s="88">
        <f t="shared" si="0"/>
        <v>847065.60000000009</v>
      </c>
    </row>
    <row r="12" spans="4:16">
      <c r="E12" s="3"/>
      <c r="F12" s="3"/>
      <c r="G12" s="3"/>
      <c r="H12" s="3"/>
      <c r="I12" s="3"/>
      <c r="J12" s="3"/>
      <c r="K12" s="3"/>
      <c r="L12" s="3"/>
      <c r="M12" s="3"/>
      <c r="N12" s="3"/>
      <c r="O12" s="3"/>
      <c r="P12" s="3"/>
    </row>
    <row r="13" spans="4:16">
      <c r="D13" s="8" t="s">
        <v>187</v>
      </c>
      <c r="E13" s="3">
        <v>0</v>
      </c>
      <c r="F13" s="3">
        <v>0.25</v>
      </c>
      <c r="G13" s="3">
        <f>F13+1</f>
        <v>1.25</v>
      </c>
      <c r="H13" s="3">
        <f t="shared" ref="H13:P13" si="1">G13+1</f>
        <v>2.25</v>
      </c>
      <c r="I13" s="3">
        <f t="shared" si="1"/>
        <v>3.25</v>
      </c>
      <c r="J13" s="3">
        <f t="shared" si="1"/>
        <v>4.25</v>
      </c>
      <c r="K13" s="3">
        <f t="shared" si="1"/>
        <v>5.25</v>
      </c>
      <c r="L13" s="3">
        <f t="shared" si="1"/>
        <v>6.25</v>
      </c>
      <c r="M13" s="3">
        <f t="shared" si="1"/>
        <v>7.25</v>
      </c>
      <c r="N13" s="3">
        <f t="shared" si="1"/>
        <v>8.25</v>
      </c>
      <c r="O13" s="3">
        <f t="shared" si="1"/>
        <v>9.25</v>
      </c>
      <c r="P13" s="3">
        <f t="shared" si="1"/>
        <v>10.25</v>
      </c>
    </row>
    <row r="14" spans="4:16">
      <c r="E14" s="89">
        <f>(1-$E$26)^E13</f>
        <v>1</v>
      </c>
      <c r="F14" s="89">
        <f t="shared" ref="F14:P14" si="2">(1-$E$26)^F13</f>
        <v>0.96854692811690124</v>
      </c>
      <c r="G14" s="89">
        <f t="shared" si="2"/>
        <v>0.85232129674287316</v>
      </c>
      <c r="H14" s="89">
        <f t="shared" si="2"/>
        <v>0.75004274113372837</v>
      </c>
      <c r="I14" s="89">
        <f t="shared" si="2"/>
        <v>0.66003761219768098</v>
      </c>
      <c r="J14" s="89">
        <f t="shared" si="2"/>
        <v>0.58083309873395927</v>
      </c>
      <c r="K14" s="89">
        <f t="shared" si="2"/>
        <v>0.51113312688588419</v>
      </c>
      <c r="L14" s="89">
        <f t="shared" si="2"/>
        <v>0.44979715165957806</v>
      </c>
      <c r="M14" s="89">
        <f t="shared" si="2"/>
        <v>0.39582149346042872</v>
      </c>
      <c r="N14" s="89">
        <f t="shared" si="2"/>
        <v>0.34832291424517725</v>
      </c>
      <c r="O14" s="89">
        <f t="shared" si="2"/>
        <v>0.30652416453575598</v>
      </c>
      <c r="P14" s="89">
        <f t="shared" si="2"/>
        <v>0.26974126479146532</v>
      </c>
    </row>
    <row r="15" spans="4:16">
      <c r="D15" s="29" t="s">
        <v>191</v>
      </c>
      <c r="E15" s="90">
        <f>E9*E14</f>
        <v>-69200.53</v>
      </c>
      <c r="F15" s="90">
        <f>F9*F14</f>
        <v>-67616.323120535744</v>
      </c>
      <c r="G15" s="90">
        <f>G9*G14</f>
        <v>-264867.86878942407</v>
      </c>
      <c r="H15" s="90">
        <f>H9*H14</f>
        <v>-262261.46136834769</v>
      </c>
      <c r="I15" s="90">
        <f>I9*I14</f>
        <v>-157996.54228552294</v>
      </c>
      <c r="J15" s="90">
        <f>J11*J14+J9*J14</f>
        <v>344014.52400382666</v>
      </c>
      <c r="K15" s="90">
        <f t="shared" ref="K15:P15" si="3">K11*K14+K9*K14</f>
        <v>294371.57055111078</v>
      </c>
      <c r="L15" s="90">
        <f t="shared" si="3"/>
        <v>251237.9880270203</v>
      </c>
      <c r="M15" s="90">
        <f t="shared" si="3"/>
        <v>213796.36247584497</v>
      </c>
      <c r="N15" s="90">
        <f t="shared" si="3"/>
        <v>181329.74317141587</v>
      </c>
      <c r="O15" s="90">
        <f t="shared" si="3"/>
        <v>153209.43202211719</v>
      </c>
      <c r="P15" s="90">
        <f t="shared" si="3"/>
        <v>128884.24846284161</v>
      </c>
    </row>
    <row r="16" spans="4:16">
      <c r="E16" s="31"/>
      <c r="F16" s="31"/>
      <c r="G16" s="31"/>
      <c r="H16" s="31"/>
      <c r="I16" s="31"/>
      <c r="J16" s="31"/>
      <c r="K16" s="31"/>
      <c r="L16" s="31"/>
      <c r="M16" s="31"/>
      <c r="N16" s="31"/>
      <c r="O16" s="31"/>
      <c r="P16" s="31"/>
    </row>
    <row r="17" spans="4:16">
      <c r="E17" s="31"/>
      <c r="F17" s="31"/>
      <c r="G17" s="31"/>
      <c r="H17" s="31"/>
      <c r="I17" s="31"/>
      <c r="J17" s="31"/>
      <c r="K17" s="31"/>
      <c r="L17" s="31"/>
      <c r="M17" s="31"/>
      <c r="N17" s="31"/>
      <c r="O17" s="31"/>
      <c r="P17" s="31"/>
    </row>
    <row r="19" spans="4:16">
      <c r="D19" s="91" t="s">
        <v>181</v>
      </c>
      <c r="E19" s="92">
        <v>18.43</v>
      </c>
    </row>
    <row r="20" spans="4:16">
      <c r="D20" s="93" t="s">
        <v>183</v>
      </c>
      <c r="E20" s="94">
        <f>Model!Y33</f>
        <v>85.205469098560741</v>
      </c>
    </row>
    <row r="21" spans="4:16">
      <c r="D21" s="93" t="s">
        <v>184</v>
      </c>
      <c r="E21" s="95">
        <f>E19*E20</f>
        <v>1570.3367954864743</v>
      </c>
    </row>
    <row r="22" spans="4:16">
      <c r="D22" s="93" t="s">
        <v>180</v>
      </c>
      <c r="E22" s="96">
        <v>0</v>
      </c>
    </row>
    <row r="23" spans="4:16">
      <c r="D23" s="93" t="s">
        <v>34</v>
      </c>
      <c r="E23" s="96">
        <f>(Model!G61+Model!G62)/1000</f>
        <v>461.43299999999999</v>
      </c>
    </row>
    <row r="24" spans="4:16">
      <c r="D24" s="93" t="s">
        <v>182</v>
      </c>
      <c r="E24" s="95">
        <f>E21-E23</f>
        <v>1108.9037954864743</v>
      </c>
    </row>
    <row r="25" spans="4:16">
      <c r="D25" s="93"/>
      <c r="E25" s="96"/>
    </row>
    <row r="26" spans="4:16">
      <c r="D26" s="93" t="s">
        <v>188</v>
      </c>
      <c r="E26" s="97">
        <f>E27+E28</f>
        <v>0.12</v>
      </c>
    </row>
    <row r="27" spans="4:16">
      <c r="D27" s="98" t="s">
        <v>190</v>
      </c>
      <c r="E27" s="97">
        <v>0.04</v>
      </c>
    </row>
    <row r="28" spans="4:16">
      <c r="D28" s="93" t="s">
        <v>189</v>
      </c>
      <c r="E28" s="97">
        <v>0.08</v>
      </c>
    </row>
    <row r="29" spans="4:16">
      <c r="D29" s="93" t="s">
        <v>193</v>
      </c>
      <c r="E29" s="97">
        <v>0.03</v>
      </c>
    </row>
    <row r="30" spans="4:16">
      <c r="D30" s="93"/>
      <c r="E30" s="96"/>
    </row>
    <row r="31" spans="4:16">
      <c r="D31" s="93" t="s">
        <v>191</v>
      </c>
      <c r="E31" s="95">
        <f>(SUM(E15:P15)+P15/(E26-E29))/1000</f>
        <v>2176.9483482930314</v>
      </c>
    </row>
    <row r="32" spans="4:16">
      <c r="D32" s="93"/>
      <c r="E32" s="96"/>
    </row>
    <row r="33" spans="4:5">
      <c r="D33" s="99"/>
      <c r="E33" s="100">
        <f>E31/E20</f>
        <v>25.549396902854486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3DAB3-6611-094F-A372-79A20378E843}">
  <dimension ref="C3:AE93"/>
  <sheetViews>
    <sheetView topLeftCell="P1" workbookViewId="0">
      <selection activeCell="U34" sqref="U34"/>
    </sheetView>
  </sheetViews>
  <sheetFormatPr baseColWidth="10" defaultRowHeight="16"/>
  <cols>
    <col min="1" max="14" width="10.83203125" style="57"/>
    <col min="15" max="15" width="14.33203125" style="57" customWidth="1"/>
    <col min="16" max="16384" width="10.83203125" style="57"/>
  </cols>
  <sheetData>
    <row r="3" spans="3:31">
      <c r="C3" s="56"/>
    </row>
    <row r="4" spans="3:31">
      <c r="C4" s="58"/>
    </row>
    <row r="5" spans="3:31">
      <c r="C5" s="58"/>
    </row>
    <row r="6" spans="3:31">
      <c r="C6" s="58"/>
    </row>
    <row r="7" spans="3:31">
      <c r="C7" s="58"/>
      <c r="O7" s="23" t="s">
        <v>194</v>
      </c>
      <c r="P7" s="114">
        <v>44830</v>
      </c>
      <c r="Q7" s="115"/>
      <c r="R7" s="116"/>
      <c r="S7" s="8"/>
      <c r="T7" s="24" t="s">
        <v>195</v>
      </c>
      <c r="U7" s="25" t="s">
        <v>196</v>
      </c>
      <c r="V7" s="26" t="s">
        <v>197</v>
      </c>
      <c r="W7" s="26" t="s">
        <v>198</v>
      </c>
      <c r="X7" s="26" t="s">
        <v>199</v>
      </c>
      <c r="Y7" s="26" t="s">
        <v>200</v>
      </c>
      <c r="Z7" s="25" t="s">
        <v>201</v>
      </c>
      <c r="AA7" s="26" t="s">
        <v>202</v>
      </c>
      <c r="AB7" s="26" t="s">
        <v>203</v>
      </c>
      <c r="AC7" s="26" t="s">
        <v>204</v>
      </c>
      <c r="AD7" s="26" t="s">
        <v>205</v>
      </c>
      <c r="AE7" s="25" t="s">
        <v>206</v>
      </c>
    </row>
    <row r="8" spans="3:31">
      <c r="C8" s="58"/>
      <c r="O8" s="27" t="s">
        <v>207</v>
      </c>
      <c r="P8" s="8"/>
      <c r="Q8" s="8"/>
      <c r="R8" s="28">
        <v>18.43</v>
      </c>
      <c r="S8" s="8"/>
      <c r="T8" s="29" t="s">
        <v>208</v>
      </c>
      <c r="U8" s="53">
        <f>SUM(P26:P29)</f>
        <v>29.39</v>
      </c>
      <c r="V8" s="42">
        <f>Q26</f>
        <v>7.5780000000000003</v>
      </c>
      <c r="W8" s="42">
        <f>Q27</f>
        <v>9.1159999999999997</v>
      </c>
      <c r="X8" s="42">
        <f>Q28</f>
        <v>5.10588</v>
      </c>
      <c r="Y8" s="42">
        <f>Q29</f>
        <v>8.6978458666666665</v>
      </c>
      <c r="Z8" s="54">
        <f>SUM(V8:Y8)</f>
        <v>30.497725866666663</v>
      </c>
      <c r="AA8" s="42">
        <f>R26</f>
        <v>7.9133124835555551</v>
      </c>
      <c r="AB8" s="42">
        <f>R27</f>
        <v>8.5046066473718529</v>
      </c>
      <c r="AC8" s="42">
        <f>R28</f>
        <v>7.0084568662496407</v>
      </c>
      <c r="AD8" s="42">
        <f>R29</f>
        <v>8.5834516901773554</v>
      </c>
      <c r="AE8" s="54">
        <f>SUM(AA8:AD8)</f>
        <v>32.009827687354402</v>
      </c>
    </row>
    <row r="9" spans="3:31">
      <c r="C9" s="58"/>
      <c r="O9" s="27" t="s">
        <v>209</v>
      </c>
      <c r="P9" s="8"/>
      <c r="Q9" s="8"/>
      <c r="R9" s="33" t="s">
        <v>210</v>
      </c>
      <c r="S9" s="8"/>
      <c r="T9" s="34" t="s">
        <v>212</v>
      </c>
      <c r="U9" s="54">
        <f>U8</f>
        <v>29.39</v>
      </c>
      <c r="V9" s="55">
        <f t="shared" ref="V9:AE9" si="0">V8</f>
        <v>7.5780000000000003</v>
      </c>
      <c r="W9" s="55">
        <f t="shared" si="0"/>
        <v>9.1159999999999997</v>
      </c>
      <c r="X9" s="55">
        <f t="shared" si="0"/>
        <v>5.10588</v>
      </c>
      <c r="Y9" s="55">
        <f t="shared" si="0"/>
        <v>8.6978458666666665</v>
      </c>
      <c r="Z9" s="54">
        <f t="shared" si="0"/>
        <v>30.497725866666663</v>
      </c>
      <c r="AA9" s="55">
        <f t="shared" si="0"/>
        <v>7.9133124835555551</v>
      </c>
      <c r="AB9" s="55">
        <f t="shared" si="0"/>
        <v>8.5046066473718529</v>
      </c>
      <c r="AC9" s="55">
        <f t="shared" si="0"/>
        <v>7.0084568662496407</v>
      </c>
      <c r="AD9" s="55">
        <f t="shared" si="0"/>
        <v>8.5834516901773554</v>
      </c>
      <c r="AE9" s="54">
        <f t="shared" si="0"/>
        <v>32.009827687354402</v>
      </c>
    </row>
    <row r="10" spans="3:31">
      <c r="C10" s="58"/>
      <c r="O10" s="27" t="s">
        <v>211</v>
      </c>
      <c r="P10" s="8"/>
      <c r="Q10" s="8"/>
      <c r="R10" s="36">
        <v>25</v>
      </c>
      <c r="S10" s="8"/>
      <c r="T10" s="8" t="s">
        <v>28</v>
      </c>
      <c r="U10" s="30">
        <f>Model!U18/1000</f>
        <v>186.94800000000001</v>
      </c>
      <c r="Z10" s="30"/>
    </row>
    <row r="11" spans="3:31">
      <c r="C11" s="58"/>
      <c r="O11" s="27" t="s">
        <v>213</v>
      </c>
      <c r="P11" s="8"/>
      <c r="Q11" s="8"/>
      <c r="R11" s="33" t="s">
        <v>214</v>
      </c>
      <c r="S11" s="8"/>
      <c r="T11" s="8" t="s">
        <v>216</v>
      </c>
      <c r="U11" s="30">
        <f>Model!U21/1000</f>
        <v>30.45</v>
      </c>
      <c r="Z11" s="30"/>
    </row>
    <row r="12" spans="3:31">
      <c r="C12" s="58"/>
      <c r="O12" s="27" t="s">
        <v>215</v>
      </c>
      <c r="P12" s="8"/>
      <c r="Q12" s="8"/>
      <c r="R12" s="28">
        <v>34.159999999999997</v>
      </c>
      <c r="S12" s="8"/>
      <c r="T12" s="34" t="s">
        <v>138</v>
      </c>
      <c r="U12" s="32">
        <f>U9-U10-U11</f>
        <v>-188.00799999999998</v>
      </c>
      <c r="V12" s="35"/>
      <c r="W12" s="35"/>
      <c r="X12" s="35"/>
      <c r="Y12" s="35"/>
      <c r="Z12" s="32"/>
      <c r="AA12" s="35"/>
      <c r="AB12" s="35"/>
      <c r="AC12" s="35"/>
      <c r="AD12" s="35"/>
      <c r="AE12" s="32"/>
    </row>
    <row r="13" spans="3:31">
      <c r="C13" s="58"/>
      <c r="O13" s="27" t="s">
        <v>217</v>
      </c>
      <c r="P13" s="8"/>
      <c r="Q13" s="8"/>
      <c r="R13" s="28">
        <v>14.08</v>
      </c>
      <c r="S13" s="8"/>
      <c r="T13" s="8" t="s">
        <v>219</v>
      </c>
      <c r="U13" s="30">
        <f>[1]Model!X34+[1]Model!X35</f>
        <v>0</v>
      </c>
      <c r="V13" s="31"/>
      <c r="W13" s="31"/>
      <c r="X13" s="31"/>
      <c r="Y13" s="31"/>
      <c r="Z13" s="30"/>
      <c r="AA13" s="31"/>
      <c r="AB13" s="31"/>
      <c r="AC13" s="31"/>
      <c r="AD13" s="31"/>
      <c r="AE13" s="30"/>
    </row>
    <row r="14" spans="3:31">
      <c r="C14" s="58"/>
      <c r="O14" s="27" t="s">
        <v>218</v>
      </c>
      <c r="P14" s="8"/>
      <c r="Q14" s="8"/>
      <c r="R14" s="36">
        <v>173.6</v>
      </c>
      <c r="S14" s="8"/>
      <c r="T14" s="34" t="s">
        <v>139</v>
      </c>
      <c r="U14" s="32">
        <f t="shared" ref="U14" si="1">U12+U13</f>
        <v>-188.00799999999998</v>
      </c>
      <c r="V14" s="35"/>
      <c r="W14" s="35"/>
      <c r="X14" s="35"/>
      <c r="Y14" s="35"/>
      <c r="Z14" s="32"/>
      <c r="AA14" s="35"/>
      <c r="AB14" s="35"/>
      <c r="AC14" s="35"/>
      <c r="AD14" s="35"/>
      <c r="AE14" s="32"/>
    </row>
    <row r="15" spans="3:31">
      <c r="C15" s="58"/>
      <c r="O15" s="27" t="s">
        <v>220</v>
      </c>
      <c r="P15" s="8"/>
      <c r="Q15" s="8"/>
      <c r="R15" s="36">
        <v>198</v>
      </c>
      <c r="S15" s="8"/>
      <c r="T15" s="34" t="s">
        <v>141</v>
      </c>
      <c r="U15" s="32">
        <f>Model!U30</f>
        <v>-187091</v>
      </c>
      <c r="V15" s="35"/>
      <c r="W15" s="35"/>
      <c r="X15" s="35"/>
      <c r="Y15" s="35"/>
      <c r="Z15" s="32"/>
      <c r="AA15" s="35"/>
      <c r="AB15" s="35"/>
      <c r="AC15" s="35"/>
      <c r="AD15" s="35"/>
      <c r="AE15" s="32"/>
    </row>
    <row r="16" spans="3:31">
      <c r="C16" s="58"/>
      <c r="O16" s="27" t="s">
        <v>221</v>
      </c>
      <c r="P16" s="8"/>
      <c r="Q16" s="8"/>
      <c r="R16" s="37">
        <f>Model!G33</f>
        <v>74.280590000000004</v>
      </c>
      <c r="S16" s="8"/>
      <c r="T16" s="8" t="s">
        <v>183</v>
      </c>
      <c r="U16" s="30">
        <f>[1]Model!X42</f>
        <v>0</v>
      </c>
      <c r="V16" s="31"/>
      <c r="W16" s="31"/>
      <c r="X16" s="31"/>
      <c r="Y16" s="31"/>
      <c r="Z16" s="30"/>
      <c r="AA16" s="31"/>
      <c r="AB16" s="31"/>
      <c r="AC16" s="31"/>
      <c r="AD16" s="31"/>
      <c r="AE16" s="30"/>
    </row>
    <row r="17" spans="3:31">
      <c r="C17" s="58"/>
      <c r="O17" s="27" t="s">
        <v>222</v>
      </c>
      <c r="P17" s="8"/>
      <c r="Q17" s="8"/>
      <c r="R17" s="33">
        <v>1</v>
      </c>
      <c r="S17" s="8"/>
      <c r="T17" s="8" t="s">
        <v>241</v>
      </c>
      <c r="U17" s="41" t="e">
        <f t="shared" ref="U17" si="2">U15/U16/1000</f>
        <v>#DIV/0!</v>
      </c>
      <c r="V17" s="42"/>
      <c r="W17" s="42"/>
      <c r="X17" s="42"/>
      <c r="Y17" s="42"/>
      <c r="Z17" s="41"/>
      <c r="AA17" s="42"/>
      <c r="AB17" s="42"/>
      <c r="AC17" s="42"/>
      <c r="AD17" s="42"/>
      <c r="AE17" s="41"/>
    </row>
    <row r="18" spans="3:31">
      <c r="C18" s="58"/>
      <c r="O18" s="38" t="s">
        <v>223</v>
      </c>
      <c r="P18" s="39"/>
      <c r="Q18" s="39"/>
      <c r="R18" s="40">
        <v>9.8699999999999992</v>
      </c>
      <c r="S18" s="8"/>
      <c r="T18" s="8"/>
      <c r="U18" s="8"/>
      <c r="V18" s="8"/>
      <c r="W18" s="8"/>
      <c r="X18" s="8"/>
      <c r="Y18" s="8"/>
      <c r="Z18" s="8"/>
      <c r="AA18" s="8"/>
      <c r="AB18" s="8"/>
      <c r="AC18" s="8"/>
      <c r="AD18" s="8"/>
      <c r="AE18" s="8"/>
    </row>
    <row r="19" spans="3:31">
      <c r="C19" s="58"/>
      <c r="O19" s="23" t="s">
        <v>224</v>
      </c>
      <c r="P19" s="43"/>
      <c r="Q19" s="43"/>
      <c r="R19" s="44"/>
      <c r="S19" s="8"/>
      <c r="T19" s="8"/>
      <c r="U19" s="8"/>
      <c r="V19" s="8"/>
      <c r="W19" s="8"/>
      <c r="X19" s="8"/>
      <c r="Y19" s="8"/>
      <c r="Z19" s="8"/>
      <c r="AA19" s="8"/>
      <c r="AB19" s="8"/>
      <c r="AC19" s="8"/>
      <c r="AD19" s="8"/>
      <c r="AE19" s="8"/>
    </row>
    <row r="20" spans="3:31">
      <c r="C20" s="58"/>
      <c r="O20" s="27" t="s">
        <v>225</v>
      </c>
      <c r="P20" s="8"/>
      <c r="Q20" s="8"/>
      <c r="R20" s="45">
        <f>Model!G61/1000</f>
        <v>105.78100000000001</v>
      </c>
      <c r="S20" s="8"/>
      <c r="T20" s="8"/>
      <c r="U20" s="8"/>
      <c r="V20" s="8"/>
      <c r="W20" s="8"/>
      <c r="X20" s="8"/>
      <c r="Y20" s="8"/>
      <c r="Z20" s="8"/>
      <c r="AA20" s="8"/>
      <c r="AB20" s="8"/>
      <c r="AC20" s="8"/>
      <c r="AD20" s="8"/>
      <c r="AE20" s="8"/>
    </row>
    <row r="21" spans="3:31">
      <c r="C21" s="58"/>
      <c r="O21" s="27" t="s">
        <v>226</v>
      </c>
      <c r="P21" s="8"/>
      <c r="Q21" s="8"/>
      <c r="R21" s="52" t="s">
        <v>239</v>
      </c>
      <c r="S21" s="8"/>
      <c r="T21" s="8"/>
      <c r="U21" s="8"/>
      <c r="V21" s="8"/>
      <c r="W21" s="8"/>
      <c r="X21" s="8"/>
      <c r="Y21" s="8"/>
      <c r="Z21" s="8"/>
      <c r="AA21" s="8"/>
      <c r="AB21" s="8"/>
      <c r="AC21" s="8"/>
      <c r="AD21" s="8"/>
      <c r="AE21" s="8"/>
    </row>
    <row r="22" spans="3:31">
      <c r="C22" s="58"/>
      <c r="O22" s="27" t="s">
        <v>227</v>
      </c>
      <c r="P22" s="8"/>
      <c r="Q22" s="8"/>
      <c r="R22" s="46">
        <f>R20/R16</f>
        <v>1.4240732336670994</v>
      </c>
      <c r="S22" s="8"/>
      <c r="T22" s="8"/>
      <c r="U22" s="8"/>
      <c r="V22" s="8"/>
      <c r="W22" s="8"/>
      <c r="X22" s="8"/>
      <c r="Y22" s="8"/>
      <c r="Z22" s="8"/>
      <c r="AA22" s="8"/>
      <c r="AB22" s="8"/>
      <c r="AC22" s="8"/>
      <c r="AD22" s="8"/>
      <c r="AE22" s="8"/>
    </row>
    <row r="23" spans="3:31">
      <c r="C23" s="58"/>
      <c r="O23" s="38" t="s">
        <v>228</v>
      </c>
      <c r="P23" s="39"/>
      <c r="Q23" s="39"/>
      <c r="R23" s="47">
        <f>(Model!G79-Model!G89)/R16/1000</f>
        <v>6.7156305570540029</v>
      </c>
      <c r="S23" s="8"/>
      <c r="T23" s="8"/>
      <c r="U23" s="8"/>
      <c r="V23" s="8"/>
      <c r="W23" s="8"/>
      <c r="X23" s="8"/>
      <c r="Y23" s="8"/>
      <c r="Z23" s="8"/>
      <c r="AA23" s="8"/>
      <c r="AB23" s="8"/>
      <c r="AC23" s="8"/>
      <c r="AD23" s="8"/>
      <c r="AE23" s="8"/>
    </row>
    <row r="24" spans="3:31">
      <c r="C24" s="58"/>
      <c r="O24" s="23" t="s">
        <v>229</v>
      </c>
      <c r="P24" s="43"/>
      <c r="Q24" s="43"/>
      <c r="R24" s="44"/>
      <c r="S24" s="8"/>
      <c r="T24" s="8"/>
      <c r="U24" s="8"/>
      <c r="V24" s="8"/>
      <c r="W24" s="8"/>
      <c r="X24" s="8"/>
      <c r="Y24" s="8"/>
      <c r="Z24" s="8"/>
      <c r="AA24" s="8"/>
      <c r="AB24" s="8"/>
      <c r="AC24" s="8"/>
      <c r="AD24" s="8"/>
      <c r="AE24" s="8"/>
    </row>
    <row r="25" spans="3:31">
      <c r="C25" s="58"/>
      <c r="O25" s="25" t="s">
        <v>230</v>
      </c>
      <c r="P25" s="26" t="s">
        <v>231</v>
      </c>
      <c r="Q25" s="26" t="s">
        <v>232</v>
      </c>
      <c r="R25" s="48" t="s">
        <v>233</v>
      </c>
      <c r="S25" s="8"/>
      <c r="T25" s="8"/>
      <c r="U25" s="8"/>
      <c r="V25" s="8"/>
      <c r="W25" s="8"/>
      <c r="X25" s="8"/>
      <c r="Y25" s="8"/>
      <c r="Z25" s="8"/>
      <c r="AA25" s="8"/>
      <c r="AB25" s="8"/>
      <c r="AC25" s="8"/>
      <c r="AD25" s="8"/>
      <c r="AE25" s="8"/>
    </row>
    <row r="26" spans="3:31">
      <c r="C26" s="58"/>
      <c r="O26" s="49" t="s">
        <v>234</v>
      </c>
      <c r="P26" s="42">
        <f>Model!B14/1000</f>
        <v>10.131</v>
      </c>
      <c r="Q26" s="42">
        <f>Model!F14/1000</f>
        <v>7.5780000000000003</v>
      </c>
      <c r="R26" s="46">
        <f>Model!J14/1000</f>
        <v>7.9133124835555551</v>
      </c>
      <c r="S26" s="8"/>
      <c r="T26" s="8"/>
      <c r="U26" s="8"/>
      <c r="V26" s="8"/>
      <c r="W26" s="8"/>
      <c r="X26" s="8"/>
      <c r="Y26" s="8"/>
      <c r="Z26" s="8"/>
      <c r="AA26" s="8"/>
      <c r="AB26" s="8"/>
      <c r="AC26" s="8"/>
      <c r="AD26" s="8"/>
      <c r="AE26" s="8"/>
    </row>
    <row r="27" spans="3:31">
      <c r="C27" s="58"/>
      <c r="O27" s="49" t="s">
        <v>235</v>
      </c>
      <c r="P27" s="42">
        <f>Model!C14/1000</f>
        <v>8.6980000000000004</v>
      </c>
      <c r="Q27" s="42">
        <f>Model!G14/1000</f>
        <v>9.1159999999999997</v>
      </c>
      <c r="R27" s="46">
        <f>Model!K14/1000</f>
        <v>8.5046066473718529</v>
      </c>
      <c r="S27" s="8"/>
      <c r="T27" s="8"/>
      <c r="U27" s="8"/>
      <c r="V27" s="8"/>
      <c r="W27" s="8"/>
      <c r="X27" s="8"/>
      <c r="Y27" s="8"/>
      <c r="Z27" s="8"/>
      <c r="AA27" s="8"/>
      <c r="AB27" s="8"/>
      <c r="AC27" s="8"/>
      <c r="AD27" s="8"/>
      <c r="AE27" s="8"/>
    </row>
    <row r="28" spans="3:31">
      <c r="C28" s="58"/>
      <c r="O28" s="49" t="s">
        <v>236</v>
      </c>
      <c r="P28" s="42">
        <f>Model!D14/1000</f>
        <v>1.101</v>
      </c>
      <c r="Q28" s="42">
        <f>Model!H14/1000</f>
        <v>5.10588</v>
      </c>
      <c r="R28" s="46">
        <f>Model!L14/1000</f>
        <v>7.0084568662496407</v>
      </c>
      <c r="S28" s="8"/>
      <c r="T28" s="8"/>
      <c r="U28" s="8"/>
      <c r="V28" s="8"/>
      <c r="W28" s="8"/>
      <c r="X28" s="8"/>
      <c r="Y28" s="8"/>
      <c r="Z28" s="8"/>
      <c r="AA28" s="8"/>
      <c r="AB28" s="8"/>
      <c r="AC28" s="8"/>
      <c r="AD28" s="8"/>
      <c r="AE28" s="8"/>
    </row>
    <row r="29" spans="3:31">
      <c r="C29" s="58"/>
      <c r="O29" s="50" t="s">
        <v>237</v>
      </c>
      <c r="P29" s="51">
        <f>Model!E14/1000</f>
        <v>9.4600000000000009</v>
      </c>
      <c r="Q29" s="51">
        <f>Model!I14/1000</f>
        <v>8.6978458666666665</v>
      </c>
      <c r="R29" s="47">
        <f>Model!M14/1000</f>
        <v>8.5834516901773554</v>
      </c>
      <c r="S29" s="8"/>
      <c r="T29" s="8"/>
      <c r="U29" s="8"/>
      <c r="V29" s="8"/>
      <c r="W29" s="8"/>
      <c r="X29" s="8"/>
      <c r="Y29" s="8"/>
      <c r="Z29" s="8"/>
      <c r="AA29" s="8"/>
      <c r="AB29" s="8"/>
      <c r="AC29" s="8"/>
      <c r="AD29" s="8"/>
      <c r="AE29" s="8"/>
    </row>
    <row r="30" spans="3:31">
      <c r="C30" s="58"/>
      <c r="O30" s="23" t="s">
        <v>238</v>
      </c>
      <c r="P30" s="43"/>
      <c r="Q30" s="43"/>
      <c r="R30" s="44"/>
      <c r="S30" s="8"/>
      <c r="T30" s="8"/>
      <c r="U30" s="8"/>
      <c r="V30" s="8"/>
      <c r="W30" s="8"/>
      <c r="X30" s="8"/>
      <c r="Y30" s="8"/>
      <c r="Z30" s="8"/>
      <c r="AA30" s="8"/>
      <c r="AB30" s="8"/>
      <c r="AC30" s="8"/>
      <c r="AD30" s="8"/>
      <c r="AE30" s="8"/>
    </row>
    <row r="31" spans="3:31">
      <c r="C31" s="58"/>
      <c r="O31" s="25" t="s">
        <v>230</v>
      </c>
      <c r="P31" s="26" t="s">
        <v>231</v>
      </c>
      <c r="Q31" s="26" t="s">
        <v>232</v>
      </c>
      <c r="R31" s="48" t="s">
        <v>233</v>
      </c>
      <c r="S31" s="8"/>
      <c r="T31" s="8"/>
      <c r="U31" s="8"/>
      <c r="V31" s="8"/>
      <c r="W31" s="8"/>
      <c r="X31" s="8"/>
      <c r="Y31" s="8"/>
      <c r="Z31" s="8"/>
      <c r="AA31" s="8"/>
      <c r="AB31" s="8"/>
      <c r="AC31" s="8"/>
      <c r="AD31" s="8"/>
      <c r="AE31" s="8"/>
    </row>
    <row r="32" spans="3:31">
      <c r="C32" s="58"/>
      <c r="O32" s="49" t="s">
        <v>234</v>
      </c>
      <c r="P32" s="42">
        <f>Model!B38</f>
        <v>0</v>
      </c>
      <c r="Q32" s="42">
        <f>Model!F38</f>
        <v>0.54956279915501249</v>
      </c>
      <c r="R32" s="46">
        <f>Model!J38</f>
        <v>0.28477006132020333</v>
      </c>
      <c r="S32" s="8"/>
      <c r="T32" s="8"/>
      <c r="U32" s="8"/>
      <c r="V32" s="8"/>
      <c r="W32" s="8"/>
      <c r="X32" s="8"/>
      <c r="Y32" s="8"/>
      <c r="Z32" s="8"/>
      <c r="AA32" s="8"/>
      <c r="AB32" s="8"/>
      <c r="AC32" s="8"/>
      <c r="AD32" s="8"/>
      <c r="AE32" s="8"/>
    </row>
    <row r="33" spans="3:31">
      <c r="C33" s="58"/>
      <c r="O33" s="49" t="s">
        <v>235</v>
      </c>
      <c r="P33" s="42">
        <f>Model!C38</f>
        <v>0</v>
      </c>
      <c r="Q33" s="42">
        <f>Model!G38</f>
        <v>0.39416189513865496</v>
      </c>
      <c r="R33" s="46">
        <f>Model!K38</f>
        <v>0.23359442971344624</v>
      </c>
      <c r="S33" s="8"/>
      <c r="T33" s="8"/>
      <c r="U33" s="8"/>
      <c r="V33" s="8"/>
      <c r="W33" s="8"/>
      <c r="X33" s="8"/>
      <c r="Y33" s="8"/>
      <c r="Z33" s="8"/>
      <c r="AA33" s="8"/>
      <c r="AB33" s="8"/>
      <c r="AC33" s="8"/>
      <c r="AD33" s="8"/>
      <c r="AE33" s="8"/>
    </row>
    <row r="34" spans="3:31">
      <c r="C34" s="58"/>
      <c r="O34" s="49" t="s">
        <v>236</v>
      </c>
      <c r="P34" s="42">
        <f>Model!D38</f>
        <v>0</v>
      </c>
      <c r="Q34" s="42">
        <f>Model!H38</f>
        <v>0.31797547166262241</v>
      </c>
      <c r="R34" s="46">
        <f>Model!L38</f>
        <v>0.15483833880611853</v>
      </c>
      <c r="S34" s="8"/>
      <c r="T34" s="8"/>
      <c r="U34" s="8"/>
      <c r="V34" s="8"/>
      <c r="W34" s="8"/>
      <c r="X34" s="8"/>
      <c r="Y34" s="8"/>
      <c r="Z34" s="8"/>
      <c r="AA34" s="8"/>
      <c r="AB34" s="8"/>
      <c r="AC34" s="8"/>
      <c r="AD34" s="8"/>
      <c r="AE34" s="8"/>
    </row>
    <row r="35" spans="3:31">
      <c r="C35" s="58"/>
      <c r="O35" s="50" t="s">
        <v>237</v>
      </c>
      <c r="P35" s="51">
        <f>Model!E38</f>
        <v>0</v>
      </c>
      <c r="Q35" s="51">
        <f>Model!I38</f>
        <v>0.33576113683467845</v>
      </c>
      <c r="R35" s="47">
        <f>Model!M38</f>
        <v>0.16396645014578182</v>
      </c>
      <c r="S35" s="8"/>
    </row>
    <row r="36" spans="3:31">
      <c r="C36" s="58"/>
    </row>
    <row r="37" spans="3:31">
      <c r="C37" s="58"/>
    </row>
    <row r="38" spans="3:31">
      <c r="C38" s="58"/>
    </row>
    <row r="39" spans="3:31">
      <c r="C39" s="58"/>
    </row>
    <row r="40" spans="3:31">
      <c r="C40" s="58"/>
    </row>
    <row r="41" spans="3:31">
      <c r="C41" s="58"/>
    </row>
    <row r="42" spans="3:31">
      <c r="C42" s="58"/>
    </row>
    <row r="43" spans="3:31">
      <c r="C43" s="58"/>
    </row>
    <row r="44" spans="3:31">
      <c r="C44" s="58"/>
    </row>
    <row r="45" spans="3:31">
      <c r="C45" s="58"/>
    </row>
    <row r="46" spans="3:31">
      <c r="C46" s="58"/>
    </row>
    <row r="47" spans="3:31">
      <c r="C47" s="58"/>
    </row>
    <row r="48" spans="3:31">
      <c r="C48" s="58"/>
    </row>
    <row r="49" spans="3:3">
      <c r="C49" s="58"/>
    </row>
    <row r="50" spans="3:3">
      <c r="C50" s="58"/>
    </row>
    <row r="51" spans="3:3">
      <c r="C51" s="58"/>
    </row>
    <row r="52" spans="3:3">
      <c r="C52" s="58"/>
    </row>
    <row r="53" spans="3:3">
      <c r="C53" s="58"/>
    </row>
    <row r="54" spans="3:3">
      <c r="C54" s="58"/>
    </row>
    <row r="55" spans="3:3">
      <c r="C55" s="58"/>
    </row>
    <row r="56" spans="3:3">
      <c r="C56" s="58"/>
    </row>
    <row r="57" spans="3:3">
      <c r="C57" s="58"/>
    </row>
    <row r="58" spans="3:3">
      <c r="C58" s="58"/>
    </row>
    <row r="59" spans="3:3">
      <c r="C59" s="58"/>
    </row>
    <row r="60" spans="3:3">
      <c r="C60" s="58"/>
    </row>
    <row r="61" spans="3:3">
      <c r="C61" s="58"/>
    </row>
    <row r="62" spans="3:3">
      <c r="C62" s="58"/>
    </row>
    <row r="63" spans="3:3">
      <c r="C63" s="58"/>
    </row>
    <row r="64" spans="3:3">
      <c r="C64" s="58"/>
    </row>
    <row r="65" spans="3:3">
      <c r="C65" s="58"/>
    </row>
    <row r="66" spans="3:3">
      <c r="C66" s="58"/>
    </row>
    <row r="67" spans="3:3">
      <c r="C67" s="58"/>
    </row>
    <row r="68" spans="3:3">
      <c r="C68" s="58"/>
    </row>
    <row r="69" spans="3:3">
      <c r="C69" s="58"/>
    </row>
    <row r="70" spans="3:3">
      <c r="C70" s="58"/>
    </row>
    <row r="71" spans="3:3">
      <c r="C71" s="58"/>
    </row>
    <row r="72" spans="3:3">
      <c r="C72" s="58"/>
    </row>
    <row r="73" spans="3:3">
      <c r="C73" s="58"/>
    </row>
    <row r="74" spans="3:3">
      <c r="C74" s="58"/>
    </row>
    <row r="75" spans="3:3">
      <c r="C75" s="58"/>
    </row>
    <row r="76" spans="3:3">
      <c r="C76" s="58"/>
    </row>
    <row r="77" spans="3:3">
      <c r="C77" s="58"/>
    </row>
    <row r="78" spans="3:3">
      <c r="C78" s="58"/>
    </row>
    <row r="79" spans="3:3">
      <c r="C79" s="58"/>
    </row>
    <row r="80" spans="3:3">
      <c r="C80" s="58"/>
    </row>
    <row r="81" spans="3:3">
      <c r="C81" s="58"/>
    </row>
    <row r="82" spans="3:3">
      <c r="C82" s="58"/>
    </row>
    <row r="83" spans="3:3">
      <c r="C83" s="58"/>
    </row>
    <row r="84" spans="3:3">
      <c r="C84" s="58"/>
    </row>
    <row r="85" spans="3:3">
      <c r="C85" s="58"/>
    </row>
    <row r="86" spans="3:3">
      <c r="C86" s="58"/>
    </row>
    <row r="87" spans="3:3">
      <c r="C87" s="58"/>
    </row>
    <row r="88" spans="3:3">
      <c r="C88" s="58"/>
    </row>
    <row r="89" spans="3:3">
      <c r="C89" s="58"/>
    </row>
    <row r="90" spans="3:3">
      <c r="C90" s="58"/>
    </row>
    <row r="91" spans="3:3">
      <c r="C91" s="58"/>
    </row>
    <row r="92" spans="3:3">
      <c r="C92" s="58"/>
    </row>
    <row r="93" spans="3:3">
      <c r="C93" s="58"/>
    </row>
  </sheetData>
  <mergeCells count="1">
    <mergeCell ref="P7:R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E1AF-F544-4741-BE15-26EB889791D9}">
  <dimension ref="A1:A7"/>
  <sheetViews>
    <sheetView workbookViewId="0">
      <selection activeCell="B7" sqref="B7"/>
    </sheetView>
  </sheetViews>
  <sheetFormatPr baseColWidth="10" defaultRowHeight="13"/>
  <cols>
    <col min="1" max="1" width="93.33203125" style="1" customWidth="1"/>
    <col min="2" max="16384" width="10.83203125" style="1"/>
  </cols>
  <sheetData>
    <row r="1" spans="1:1" ht="34" customHeight="1">
      <c r="A1" s="11" t="s">
        <v>167</v>
      </c>
    </row>
    <row r="2" spans="1:1">
      <c r="A2" s="10" t="s">
        <v>0</v>
      </c>
    </row>
    <row r="3" spans="1:1">
      <c r="A3" s="8"/>
    </row>
    <row r="7" spans="1:1" ht="384">
      <c r="A7" s="2"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vt:lpstr>
      <vt:lpstr>Main</vt:lpstr>
      <vt:lpstr>Model</vt:lpstr>
      <vt:lpstr>rNPV</vt:lpstr>
      <vt:lpstr>Other</vt:lpstr>
      <vt:lpstr>Legal Disclosure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domingos - 2023</dc:creator>
  <cp:lastModifiedBy>evan domingos - 2023</cp:lastModifiedBy>
  <dcterms:created xsi:type="dcterms:W3CDTF">2022-09-17T20:44:21Z</dcterms:created>
  <dcterms:modified xsi:type="dcterms:W3CDTF">2022-10-16T20:36:13Z</dcterms:modified>
</cp:coreProperties>
</file>