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WhiteSky/Models/"/>
    </mc:Choice>
  </mc:AlternateContent>
  <xr:revisionPtr revIDLastSave="0" documentId="13_ncr:1_{BDE3E7EC-0532-6B43-89DD-AB406174A5FD}" xr6:coauthVersionLast="47" xr6:coauthVersionMax="47" xr10:uidLastSave="{00000000-0000-0000-0000-000000000000}"/>
  <bookViews>
    <workbookView xWindow="0" yWindow="760" windowWidth="30240" windowHeight="18880" activeTab="4" xr2:uid="{74B7601F-A485-1747-82A0-CB99B95E4172}"/>
  </bookViews>
  <sheets>
    <sheet name="Cover" sheetId="4" r:id="rId1"/>
    <sheet name="Main" sheetId="2" r:id="rId2"/>
    <sheet name="Model" sheetId="1" r:id="rId3"/>
    <sheet name="Schedule" sheetId="6" r:id="rId4"/>
    <sheet name="rNPV &amp; DCF Valuation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5" i="1" l="1"/>
  <c r="L45" i="1"/>
  <c r="J45" i="1"/>
  <c r="M45" i="1"/>
  <c r="M43" i="1"/>
  <c r="M35" i="1"/>
  <c r="M40" i="1"/>
  <c r="M39" i="1"/>
  <c r="M24" i="1"/>
  <c r="M33" i="1"/>
  <c r="G107" i="1"/>
  <c r="G106" i="1"/>
  <c r="G105" i="1"/>
  <c r="G104" i="1"/>
  <c r="G103" i="1"/>
  <c r="G101" i="1"/>
  <c r="G98" i="1"/>
  <c r="G97" i="1"/>
  <c r="H98" i="1"/>
  <c r="H97" i="1"/>
  <c r="H95" i="1"/>
  <c r="H94" i="1"/>
  <c r="H92" i="1"/>
  <c r="H90" i="1"/>
  <c r="G95" i="1"/>
  <c r="G94" i="1"/>
  <c r="G92" i="1"/>
  <c r="G90" i="1"/>
  <c r="H124" i="1"/>
  <c r="I124" i="1"/>
  <c r="F125" i="1"/>
  <c r="F120" i="1"/>
  <c r="F114" i="1"/>
  <c r="E64" i="1"/>
  <c r="E72" i="1"/>
  <c r="E75" i="1" s="1"/>
  <c r="E81" i="1"/>
  <c r="E82" i="1" s="1"/>
  <c r="E68" i="1"/>
  <c r="G72" i="1"/>
  <c r="H72" i="1"/>
  <c r="H75" i="1" s="1"/>
  <c r="G75" i="1"/>
  <c r="G64" i="1"/>
  <c r="G68" i="1" s="1"/>
  <c r="H64" i="1"/>
  <c r="H68" i="1" s="1"/>
  <c r="F81" i="1"/>
  <c r="F64" i="1"/>
  <c r="F68" i="1" s="1"/>
  <c r="F72" i="1"/>
  <c r="F75" i="1" s="1"/>
  <c r="Z19" i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Y16" i="1"/>
  <c r="C16" i="1"/>
  <c r="C21" i="1" s="1"/>
  <c r="D16" i="1"/>
  <c r="D21" i="1" s="1"/>
  <c r="E16" i="1"/>
  <c r="E21" i="1" s="1"/>
  <c r="F16" i="1"/>
  <c r="F21" i="1" s="1"/>
  <c r="G16" i="1"/>
  <c r="G21" i="1" s="1"/>
  <c r="H16" i="1"/>
  <c r="H21" i="1" s="1"/>
  <c r="I16" i="1"/>
  <c r="I21" i="1" s="1"/>
  <c r="J16" i="1"/>
  <c r="J21" i="1" s="1"/>
  <c r="B16" i="1"/>
  <c r="B21" i="1" s="1"/>
  <c r="F20" i="1"/>
  <c r="K15" i="1"/>
  <c r="K16" i="1" s="1"/>
  <c r="K21" i="1" s="1"/>
  <c r="E84" i="1" l="1"/>
  <c r="F82" i="1"/>
  <c r="F84" i="1" s="1"/>
  <c r="Z21" i="1"/>
  <c r="AA21" i="1"/>
  <c r="F17" i="1"/>
  <c r="J17" i="1"/>
  <c r="I17" i="1"/>
  <c r="H17" i="1"/>
  <c r="G17" i="1"/>
  <c r="K17" i="1"/>
  <c r="M73" i="1"/>
  <c r="N73" i="1" s="1"/>
  <c r="O73" i="1" s="1"/>
  <c r="N38" i="1"/>
  <c r="B20" i="1"/>
  <c r="AC25" i="1"/>
  <c r="Y20" i="1"/>
  <c r="C20" i="1"/>
  <c r="D20" i="1"/>
  <c r="E20" i="1"/>
  <c r="G20" i="1"/>
  <c r="H20" i="1"/>
  <c r="I20" i="1"/>
  <c r="J20" i="1"/>
  <c r="K20" i="1"/>
  <c r="K110" i="1"/>
  <c r="L110" i="1" s="1"/>
  <c r="J114" i="1"/>
  <c r="K113" i="1"/>
  <c r="L118" i="1"/>
  <c r="L120" i="1" s="1"/>
  <c r="K97" i="1"/>
  <c r="L97" i="1" s="1"/>
  <c r="K122" i="1"/>
  <c r="L122" i="1" s="1"/>
  <c r="K120" i="1"/>
  <c r="J120" i="1"/>
  <c r="K112" i="1"/>
  <c r="L112" i="1" s="1"/>
  <c r="K111" i="1"/>
  <c r="L111" i="1" s="1"/>
  <c r="K107" i="1"/>
  <c r="L107" i="1" s="1"/>
  <c r="K106" i="1"/>
  <c r="L106" i="1" s="1"/>
  <c r="K105" i="1"/>
  <c r="L105" i="1" s="1"/>
  <c r="K104" i="1"/>
  <c r="L104" i="1" s="1"/>
  <c r="K103" i="1"/>
  <c r="L103" i="1" s="1"/>
  <c r="K101" i="1"/>
  <c r="L101" i="1" s="1"/>
  <c r="K98" i="1"/>
  <c r="L98" i="1" s="1"/>
  <c r="K96" i="1"/>
  <c r="L96" i="1" s="1"/>
  <c r="K95" i="1"/>
  <c r="L95" i="1" s="1"/>
  <c r="K94" i="1"/>
  <c r="L94" i="1" s="1"/>
  <c r="K92" i="1"/>
  <c r="L92" i="1" s="1"/>
  <c r="K90" i="1"/>
  <c r="L90" i="1" s="1"/>
  <c r="K72" i="1"/>
  <c r="K75" i="1" s="1"/>
  <c r="J72" i="1"/>
  <c r="J75" i="1" s="1"/>
  <c r="I64" i="1"/>
  <c r="I68" i="1" s="1"/>
  <c r="I72" i="1"/>
  <c r="I75" i="1" s="1"/>
  <c r="L72" i="1"/>
  <c r="L75" i="1" s="1"/>
  <c r="N37" i="1"/>
  <c r="O37" i="1" s="1"/>
  <c r="P37" i="1" s="1"/>
  <c r="Q37" i="1" s="1"/>
  <c r="O43" i="1"/>
  <c r="P43" i="1"/>
  <c r="Q43" i="1"/>
  <c r="N43" i="1"/>
  <c r="R43" i="1"/>
  <c r="S43" i="1"/>
  <c r="T43" i="1"/>
  <c r="U43" i="1"/>
  <c r="AB42" i="1" l="1"/>
  <c r="P73" i="1"/>
  <c r="O42" i="1"/>
  <c r="N42" i="1"/>
  <c r="L114" i="1"/>
  <c r="K114" i="1"/>
  <c r="K64" i="1"/>
  <c r="K68" i="1" s="1"/>
  <c r="Z20" i="2"/>
  <c r="Y20" i="2"/>
  <c r="X17" i="2"/>
  <c r="X18" i="2"/>
  <c r="X20" i="2"/>
  <c r="Z18" i="2"/>
  <c r="Z17" i="2"/>
  <c r="Y18" i="2"/>
  <c r="Y17" i="2"/>
  <c r="U27" i="2"/>
  <c r="Q73" i="1" l="1"/>
  <c r="P42" i="1"/>
  <c r="Z19" i="2"/>
  <c r="Z21" i="2" s="1"/>
  <c r="X19" i="2"/>
  <c r="X21" i="2" s="1"/>
  <c r="Y19" i="2"/>
  <c r="Y21" i="2" s="1"/>
  <c r="E9" i="3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C50" i="1"/>
  <c r="D50" i="1"/>
  <c r="F50" i="1"/>
  <c r="G50" i="1"/>
  <c r="H50" i="1"/>
  <c r="J50" i="1"/>
  <c r="Y23" i="2" s="1"/>
  <c r="K50" i="1"/>
  <c r="Z23" i="2" s="1"/>
  <c r="B50" i="1"/>
  <c r="I52" i="1"/>
  <c r="I50" i="1" s="1"/>
  <c r="AA50" i="1" s="1"/>
  <c r="X23" i="2" s="1"/>
  <c r="L52" i="1"/>
  <c r="M52" i="1" s="1"/>
  <c r="N52" i="1" s="1"/>
  <c r="O52" i="1" s="1"/>
  <c r="P52" i="1" s="1"/>
  <c r="Q52" i="1" s="1"/>
  <c r="R52" i="1" s="1"/>
  <c r="S52" i="1" s="1"/>
  <c r="T52" i="1" s="1"/>
  <c r="U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B47" i="1"/>
  <c r="AB25" i="1"/>
  <c r="AB26" i="1"/>
  <c r="Z9" i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R73" i="1" l="1"/>
  <c r="Q42" i="1"/>
  <c r="AC42" i="1" s="1"/>
  <c r="AC52" i="1"/>
  <c r="L50" i="1"/>
  <c r="P15" i="2"/>
  <c r="U22" i="2" s="1"/>
  <c r="U21" i="2" s="1"/>
  <c r="U20" i="2" s="1"/>
  <c r="AB52" i="1"/>
  <c r="AA18" i="2"/>
  <c r="AA17" i="2"/>
  <c r="AD26" i="1"/>
  <c r="AC26" i="1"/>
  <c r="L14" i="1"/>
  <c r="AD25" i="1"/>
  <c r="AA14" i="1"/>
  <c r="Z14" i="1"/>
  <c r="M14" i="1" l="1"/>
  <c r="L20" i="1"/>
  <c r="L15" i="1"/>
  <c r="Z20" i="1"/>
  <c r="Z16" i="1"/>
  <c r="Z17" i="1" s="1"/>
  <c r="AA20" i="1"/>
  <c r="AA16" i="1"/>
  <c r="AA17" i="1" s="1"/>
  <c r="S73" i="1"/>
  <c r="R42" i="1"/>
  <c r="AA19" i="2"/>
  <c r="AB23" i="2"/>
  <c r="AA23" i="2"/>
  <c r="P16" i="2"/>
  <c r="L39" i="1"/>
  <c r="L40" i="1" s="1"/>
  <c r="G9" i="1"/>
  <c r="K9" i="1" s="1"/>
  <c r="O9" i="1" s="1"/>
  <c r="S9" i="1" s="1"/>
  <c r="H9" i="1"/>
  <c r="L9" i="1" s="1"/>
  <c r="P9" i="1" s="1"/>
  <c r="T9" i="1" s="1"/>
  <c r="I9" i="1"/>
  <c r="M9" i="1" s="1"/>
  <c r="Q9" i="1" s="1"/>
  <c r="U9" i="1" s="1"/>
  <c r="F9" i="1"/>
  <c r="J9" i="1" s="1"/>
  <c r="N9" i="1" s="1"/>
  <c r="R9" i="1" s="1"/>
  <c r="N14" i="1" l="1"/>
  <c r="M15" i="1"/>
  <c r="M16" i="1" s="1"/>
  <c r="L16" i="1"/>
  <c r="AB14" i="1"/>
  <c r="AB20" i="1" s="1"/>
  <c r="T73" i="1"/>
  <c r="S42" i="1"/>
  <c r="M20" i="1"/>
  <c r="AB50" i="1"/>
  <c r="AC23" i="2" s="1"/>
  <c r="N50" i="1"/>
  <c r="O50" i="1" s="1"/>
  <c r="AD17" i="2"/>
  <c r="AB17" i="2"/>
  <c r="AB18" i="2"/>
  <c r="AB38" i="1"/>
  <c r="AC17" i="2" s="1"/>
  <c r="AB37" i="1"/>
  <c r="AC18" i="2" s="1"/>
  <c r="Y39" i="1"/>
  <c r="Y40" i="1" s="1"/>
  <c r="Y45" i="1" s="1"/>
  <c r="Y48" i="1" s="1"/>
  <c r="E47" i="1"/>
  <c r="E46" i="1"/>
  <c r="E44" i="1"/>
  <c r="E41" i="1"/>
  <c r="E38" i="1"/>
  <c r="E37" i="1"/>
  <c r="C39" i="1"/>
  <c r="C40" i="1" s="1"/>
  <c r="C45" i="1" s="1"/>
  <c r="C48" i="1" s="1"/>
  <c r="D39" i="1"/>
  <c r="D40" i="1" s="1"/>
  <c r="D45" i="1" s="1"/>
  <c r="D48" i="1" s="1"/>
  <c r="F39" i="1"/>
  <c r="F40" i="1" s="1"/>
  <c r="F45" i="1" s="1"/>
  <c r="F48" i="1" s="1"/>
  <c r="F89" i="1" s="1"/>
  <c r="F108" i="1" s="1"/>
  <c r="F124" i="1" s="1"/>
  <c r="F126" i="1" s="1"/>
  <c r="G125" i="1" s="1"/>
  <c r="G39" i="1"/>
  <c r="G40" i="1" s="1"/>
  <c r="G45" i="1" s="1"/>
  <c r="G48" i="1" s="1"/>
  <c r="H39" i="1"/>
  <c r="H40" i="1" s="1"/>
  <c r="H45" i="1" s="1"/>
  <c r="H48" i="1" s="1"/>
  <c r="H89" i="1" s="1"/>
  <c r="J39" i="1"/>
  <c r="K39" i="1"/>
  <c r="K40" i="1" s="1"/>
  <c r="B39" i="1"/>
  <c r="B40" i="1" s="1"/>
  <c r="B45" i="1" s="1"/>
  <c r="B48" i="1" s="1"/>
  <c r="I46" i="1"/>
  <c r="I44" i="1"/>
  <c r="I41" i="1"/>
  <c r="I38" i="1"/>
  <c r="I37" i="1"/>
  <c r="G89" i="1" l="1"/>
  <c r="G108" i="1" s="1"/>
  <c r="G124" i="1" s="1"/>
  <c r="G126" i="1" s="1"/>
  <c r="H125" i="1" s="1"/>
  <c r="H126" i="1" s="1"/>
  <c r="I125" i="1" s="1"/>
  <c r="I126" i="1" s="1"/>
  <c r="G80" i="1"/>
  <c r="L17" i="1"/>
  <c r="L21" i="1"/>
  <c r="O14" i="1"/>
  <c r="N15" i="1"/>
  <c r="M17" i="1"/>
  <c r="M21" i="1"/>
  <c r="AB15" i="1"/>
  <c r="AB16" i="1" s="1"/>
  <c r="AB17" i="1" s="1"/>
  <c r="N20" i="1"/>
  <c r="U73" i="1"/>
  <c r="U42" i="1" s="1"/>
  <c r="T42" i="1"/>
  <c r="AD23" i="2"/>
  <c r="K48" i="1"/>
  <c r="K89" i="1" s="1"/>
  <c r="K108" i="1" s="1"/>
  <c r="O38" i="1"/>
  <c r="AE17" i="2" s="1"/>
  <c r="P50" i="1"/>
  <c r="AE23" i="2"/>
  <c r="AE18" i="2"/>
  <c r="AD18" i="2"/>
  <c r="N39" i="1"/>
  <c r="H53" i="1"/>
  <c r="S40" i="2" s="1"/>
  <c r="H51" i="1"/>
  <c r="G53" i="1"/>
  <c r="S39" i="2" s="1"/>
  <c r="G51" i="1"/>
  <c r="F53" i="1"/>
  <c r="S38" i="2" s="1"/>
  <c r="F51" i="1"/>
  <c r="D51" i="1"/>
  <c r="D53" i="1"/>
  <c r="C51" i="1"/>
  <c r="C53" i="1"/>
  <c r="Y51" i="1"/>
  <c r="Y53" i="1"/>
  <c r="B53" i="1"/>
  <c r="B51" i="1"/>
  <c r="J40" i="1"/>
  <c r="J48" i="1" s="1"/>
  <c r="AB39" i="1"/>
  <c r="E39" i="1"/>
  <c r="I39" i="1"/>
  <c r="H80" i="1" l="1"/>
  <c r="G81" i="1"/>
  <c r="G82" i="1" s="1"/>
  <c r="G84" i="1" s="1"/>
  <c r="AB21" i="1"/>
  <c r="P14" i="1"/>
  <c r="O15" i="1"/>
  <c r="O16" i="1" s="1"/>
  <c r="N16" i="1"/>
  <c r="AD42" i="1"/>
  <c r="AE42" i="1" s="1"/>
  <c r="AF42" i="1" s="1"/>
  <c r="AG42" i="1" s="1"/>
  <c r="P38" i="1"/>
  <c r="Q38" i="1" s="1"/>
  <c r="O20" i="1"/>
  <c r="J89" i="1"/>
  <c r="K124" i="1"/>
  <c r="Y22" i="2"/>
  <c r="Y24" i="2" s="1"/>
  <c r="Z22" i="2"/>
  <c r="Z24" i="2" s="1"/>
  <c r="K51" i="1"/>
  <c r="K53" i="1"/>
  <c r="T39" i="2" s="1"/>
  <c r="AA20" i="2"/>
  <c r="AA21" i="2" s="1"/>
  <c r="O39" i="1"/>
  <c r="AF18" i="2"/>
  <c r="Q50" i="1"/>
  <c r="AF23" i="2"/>
  <c r="J51" i="1"/>
  <c r="J53" i="1"/>
  <c r="T38" i="2" s="1"/>
  <c r="L48" i="1"/>
  <c r="L89" i="1" s="1"/>
  <c r="L108" i="1" s="1"/>
  <c r="L124" i="1" s="1"/>
  <c r="N46" i="1"/>
  <c r="Z39" i="1"/>
  <c r="Z40" i="1" s="1"/>
  <c r="Z45" i="1" s="1"/>
  <c r="Z48" i="1" s="1"/>
  <c r="Z53" i="1" s="1"/>
  <c r="E40" i="1"/>
  <c r="E45" i="1" s="1"/>
  <c r="E48" i="1" s="1"/>
  <c r="AA39" i="1"/>
  <c r="AA40" i="1" s="1"/>
  <c r="AA45" i="1" s="1"/>
  <c r="AA48" i="1" s="1"/>
  <c r="I40" i="1"/>
  <c r="I45" i="1" s="1"/>
  <c r="I48" i="1" s="1"/>
  <c r="I89" i="1" s="1"/>
  <c r="J108" i="1" l="1"/>
  <c r="J124" i="1" s="1"/>
  <c r="I80" i="1"/>
  <c r="H81" i="1"/>
  <c r="H82" i="1" s="1"/>
  <c r="H84" i="1" s="1"/>
  <c r="Q14" i="1"/>
  <c r="P15" i="1"/>
  <c r="P16" i="1" s="1"/>
  <c r="O17" i="1"/>
  <c r="O21" i="1"/>
  <c r="N17" i="1"/>
  <c r="N21" i="1"/>
  <c r="AF17" i="2"/>
  <c r="AB44" i="1"/>
  <c r="N44" i="1"/>
  <c r="O44" i="1" s="1"/>
  <c r="P44" i="1" s="1"/>
  <c r="Q44" i="1" s="1"/>
  <c r="R44" i="1" s="1"/>
  <c r="S44" i="1" s="1"/>
  <c r="T44" i="1" s="1"/>
  <c r="U44" i="1" s="1"/>
  <c r="P20" i="1"/>
  <c r="AB20" i="2"/>
  <c r="R38" i="1"/>
  <c r="AG17" i="2"/>
  <c r="AA53" i="1"/>
  <c r="X22" i="2"/>
  <c r="X24" i="2" s="1"/>
  <c r="AA22" i="2"/>
  <c r="AA24" i="2" s="1"/>
  <c r="AG23" i="2"/>
  <c r="AC50" i="1"/>
  <c r="R50" i="1"/>
  <c r="S50" i="1" s="1"/>
  <c r="T50" i="1" s="1"/>
  <c r="U50" i="1" s="1"/>
  <c r="AD50" i="1" s="1"/>
  <c r="P39" i="1"/>
  <c r="AC38" i="1"/>
  <c r="AH17" i="2" s="1"/>
  <c r="R37" i="1"/>
  <c r="I51" i="1"/>
  <c r="AA51" i="1" s="1"/>
  <c r="I53" i="1"/>
  <c r="S41" i="2" s="1"/>
  <c r="L51" i="1"/>
  <c r="L53" i="1"/>
  <c r="T40" i="2" s="1"/>
  <c r="AB46" i="1"/>
  <c r="AB41" i="1"/>
  <c r="O46" i="1"/>
  <c r="N41" i="1"/>
  <c r="J58" i="1" l="1"/>
  <c r="J64" i="1" s="1"/>
  <c r="J68" i="1" s="1"/>
  <c r="J126" i="1"/>
  <c r="K125" i="1" s="1"/>
  <c r="K126" i="1" s="1"/>
  <c r="L125" i="1" s="1"/>
  <c r="L126" i="1" s="1"/>
  <c r="L58" i="1" s="1"/>
  <c r="L64" i="1" s="1"/>
  <c r="L68" i="1" s="1"/>
  <c r="J80" i="1"/>
  <c r="I81" i="1"/>
  <c r="I82" i="1" s="1"/>
  <c r="I84" i="1" s="1"/>
  <c r="R14" i="1"/>
  <c r="Q15" i="1"/>
  <c r="P17" i="1"/>
  <c r="P21" i="1"/>
  <c r="AB27" i="1"/>
  <c r="N27" i="1"/>
  <c r="N33" i="1" s="1"/>
  <c r="O27" i="1"/>
  <c r="O33" i="1" s="1"/>
  <c r="AC14" i="1"/>
  <c r="AC20" i="1" s="1"/>
  <c r="AC15" i="1"/>
  <c r="Q16" i="1"/>
  <c r="AC20" i="2"/>
  <c r="P17" i="2"/>
  <c r="Q20" i="1"/>
  <c r="Q39" i="1"/>
  <c r="S38" i="1"/>
  <c r="T38" i="1" s="1"/>
  <c r="U38" i="1" s="1"/>
  <c r="AE50" i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H23" i="2"/>
  <c r="AD20" i="2"/>
  <c r="AC37" i="1"/>
  <c r="AG18" i="2"/>
  <c r="O41" i="1"/>
  <c r="S37" i="1"/>
  <c r="R39" i="1"/>
  <c r="K80" i="1" l="1"/>
  <c r="J81" i="1"/>
  <c r="J82" i="1" s="1"/>
  <c r="J84" i="1" s="1"/>
  <c r="AC16" i="1"/>
  <c r="AC17" i="1" s="1"/>
  <c r="AB33" i="1"/>
  <c r="AB24" i="1"/>
  <c r="S14" i="1"/>
  <c r="T14" i="1" s="1"/>
  <c r="U14" i="1" s="1"/>
  <c r="R15" i="1"/>
  <c r="Q17" i="1"/>
  <c r="Q21" i="1"/>
  <c r="AC21" i="1" s="1"/>
  <c r="U33" i="2"/>
  <c r="O34" i="1"/>
  <c r="AE15" i="2" s="1"/>
  <c r="AE14" i="2"/>
  <c r="AE16" i="2" s="1"/>
  <c r="AE19" i="2" s="1"/>
  <c r="P27" i="1"/>
  <c r="P33" i="1" s="1"/>
  <c r="AF14" i="2" s="1"/>
  <c r="AD14" i="2"/>
  <c r="U32" i="2"/>
  <c r="N34" i="1"/>
  <c r="AD15" i="2" s="1"/>
  <c r="AB34" i="1"/>
  <c r="AB15" i="2" s="1"/>
  <c r="AC15" i="2" s="1"/>
  <c r="AB14" i="2"/>
  <c r="AC14" i="2" s="1"/>
  <c r="T35" i="2"/>
  <c r="P19" i="2"/>
  <c r="U26" i="2"/>
  <c r="R20" i="1"/>
  <c r="AD38" i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E20" i="2"/>
  <c r="AC39" i="1"/>
  <c r="AH18" i="2"/>
  <c r="AC44" i="1"/>
  <c r="P41" i="1"/>
  <c r="AF20" i="2" s="1"/>
  <c r="T37" i="1"/>
  <c r="S39" i="1"/>
  <c r="L80" i="1" l="1"/>
  <c r="L81" i="1" s="1"/>
  <c r="L82" i="1" s="1"/>
  <c r="L84" i="1" s="1"/>
  <c r="K81" i="1"/>
  <c r="K82" i="1" s="1"/>
  <c r="K84" i="1" s="1"/>
  <c r="N35" i="1"/>
  <c r="N40" i="1" s="1"/>
  <c r="N45" i="1" s="1"/>
  <c r="N48" i="1" s="1"/>
  <c r="AD22" i="2" s="1"/>
  <c r="AD24" i="2" s="1"/>
  <c r="O35" i="1"/>
  <c r="O40" i="1" s="1"/>
  <c r="O45" i="1" s="1"/>
  <c r="O48" i="1" s="1"/>
  <c r="AE22" i="2" s="1"/>
  <c r="AE24" i="2" s="1"/>
  <c r="AE21" i="2"/>
  <c r="U34" i="2"/>
  <c r="AD16" i="2"/>
  <c r="AD19" i="2" s="1"/>
  <c r="AD21" i="2" s="1"/>
  <c r="P34" i="1"/>
  <c r="AF15" i="2" s="1"/>
  <c r="AF16" i="2" s="1"/>
  <c r="AF19" i="2" s="1"/>
  <c r="AF21" i="2" s="1"/>
  <c r="Q27" i="1"/>
  <c r="R16" i="1"/>
  <c r="M36" i="1"/>
  <c r="S15" i="1"/>
  <c r="S16" i="1" s="1"/>
  <c r="U29" i="2"/>
  <c r="U28" i="2"/>
  <c r="S20" i="1"/>
  <c r="Q41" i="1"/>
  <c r="U37" i="1"/>
  <c r="U39" i="1" s="1"/>
  <c r="T39" i="1"/>
  <c r="N53" i="1" l="1"/>
  <c r="U38" i="2" s="1"/>
  <c r="N51" i="1"/>
  <c r="P35" i="1"/>
  <c r="P40" i="1" s="1"/>
  <c r="P45" i="1" s="1"/>
  <c r="P46" i="1" s="1"/>
  <c r="O53" i="1"/>
  <c r="U39" i="2" s="1"/>
  <c r="O51" i="1"/>
  <c r="S17" i="1"/>
  <c r="S21" i="1"/>
  <c r="R17" i="1"/>
  <c r="R21" i="1"/>
  <c r="Q33" i="1"/>
  <c r="Q28" i="1"/>
  <c r="AB35" i="1"/>
  <c r="M48" i="1"/>
  <c r="AC27" i="1"/>
  <c r="AC24" i="1" s="1"/>
  <c r="T15" i="1"/>
  <c r="T20" i="1"/>
  <c r="AG20" i="2"/>
  <c r="AC41" i="1"/>
  <c r="AD44" i="1"/>
  <c r="AD37" i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R41" i="1"/>
  <c r="P48" i="1" l="1"/>
  <c r="AF22" i="2" s="1"/>
  <c r="AF24" i="2" s="1"/>
  <c r="AC33" i="1"/>
  <c r="AH14" i="2" s="1"/>
  <c r="AC28" i="1"/>
  <c r="R27" i="1"/>
  <c r="S27" i="1"/>
  <c r="C10" i="3"/>
  <c r="M51" i="1"/>
  <c r="AB51" i="1" s="1"/>
  <c r="M53" i="1"/>
  <c r="T41" i="2" s="1"/>
  <c r="AB22" i="2"/>
  <c r="AB24" i="2" s="1"/>
  <c r="AB16" i="2"/>
  <c r="AB40" i="1"/>
  <c r="AB45" i="1" s="1"/>
  <c r="AB48" i="1" s="1"/>
  <c r="AB36" i="1"/>
  <c r="T16" i="1"/>
  <c r="AG14" i="2"/>
  <c r="U35" i="2"/>
  <c r="Q34" i="1"/>
  <c r="U20" i="1"/>
  <c r="U15" i="1"/>
  <c r="U16" i="1" s="1"/>
  <c r="AD14" i="1"/>
  <c r="AH20" i="2"/>
  <c r="AD39" i="1"/>
  <c r="AE44" i="1"/>
  <c r="AF44" i="1" s="1"/>
  <c r="S41" i="1"/>
  <c r="P51" i="1" l="1"/>
  <c r="P53" i="1"/>
  <c r="U40" i="2" s="1"/>
  <c r="T17" i="1"/>
  <c r="T21" i="1"/>
  <c r="U17" i="1"/>
  <c r="U21" i="1"/>
  <c r="U27" i="1" s="1"/>
  <c r="AD15" i="1"/>
  <c r="AD20" i="1"/>
  <c r="AE14" i="1"/>
  <c r="S33" i="1"/>
  <c r="S34" i="1" s="1"/>
  <c r="S35" i="1" s="1"/>
  <c r="S40" i="1" s="1"/>
  <c r="S45" i="1" s="1"/>
  <c r="S28" i="1"/>
  <c r="T27" i="1"/>
  <c r="AB53" i="1"/>
  <c r="AC22" i="2"/>
  <c r="AC24" i="2" s="1"/>
  <c r="AB19" i="2"/>
  <c r="AB21" i="2" s="1"/>
  <c r="AC16" i="2"/>
  <c r="AC19" i="2" s="1"/>
  <c r="AC21" i="2" s="1"/>
  <c r="Q35" i="1"/>
  <c r="AC34" i="1"/>
  <c r="AH15" i="2" s="1"/>
  <c r="AH16" i="2" s="1"/>
  <c r="AH19" i="2" s="1"/>
  <c r="AH21" i="2" s="1"/>
  <c r="AG15" i="2"/>
  <c r="AG16" i="2" s="1"/>
  <c r="AG19" i="2" s="1"/>
  <c r="AG21" i="2" s="1"/>
  <c r="R33" i="1"/>
  <c r="R34" i="1" s="1"/>
  <c r="R35" i="1" s="1"/>
  <c r="R40" i="1" s="1"/>
  <c r="R45" i="1" s="1"/>
  <c r="R46" i="1" s="1"/>
  <c r="R28" i="1"/>
  <c r="AG44" i="1"/>
  <c r="AH44" i="1" s="1"/>
  <c r="AE39" i="1"/>
  <c r="T41" i="1"/>
  <c r="AF14" i="1" l="1"/>
  <c r="AE20" i="1"/>
  <c r="AD21" i="1"/>
  <c r="R48" i="1"/>
  <c r="R53" i="1" s="1"/>
  <c r="AC35" i="1"/>
  <c r="Q40" i="1"/>
  <c r="Q45" i="1" s="1"/>
  <c r="Q46" i="1" s="1"/>
  <c r="U33" i="1"/>
  <c r="U34" i="1" s="1"/>
  <c r="U35" i="1" s="1"/>
  <c r="U40" i="1" s="1"/>
  <c r="U28" i="1"/>
  <c r="T33" i="1"/>
  <c r="T34" i="1" s="1"/>
  <c r="T28" i="1"/>
  <c r="AD27" i="1"/>
  <c r="AD16" i="1"/>
  <c r="AD17" i="1" s="1"/>
  <c r="AE15" i="1"/>
  <c r="AF39" i="1"/>
  <c r="AI44" i="1"/>
  <c r="AJ44" i="1" s="1"/>
  <c r="AK44" i="1" s="1"/>
  <c r="S46" i="1"/>
  <c r="U41" i="1"/>
  <c r="AD24" i="1" l="1"/>
  <c r="AG14" i="1"/>
  <c r="AF20" i="1"/>
  <c r="R51" i="1"/>
  <c r="U45" i="1"/>
  <c r="U46" i="1" s="1"/>
  <c r="U48" i="1" s="1"/>
  <c r="U51" i="1" s="1"/>
  <c r="T35" i="1"/>
  <c r="AD34" i="1"/>
  <c r="AE16" i="1"/>
  <c r="AF15" i="1"/>
  <c r="Q48" i="1"/>
  <c r="AC46" i="1"/>
  <c r="AC36" i="1"/>
  <c r="AC40" i="1"/>
  <c r="AC45" i="1" s="1"/>
  <c r="AD33" i="1"/>
  <c r="AD28" i="1"/>
  <c r="AD41" i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L44" i="1"/>
  <c r="AM44" i="1" s="1"/>
  <c r="S48" i="1"/>
  <c r="AG39" i="1"/>
  <c r="AH14" i="1" l="1"/>
  <c r="AG20" i="1"/>
  <c r="AE17" i="1"/>
  <c r="AE21" i="1"/>
  <c r="U53" i="1"/>
  <c r="AC48" i="1"/>
  <c r="AG22" i="2"/>
  <c r="AG24" i="2" s="1"/>
  <c r="Q51" i="1"/>
  <c r="AC51" i="1" s="1"/>
  <c r="Q53" i="1"/>
  <c r="U41" i="2" s="1"/>
  <c r="AF16" i="1"/>
  <c r="AG15" i="1"/>
  <c r="T40" i="1"/>
  <c r="T45" i="1" s="1"/>
  <c r="T46" i="1" s="1"/>
  <c r="AD35" i="1"/>
  <c r="S51" i="1"/>
  <c r="S53" i="1"/>
  <c r="AH39" i="1"/>
  <c r="AN44" i="1"/>
  <c r="AO44" i="1" s="1"/>
  <c r="AP44" i="1" s="1"/>
  <c r="AF17" i="1" l="1"/>
  <c r="AF21" i="1"/>
  <c r="AI14" i="1"/>
  <c r="AH20" i="1"/>
  <c r="AG16" i="1"/>
  <c r="AH15" i="1"/>
  <c r="AD36" i="1"/>
  <c r="AD40" i="1"/>
  <c r="AD45" i="1" s="1"/>
  <c r="T48" i="1"/>
  <c r="AD46" i="1"/>
  <c r="D10" i="3"/>
  <c r="AC53" i="1"/>
  <c r="AH22" i="2"/>
  <c r="AH24" i="2" s="1"/>
  <c r="AI39" i="1"/>
  <c r="AG17" i="1" l="1"/>
  <c r="AG21" i="1"/>
  <c r="AG27" i="1" s="1"/>
  <c r="AG33" i="1" s="1"/>
  <c r="AJ14" i="1"/>
  <c r="AI20" i="1"/>
  <c r="AD48" i="1"/>
  <c r="E10" i="3" s="1"/>
  <c r="T51" i="1"/>
  <c r="AD51" i="1" s="1"/>
  <c r="T53" i="1"/>
  <c r="AI15" i="1"/>
  <c r="AH16" i="1"/>
  <c r="AJ39" i="1"/>
  <c r="AK14" i="1" l="1"/>
  <c r="AJ20" i="1"/>
  <c r="AD53" i="1"/>
  <c r="AH17" i="1"/>
  <c r="AH21" i="1"/>
  <c r="AH27" i="1" s="1"/>
  <c r="AH33" i="1" s="1"/>
  <c r="AJ15" i="1"/>
  <c r="AI16" i="1"/>
  <c r="AK39" i="1"/>
  <c r="AL14" i="1" l="1"/>
  <c r="AK20" i="1"/>
  <c r="AI17" i="1"/>
  <c r="AI21" i="1"/>
  <c r="AI27" i="1" s="1"/>
  <c r="AI33" i="1" s="1"/>
  <c r="AK15" i="1"/>
  <c r="AJ16" i="1"/>
  <c r="AL39" i="1"/>
  <c r="AJ17" i="1" l="1"/>
  <c r="AJ21" i="1"/>
  <c r="AJ27" i="1" s="1"/>
  <c r="AJ33" i="1" s="1"/>
  <c r="AM14" i="1"/>
  <c r="AL20" i="1"/>
  <c r="AL15" i="1"/>
  <c r="AK16" i="1"/>
  <c r="AM39" i="1"/>
  <c r="AK17" i="1" l="1"/>
  <c r="AK21" i="1"/>
  <c r="AK27" i="1" s="1"/>
  <c r="AK33" i="1" s="1"/>
  <c r="AN14" i="1"/>
  <c r="AM20" i="1"/>
  <c r="AM15" i="1"/>
  <c r="AL16" i="1"/>
  <c r="AN39" i="1"/>
  <c r="AL17" i="1" l="1"/>
  <c r="AL21" i="1"/>
  <c r="AL27" i="1" s="1"/>
  <c r="AL33" i="1" s="1"/>
  <c r="AO14" i="1"/>
  <c r="AN20" i="1"/>
  <c r="AN15" i="1"/>
  <c r="AM16" i="1"/>
  <c r="AO39" i="1"/>
  <c r="AM17" i="1" l="1"/>
  <c r="AM21" i="1"/>
  <c r="AM27" i="1" s="1"/>
  <c r="AM33" i="1" s="1"/>
  <c r="AP14" i="1"/>
  <c r="AP20" i="1" s="1"/>
  <c r="AO20" i="1"/>
  <c r="AO15" i="1"/>
  <c r="AN16" i="1"/>
  <c r="AP39" i="1"/>
  <c r="AN17" i="1" l="1"/>
  <c r="AN21" i="1"/>
  <c r="AN27" i="1" s="1"/>
  <c r="AN33" i="1" s="1"/>
  <c r="AP15" i="1"/>
  <c r="AP16" i="1" s="1"/>
  <c r="AP21" i="1" s="1"/>
  <c r="AP27" i="1" s="1"/>
  <c r="AP33" i="1" s="1"/>
  <c r="AO16" i="1"/>
  <c r="AO17" i="1" l="1"/>
  <c r="AO21" i="1"/>
  <c r="AO27" i="1" s="1"/>
  <c r="AO33" i="1" s="1"/>
  <c r="AP17" i="1"/>
  <c r="E52" i="1"/>
  <c r="E53" i="1" s="1"/>
  <c r="E50" i="1" l="1"/>
  <c r="E51" i="1" s="1"/>
  <c r="Z51" i="1" s="1"/>
  <c r="Z50" i="1" l="1"/>
  <c r="P24" i="2" l="1"/>
  <c r="P25" i="2" s="1"/>
  <c r="AG34" i="1" l="1"/>
  <c r="AG35" i="1" s="1"/>
  <c r="AH28" i="1"/>
  <c r="AG40" i="1" l="1"/>
  <c r="AG45" i="1" s="1"/>
  <c r="AI28" i="1"/>
  <c r="AH34" i="1"/>
  <c r="AH35" i="1" s="1"/>
  <c r="AI34" i="1" l="1"/>
  <c r="AI35" i="1" s="1"/>
  <c r="AJ28" i="1"/>
  <c r="AH40" i="1"/>
  <c r="AH45" i="1" s="1"/>
  <c r="AG46" i="1"/>
  <c r="AG48" i="1" s="1"/>
  <c r="AG51" i="1" l="1"/>
  <c r="H10" i="3"/>
  <c r="AG53" i="1"/>
  <c r="AI40" i="1"/>
  <c r="AI45" i="1" s="1"/>
  <c r="AH46" i="1"/>
  <c r="AH48" i="1" s="1"/>
  <c r="AJ34" i="1"/>
  <c r="AJ35" i="1" s="1"/>
  <c r="AK28" i="1"/>
  <c r="AJ40" i="1" l="1"/>
  <c r="AJ45" i="1" s="1"/>
  <c r="AH53" i="1"/>
  <c r="AH51" i="1"/>
  <c r="I10" i="3"/>
  <c r="AL28" i="1"/>
  <c r="AK34" i="1"/>
  <c r="AK35" i="1" s="1"/>
  <c r="AI46" i="1"/>
  <c r="AI48" i="1" s="1"/>
  <c r="AK40" i="1" l="1"/>
  <c r="AK45" i="1" s="1"/>
  <c r="J10" i="3"/>
  <c r="AI51" i="1"/>
  <c r="AI53" i="1"/>
  <c r="AM28" i="1"/>
  <c r="AL34" i="1"/>
  <c r="AL35" i="1" s="1"/>
  <c r="AJ46" i="1"/>
  <c r="AJ48" i="1" s="1"/>
  <c r="AJ51" i="1" l="1"/>
  <c r="AJ53" i="1"/>
  <c r="K10" i="3"/>
  <c r="AM34" i="1"/>
  <c r="AM35" i="1" s="1"/>
  <c r="AN28" i="1"/>
  <c r="AL40" i="1"/>
  <c r="AL45" i="1" s="1"/>
  <c r="AK46" i="1"/>
  <c r="AK48" i="1" s="1"/>
  <c r="AK53" i="1" l="1"/>
  <c r="AK51" i="1"/>
  <c r="L10" i="3"/>
  <c r="AO28" i="1"/>
  <c r="AN34" i="1"/>
  <c r="AN35" i="1" s="1"/>
  <c r="AM40" i="1"/>
  <c r="AM45" i="1" s="1"/>
  <c r="AL46" i="1"/>
  <c r="AL48" i="1" s="1"/>
  <c r="AN40" i="1" l="1"/>
  <c r="AN45" i="1" s="1"/>
  <c r="AL51" i="1"/>
  <c r="M10" i="3"/>
  <c r="AL53" i="1"/>
  <c r="AP28" i="1"/>
  <c r="AO34" i="1"/>
  <c r="AO35" i="1" s="1"/>
  <c r="AM46" i="1"/>
  <c r="AM48" i="1" s="1"/>
  <c r="N10" i="3" l="1"/>
  <c r="AM51" i="1"/>
  <c r="AM53" i="1"/>
  <c r="AP34" i="1"/>
  <c r="AP35" i="1" s="1"/>
  <c r="AO40" i="1"/>
  <c r="AO45" i="1" s="1"/>
  <c r="AN46" i="1"/>
  <c r="AN48" i="1" s="1"/>
  <c r="AP40" i="1" l="1"/>
  <c r="AP45" i="1" s="1"/>
  <c r="AN51" i="1"/>
  <c r="O10" i="3"/>
  <c r="AN53" i="1"/>
  <c r="AO46" i="1"/>
  <c r="AO48" i="1" s="1"/>
  <c r="AO51" i="1" l="1"/>
  <c r="AO53" i="1"/>
  <c r="P10" i="3"/>
  <c r="AP46" i="1"/>
  <c r="AP48" i="1" s="1"/>
  <c r="AP51" i="1" l="1"/>
  <c r="AP53" i="1"/>
  <c r="Q10" i="3"/>
  <c r="AF27" i="1"/>
  <c r="AF33" i="1" s="1"/>
  <c r="AE27" i="1"/>
  <c r="AE28" i="1" s="1"/>
  <c r="AF28" i="1" l="1"/>
  <c r="AE33" i="1"/>
  <c r="AF34" i="1"/>
  <c r="AF35" i="1" s="1"/>
  <c r="AF40" i="1" s="1"/>
  <c r="AF45" i="1" s="1"/>
  <c r="AG28" i="1"/>
  <c r="AE34" i="1" l="1"/>
  <c r="AE35" i="1" s="1"/>
  <c r="AE40" i="1" s="1"/>
  <c r="AE45" i="1" s="1"/>
  <c r="AF46" i="1"/>
  <c r="AF48" i="1" s="1"/>
  <c r="AE46" i="1" l="1"/>
  <c r="AE48" i="1" s="1"/>
  <c r="AF51" i="1"/>
  <c r="AF53" i="1"/>
  <c r="G10" i="3"/>
  <c r="AE51" i="1" l="1"/>
  <c r="F10" i="3"/>
  <c r="C20" i="3" s="1"/>
  <c r="C21" i="3" s="1"/>
  <c r="C22" i="3" s="1"/>
  <c r="P22" i="2" s="1"/>
  <c r="P23" i="2" s="1"/>
  <c r="AE53" i="1"/>
  <c r="U1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tc={B28B7AEB-E9FE-4F40-BCCF-CA29F7DD49A5}</author>
    <author>tc={B7C882ED-C1B7-D44A-804C-193076E42D35}</author>
    <author>tc={871FE465-6264-0A48-AA2B-74C17331640C}</author>
    <author>tc={DDEE84BE-031D-054A-B47D-CADF3F953F3A}</author>
  </authors>
  <commentList>
    <comment ref="N26" authorId="0" shapeId="0" xr:uid="{B28B7AEB-E9FE-4F40-BCCF-CA29F7DD49A5}">
      <text>
        <t>[Threaded comment]
Your version of Excel allows you to read this threaded comment; however, any edits to it will get removed if the file is opened in a newer version of Excel. Learn more: https://go.microsoft.com/fwlink/?linkid=870924
Comment:
    1 Jan 22 Amendment to Licensing Agreement with Hanmi Pharmaceutical for mid-single digit royalty fee of net sales.</t>
      </text>
    </comment>
    <comment ref="AF26" authorId="1" shapeId="0" xr:uid="{B7C882ED-C1B7-D44A-804C-193076E42D35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Supplemental Royalty for mid-single digit fee of net sales terminating at a total of $10m</t>
      </text>
    </comment>
    <comment ref="AO27" authorId="2" shapeId="0" xr:uid="{871FE465-6264-0A48-AA2B-74C17331640C}">
      <text>
        <t>[Threaded comment]
Your version of Excel allows you to read this threaded comment; however, any edits to it will get removed if the file is opened in a newer version of Excel. Learn more: https://go.microsoft.com/fwlink/?linkid=870924
Comment:
    Patents for Eflapegastim Expires through 2035. Extension thereafter possible.</t>
      </text>
    </comment>
    <comment ref="M43" authorId="3" shapeId="0" xr:uid="{DDEE84BE-031D-054A-B47D-CADF3F953F3A}">
      <text>
        <t>[Threaded comment]
Your version of Excel allows you to read this threaded comment; however, any edits to it will get removed if the file is opened in a newer version of Excel. Learn more: https://go.microsoft.com/fwlink/?linkid=870924
Comment:
    23 Sep 8K 
SLR Loan Facility
30M utilized
+15M Expected in March 2022
5.70% + SOFR (2.30% Floor)</t>
      </text>
    </comment>
  </commentList>
</comments>
</file>

<file path=xl/sharedStrings.xml><?xml version="1.0" encoding="utf-8"?>
<sst xmlns="http://schemas.openxmlformats.org/spreadsheetml/2006/main" count="279" uniqueCount="221">
  <si>
    <t>EBIT</t>
  </si>
  <si>
    <t>SG&amp;A</t>
  </si>
  <si>
    <t>R&amp;D</t>
  </si>
  <si>
    <t>Interest Income</t>
  </si>
  <si>
    <t>Other Expense</t>
  </si>
  <si>
    <t>Tax</t>
  </si>
  <si>
    <t>Income from Discontinued</t>
  </si>
  <si>
    <t>Net Cash</t>
  </si>
  <si>
    <t>Cash Beginning</t>
  </si>
  <si>
    <t>Cash End</t>
  </si>
  <si>
    <t>Shares</t>
  </si>
  <si>
    <t>FY20</t>
  </si>
  <si>
    <t>FY21</t>
  </si>
  <si>
    <t>FY19</t>
  </si>
  <si>
    <t>Total Operating Expense</t>
  </si>
  <si>
    <t>4Q22</t>
  </si>
  <si>
    <t>1Q23</t>
  </si>
  <si>
    <t>2Q23</t>
  </si>
  <si>
    <t>3Q23</t>
  </si>
  <si>
    <t>4Q23</t>
  </si>
  <si>
    <t>1Q24</t>
  </si>
  <si>
    <t>3Q24</t>
  </si>
  <si>
    <t>4Q24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</si>
  <si>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</si>
  <si>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</si>
  <si>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</si>
  <si>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</si>
  <si>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</si>
  <si>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</si>
  <si>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</si>
  <si>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</si>
  <si>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</si>
  <si>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</si>
  <si>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</si>
  <si>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</si>
  <si>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FY35</t>
  </si>
  <si>
    <t>FY34</t>
  </si>
  <si>
    <t>Preclinical</t>
  </si>
  <si>
    <t>Phase 1</t>
  </si>
  <si>
    <t>Phase 2</t>
  </si>
  <si>
    <t>Phase 3</t>
  </si>
  <si>
    <t>Approved</t>
  </si>
  <si>
    <t>Chemotherapy Induced Neutropenia (RECOVER &amp; ADVANCED)</t>
  </si>
  <si>
    <t>Same-day dosing</t>
  </si>
  <si>
    <t>Pediatric Patients with myelosupressive chenotherapy</t>
  </si>
  <si>
    <t>Spectrum Pharmaceuticals Inc.</t>
  </si>
  <si>
    <t>Previous treated EGFR exon 20 mutation positive NSCLC</t>
  </si>
  <si>
    <t>Previous treated HER2 exon 20 mutation positive NSCLC</t>
  </si>
  <si>
    <t xml:space="preserve">Treatment naïve EGFR exon 20 mutation positive NSCLC </t>
  </si>
  <si>
    <t xml:space="preserve">Treatment naïve HER2 exon 20 mutation positive NSCLC </t>
  </si>
  <si>
    <t>Previously first-line osimertinib treated NSCLC with acquired EGFR mutations (exploratory)</t>
  </si>
  <si>
    <t>Poziotinib           (TKI Treatment for Solid Tumors)</t>
  </si>
  <si>
    <t>ROLVEDON (eflapegrastim-xnst)</t>
  </si>
  <si>
    <t>NASDAQGM: (SPPI)</t>
  </si>
  <si>
    <t>Previously treated atypical EGFR or HER2 mutation positive NSCLC (Exploratory)</t>
  </si>
  <si>
    <t>2Q24</t>
  </si>
  <si>
    <t>Revenue Build</t>
  </si>
  <si>
    <t>ROLVEDON Revenues</t>
  </si>
  <si>
    <t>ROLVEDON Treatment Cost</t>
  </si>
  <si>
    <t>Hanmi Pharmaceutical Royalty</t>
  </si>
  <si>
    <t>FY36</t>
  </si>
  <si>
    <t>Total Revenues</t>
  </si>
  <si>
    <t>Cost of Goods Sold</t>
  </si>
  <si>
    <t>Gross Income</t>
  </si>
  <si>
    <t>Gross Margin</t>
  </si>
  <si>
    <t>$ in Thousands</t>
  </si>
  <si>
    <t>Model</t>
  </si>
  <si>
    <t>EBT</t>
  </si>
  <si>
    <t>Net Income</t>
  </si>
  <si>
    <t>% Growth Y/Y</t>
  </si>
  <si>
    <t>Basic Shares</t>
  </si>
  <si>
    <t>Basic EPS</t>
  </si>
  <si>
    <t>Diluted EPS</t>
  </si>
  <si>
    <t>Diluted Shares</t>
  </si>
  <si>
    <t>rNPV Valuation</t>
  </si>
  <si>
    <t>Fundamentals</t>
  </si>
  <si>
    <t>Last</t>
  </si>
  <si>
    <t>Cash</t>
  </si>
  <si>
    <t>Debt</t>
  </si>
  <si>
    <t>Market Cap</t>
  </si>
  <si>
    <t>Earnings</t>
  </si>
  <si>
    <t>Discount</t>
  </si>
  <si>
    <t>Terminal</t>
  </si>
  <si>
    <t>Enterprise Value</t>
  </si>
  <si>
    <t>Equity Value</t>
  </si>
  <si>
    <t>Price Target</t>
  </si>
  <si>
    <t>rNPV per Share</t>
  </si>
  <si>
    <t>Main</t>
  </si>
  <si>
    <t>rNPV &amp; DCF Valuation</t>
  </si>
  <si>
    <t>US: Pharmaceutical</t>
  </si>
  <si>
    <t>Valuation</t>
  </si>
  <si>
    <t>DCF NPV per Share</t>
  </si>
  <si>
    <t>Upside</t>
  </si>
  <si>
    <t>Stock Data</t>
  </si>
  <si>
    <t>Price</t>
  </si>
  <si>
    <t>Exchange</t>
  </si>
  <si>
    <t>52-Week High</t>
  </si>
  <si>
    <t>52-Week Low</t>
  </si>
  <si>
    <t>Enterprise Value (M)</t>
  </si>
  <si>
    <t>Market Cap (M)</t>
  </si>
  <si>
    <t>Method</t>
  </si>
  <si>
    <t>Short Interest (m)</t>
  </si>
  <si>
    <t>Balance Sheet Metrics</t>
  </si>
  <si>
    <t>NASDAQ</t>
  </si>
  <si>
    <t>rNPV</t>
  </si>
  <si>
    <t>3 Month Avg Volume (m)</t>
  </si>
  <si>
    <t>Cash (m)</t>
  </si>
  <si>
    <t>Total Debt (m)</t>
  </si>
  <si>
    <t>Total Cash/Share</t>
  </si>
  <si>
    <t>Book Value/Share</t>
  </si>
  <si>
    <t>Revenue (m)</t>
  </si>
  <si>
    <t>Full Year - Dec</t>
  </si>
  <si>
    <t>2022E</t>
  </si>
  <si>
    <t>2023E</t>
  </si>
  <si>
    <t>2021A</t>
  </si>
  <si>
    <t>1Q</t>
  </si>
  <si>
    <t>2Q</t>
  </si>
  <si>
    <t>3Q</t>
  </si>
  <si>
    <t>4Q</t>
  </si>
  <si>
    <t>EPS ($) Diluted</t>
  </si>
  <si>
    <t>Shares Outstanding (m)</t>
  </si>
  <si>
    <t>Income Statement</t>
  </si>
  <si>
    <t>FY Dec 31</t>
  </si>
  <si>
    <t>$ in Thousands Except Per Share Data</t>
  </si>
  <si>
    <t>FY21A</t>
  </si>
  <si>
    <t>1Q22A</t>
  </si>
  <si>
    <t>2Q22A</t>
  </si>
  <si>
    <t>4Q22E</t>
  </si>
  <si>
    <t>1Q23E</t>
  </si>
  <si>
    <t>FY23E</t>
  </si>
  <si>
    <t>2Q23E</t>
  </si>
  <si>
    <t>3Q23E</t>
  </si>
  <si>
    <t>4Q23E</t>
  </si>
  <si>
    <t>FY22E</t>
  </si>
  <si>
    <t>Gross Profit</t>
  </si>
  <si>
    <t>Research &amp; Development</t>
  </si>
  <si>
    <t>Selling, General, and Administrative</t>
  </si>
  <si>
    <t>Net Interest Income</t>
  </si>
  <si>
    <t>Basic Shares Outstanding</t>
  </si>
  <si>
    <t>Legal Disclosure</t>
  </si>
  <si>
    <t>Contact</t>
  </si>
  <si>
    <t>research@whiteskycapital.com</t>
  </si>
  <si>
    <t>Interest Expense</t>
  </si>
  <si>
    <t>Effective Rate (SOFR+5.70%)</t>
  </si>
  <si>
    <t>Depreciation &amp; Amortization</t>
  </si>
  <si>
    <t>SBC</t>
  </si>
  <si>
    <t>Consolidated Balance Sheet</t>
  </si>
  <si>
    <t>Cash &amp; Cash Equivalents</t>
  </si>
  <si>
    <t>Marketable Securities</t>
  </si>
  <si>
    <t>Other Receivables</t>
  </si>
  <si>
    <t>Inventories</t>
  </si>
  <si>
    <t>Prepaid Expenses &amp; Other Current Assets</t>
  </si>
  <si>
    <t>Total Current Assets</t>
  </si>
  <si>
    <t>Net PPE</t>
  </si>
  <si>
    <t>Facillity &amp; Equipment under lease</t>
  </si>
  <si>
    <t>Other Assets</t>
  </si>
  <si>
    <t>Total Assets</t>
  </si>
  <si>
    <t>Accounts Payable &amp; Other Accrued Liabilities</t>
  </si>
  <si>
    <t>Accrued Payroll &amp; Benefits</t>
  </si>
  <si>
    <t>Total Current Liabilties</t>
  </si>
  <si>
    <t>Loans Payable Long-term</t>
  </si>
  <si>
    <t>Other Long-term Liabilities</t>
  </si>
  <si>
    <t>Total Liabilities</t>
  </si>
  <si>
    <t>Common Stock</t>
  </si>
  <si>
    <t>Additional Paid in Capital</t>
  </si>
  <si>
    <t>Accumulated Other Comprehensive Loss</t>
  </si>
  <si>
    <t>Accumulated Deficit</t>
  </si>
  <si>
    <t>Total SE</t>
  </si>
  <si>
    <t>Total SE &amp; Liabilities</t>
  </si>
  <si>
    <t>Check</t>
  </si>
  <si>
    <t>Consolidated Statement of Cash Flows</t>
  </si>
  <si>
    <t>Non-cash Lease Expense</t>
  </si>
  <si>
    <t>Other Non-cash Items</t>
  </si>
  <si>
    <t>Loss on Disposal of Assets</t>
  </si>
  <si>
    <t>Gain on Sale of Equity Investments</t>
  </si>
  <si>
    <t>Unrealized loss on Equity Investments</t>
  </si>
  <si>
    <t>Other Recievables</t>
  </si>
  <si>
    <t>Cash Flows from Operating Activities</t>
  </si>
  <si>
    <t>Maturities of Investments</t>
  </si>
  <si>
    <t>Sale of Equity Investments</t>
  </si>
  <si>
    <t>Purchase of Investments</t>
  </si>
  <si>
    <t>Purchase of PPE</t>
  </si>
  <si>
    <t>Cash Flows from Investing Activities</t>
  </si>
  <si>
    <t>Issuance of Common Shares to Hanmi Pharmaceutical CO.</t>
  </si>
  <si>
    <t>Net Cash from Financing Activities</t>
  </si>
  <si>
    <t>Effect of FX Rates</t>
  </si>
  <si>
    <t>Accounts Payable &amp; Other Current Liabilities</t>
  </si>
  <si>
    <t>Proceeds from Exercise of Stock Options</t>
  </si>
  <si>
    <t>Amortization of Debt Discount</t>
  </si>
  <si>
    <t>Net Proceeds from Issuance of Debt</t>
  </si>
  <si>
    <t xml:space="preserve">P&amp;L GAAP </t>
  </si>
  <si>
    <t>Doses</t>
  </si>
  <si>
    <t>3Q22A</t>
  </si>
  <si>
    <r>
      <rPr>
        <b/>
        <sz val="10"/>
        <color theme="1"/>
        <rFont val="Calibri"/>
        <family val="2"/>
        <scheme val="minor"/>
      </rPr>
      <t>ROLVEDON</t>
    </r>
    <r>
      <rPr>
        <sz val="10"/>
        <color theme="1"/>
        <rFont val="Calibri"/>
        <family val="2"/>
        <scheme val="minor"/>
      </rPr>
      <t>: Treatment for Severe Febrile Neutropenia</t>
    </r>
  </si>
  <si>
    <t>TAM Market Share %</t>
  </si>
  <si>
    <t>Neulasta (Amgen)</t>
  </si>
  <si>
    <t>Pegfilgrastim Sales (Neulasta &amp; Generics)</t>
  </si>
  <si>
    <t>Generic (Estimate at 40% TAM)</t>
  </si>
  <si>
    <t>Pegfilgrastim Total Adressable Market</t>
  </si>
  <si>
    <t>Y/Y</t>
  </si>
  <si>
    <t>Average Sale Price</t>
  </si>
  <si>
    <t>Treatments</t>
  </si>
  <si>
    <t>ROLVEDON Build</t>
  </si>
  <si>
    <t>Cash Equivalents</t>
  </si>
  <si>
    <t>Balance</t>
  </si>
  <si>
    <t>Interest Rate</t>
  </si>
  <si>
    <t>1 Month SOFR</t>
  </si>
  <si>
    <t>Accounts Recievable</t>
  </si>
  <si>
    <t>Loss on Disposal of Manufacturing Equipment</t>
  </si>
  <si>
    <t>Net Proceeds from Sale of Commons Shares under At-the-Market Agreement</t>
  </si>
  <si>
    <t>1Q20A</t>
  </si>
  <si>
    <t>2Q20A</t>
  </si>
  <si>
    <t>3Q20A</t>
  </si>
  <si>
    <t>4Q20A</t>
  </si>
  <si>
    <t>1Q21A</t>
  </si>
  <si>
    <t>2Q21A</t>
  </si>
  <si>
    <t>3Q21A</t>
  </si>
  <si>
    <t>4Q21A</t>
  </si>
  <si>
    <t>CRL</t>
  </si>
  <si>
    <t>Indication</t>
  </si>
  <si>
    <t>4Q22A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</si>
</sst>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"/>
    <numFmt numFmtId="165" formatCode="0.0%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Helvetica Light"/>
    </font>
    <font>
      <sz val="10"/>
      <color theme="1"/>
      <name val="Helvetica Light"/>
    </font>
    <font>
      <b/>
      <sz val="10"/>
      <color theme="1"/>
      <name val="Helvetica Light"/>
    </font>
    <font>
      <b/>
      <i/>
      <sz val="14"/>
      <color theme="1"/>
      <name val="Helvetica Light"/>
    </font>
    <font>
      <u/>
      <sz val="10"/>
      <color theme="10"/>
      <name val="Helvetica Light"/>
    </font>
    <font>
      <sz val="24"/>
      <color theme="1"/>
      <name val="Libre Baskerville"/>
    </font>
    <font>
      <sz val="14"/>
      <color theme="1"/>
      <name val="Libre Baskerville"/>
    </font>
    <font>
      <b/>
      <i/>
      <sz val="18"/>
      <color theme="1"/>
      <name val="Helvetica Light"/>
    </font>
    <font>
      <sz val="18"/>
      <color theme="1"/>
      <name val="Helvetica Light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D352B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</cellStyleXfs>
  <cellXfs count="113">
    <xf numFmtId="0" fontId="0" fillId="0" borderId="0" xfId="0"/>
    <xf numFmtId="0" fontId="4" fillId="2" borderId="0" xfId="0" applyFont="1" applyFill="1"/>
    <xf numFmtId="0" fontId="5" fillId="2" borderId="14" xfId="0" applyFont="1" applyFill="1" applyBorder="1"/>
    <xf numFmtId="0" fontId="5" fillId="2" borderId="16" xfId="0" applyFont="1" applyFill="1" applyBorder="1"/>
    <xf numFmtId="1" fontId="4" fillId="2" borderId="0" xfId="0" applyNumberFormat="1" applyFont="1" applyFill="1"/>
    <xf numFmtId="0" fontId="5" fillId="2" borderId="11" xfId="0" applyFont="1" applyFill="1" applyBorder="1"/>
    <xf numFmtId="0" fontId="5" fillId="2" borderId="12" xfId="0" applyFont="1" applyFill="1" applyBorder="1"/>
    <xf numFmtId="0" fontId="4" fillId="2" borderId="14" xfId="0" applyFont="1" applyFill="1" applyBorder="1"/>
    <xf numFmtId="0" fontId="4" fillId="2" borderId="19" xfId="0" applyFont="1" applyFill="1" applyBorder="1"/>
    <xf numFmtId="0" fontId="4" fillId="2" borderId="17" xfId="0" applyFont="1" applyFill="1" applyBorder="1"/>
    <xf numFmtId="0" fontId="3" fillId="2" borderId="0" xfId="0" applyFont="1" applyFill="1"/>
    <xf numFmtId="0" fontId="6" fillId="2" borderId="0" xfId="0" applyFont="1" applyFill="1"/>
    <xf numFmtId="0" fontId="5" fillId="2" borderId="0" xfId="0" applyFont="1" applyFill="1"/>
    <xf numFmtId="0" fontId="7" fillId="2" borderId="0" xfId="2" applyFont="1" applyFill="1"/>
    <xf numFmtId="1" fontId="4" fillId="2" borderId="20" xfId="0" applyNumberFormat="1" applyFont="1" applyFill="1" applyBorder="1"/>
    <xf numFmtId="1" fontId="4" fillId="2" borderId="18" xfId="0" applyNumberFormat="1" applyFont="1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2" borderId="6" xfId="0" applyFont="1" applyFill="1" applyBorder="1"/>
    <xf numFmtId="0" fontId="4" fillId="3" borderId="0" xfId="0" applyFont="1" applyFill="1"/>
    <xf numFmtId="0" fontId="4" fillId="3" borderId="5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8" fontId="4" fillId="2" borderId="20" xfId="0" applyNumberFormat="1" applyFont="1" applyFill="1" applyBorder="1"/>
    <xf numFmtId="8" fontId="4" fillId="2" borderId="16" xfId="0" applyNumberFormat="1" applyFont="1" applyFill="1" applyBorder="1"/>
    <xf numFmtId="9" fontId="4" fillId="2" borderId="20" xfId="1" applyFont="1" applyFill="1" applyBorder="1"/>
    <xf numFmtId="9" fontId="4" fillId="2" borderId="18" xfId="1" applyFont="1" applyFill="1" applyBorder="1"/>
    <xf numFmtId="0" fontId="4" fillId="2" borderId="13" xfId="0" applyFont="1" applyFill="1" applyBorder="1"/>
    <xf numFmtId="8" fontId="4" fillId="2" borderId="20" xfId="0" applyNumberFormat="1" applyFont="1" applyFill="1" applyBorder="1" applyAlignment="1">
      <alignment horizontal="right"/>
    </xf>
    <xf numFmtId="0" fontId="4" fillId="2" borderId="20" xfId="0" applyFont="1" applyFill="1" applyBorder="1" applyAlignment="1">
      <alignment horizontal="right"/>
    </xf>
    <xf numFmtId="6" fontId="4" fillId="2" borderId="20" xfId="0" applyNumberFormat="1" applyFont="1" applyFill="1" applyBorder="1" applyAlignment="1">
      <alignment horizontal="right"/>
    </xf>
    <xf numFmtId="0" fontId="4" fillId="2" borderId="18" xfId="0" applyFont="1" applyFill="1" applyBorder="1" applyAlignment="1">
      <alignment horizontal="right"/>
    </xf>
    <xf numFmtId="0" fontId="4" fillId="2" borderId="8" xfId="0" applyFont="1" applyFill="1" applyBorder="1"/>
    <xf numFmtId="0" fontId="4" fillId="2" borderId="9" xfId="0" applyFont="1" applyFill="1" applyBorder="1"/>
    <xf numFmtId="2" fontId="4" fillId="2" borderId="20" xfId="0" applyNumberFormat="1" applyFont="1" applyFill="1" applyBorder="1"/>
    <xf numFmtId="2" fontId="4" fillId="2" borderId="0" xfId="0" applyNumberFormat="1" applyFont="1" applyFill="1"/>
    <xf numFmtId="2" fontId="4" fillId="2" borderId="10" xfId="0" applyNumberFormat="1" applyFont="1" applyFill="1" applyBorder="1"/>
    <xf numFmtId="2" fontId="4" fillId="2" borderId="18" xfId="0" applyNumberFormat="1" applyFont="1" applyFill="1" applyBorder="1"/>
    <xf numFmtId="1" fontId="4" fillId="2" borderId="20" xfId="0" applyNumberFormat="1" applyFont="1" applyFill="1" applyBorder="1" applyAlignment="1">
      <alignment horizontal="right"/>
    </xf>
    <xf numFmtId="0" fontId="5" fillId="2" borderId="13" xfId="0" applyFont="1" applyFill="1" applyBorder="1"/>
    <xf numFmtId="1" fontId="4" fillId="2" borderId="8" xfId="0" applyNumberFormat="1" applyFont="1" applyFill="1" applyBorder="1"/>
    <xf numFmtId="2" fontId="4" fillId="2" borderId="9" xfId="0" applyNumberFormat="1" applyFont="1" applyFill="1" applyBorder="1"/>
    <xf numFmtId="1" fontId="4" fillId="2" borderId="7" xfId="0" applyNumberFormat="1" applyFont="1" applyFill="1" applyBorder="1"/>
    <xf numFmtId="0" fontId="4" fillId="2" borderId="12" xfId="0" applyFont="1" applyFill="1" applyBorder="1" applyAlignment="1">
      <alignment horizontal="center"/>
    </xf>
    <xf numFmtId="0" fontId="9" fillId="2" borderId="0" xfId="0" applyFont="1" applyFill="1" applyAlignment="1">
      <alignment vertical="center"/>
    </xf>
    <xf numFmtId="0" fontId="10" fillId="2" borderId="0" xfId="0" applyFont="1" applyFill="1"/>
    <xf numFmtId="0" fontId="11" fillId="2" borderId="0" xfId="0" applyFont="1" applyFill="1"/>
    <xf numFmtId="0" fontId="8" fillId="2" borderId="0" xfId="0" applyFont="1" applyFill="1" applyAlignment="1">
      <alignment vertical="center"/>
    </xf>
    <xf numFmtId="0" fontId="2" fillId="2" borderId="0" xfId="2" applyFill="1"/>
    <xf numFmtId="0" fontId="13" fillId="0" borderId="0" xfId="0" applyFont="1" applyAlignment="1">
      <alignment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2" applyFont="1" applyFill="1" applyBorder="1"/>
    <xf numFmtId="14" fontId="16" fillId="0" borderId="0" xfId="0" applyNumberFormat="1" applyFont="1"/>
    <xf numFmtId="14" fontId="14" fillId="0" borderId="0" xfId="0" applyNumberFormat="1" applyFont="1"/>
    <xf numFmtId="1" fontId="14" fillId="0" borderId="0" xfId="0" applyNumberFormat="1" applyFont="1"/>
    <xf numFmtId="0" fontId="18" fillId="0" borderId="0" xfId="0" applyFont="1"/>
    <xf numFmtId="9" fontId="18" fillId="0" borderId="0" xfId="0" applyNumberFormat="1" applyFont="1"/>
    <xf numFmtId="9" fontId="18" fillId="0" borderId="0" xfId="1" applyFont="1" applyFill="1" applyBorder="1"/>
    <xf numFmtId="9" fontId="14" fillId="0" borderId="0" xfId="1" applyFont="1" applyFill="1" applyBorder="1"/>
    <xf numFmtId="0" fontId="14" fillId="0" borderId="0" xfId="1" applyNumberFormat="1" applyFont="1" applyFill="1" applyBorder="1"/>
    <xf numFmtId="1" fontId="16" fillId="0" borderId="0" xfId="0" applyNumberFormat="1" applyFont="1"/>
    <xf numFmtId="1" fontId="18" fillId="0" borderId="0" xfId="0" applyNumberFormat="1" applyFont="1"/>
    <xf numFmtId="9" fontId="14" fillId="0" borderId="0" xfId="0" applyNumberFormat="1" applyFont="1"/>
    <xf numFmtId="10" fontId="14" fillId="0" borderId="0" xfId="1" applyNumberFormat="1" applyFont="1" applyFill="1" applyBorder="1"/>
    <xf numFmtId="2" fontId="14" fillId="0" borderId="0" xfId="0" applyNumberFormat="1" applyFont="1"/>
    <xf numFmtId="0" fontId="16" fillId="4" borderId="0" xfId="0" applyFont="1" applyFill="1"/>
    <xf numFmtId="1" fontId="16" fillId="4" borderId="0" xfId="0" applyNumberFormat="1" applyFont="1" applyFill="1"/>
    <xf numFmtId="9" fontId="16" fillId="4" borderId="0" xfId="1" applyFont="1" applyFill="1" applyBorder="1"/>
    <xf numFmtId="14" fontId="16" fillId="4" borderId="0" xfId="0" applyNumberFormat="1" applyFont="1" applyFill="1"/>
    <xf numFmtId="0" fontId="5" fillId="2" borderId="21" xfId="0" applyFont="1" applyFill="1" applyBorder="1"/>
    <xf numFmtId="1" fontId="4" fillId="2" borderId="22" xfId="0" applyNumberFormat="1" applyFont="1" applyFill="1" applyBorder="1"/>
    <xf numFmtId="1" fontId="4" fillId="2" borderId="23" xfId="0" applyNumberFormat="1" applyFont="1" applyFill="1" applyBorder="1"/>
    <xf numFmtId="1" fontId="4" fillId="2" borderId="24" xfId="0" applyNumberFormat="1" applyFont="1" applyFill="1" applyBorder="1"/>
    <xf numFmtId="8" fontId="5" fillId="2" borderId="20" xfId="0" applyNumberFormat="1" applyFont="1" applyFill="1" applyBorder="1" applyAlignment="1">
      <alignment horizontal="right"/>
    </xf>
    <xf numFmtId="0" fontId="13" fillId="2" borderId="0" xfId="0" applyFont="1" applyFill="1" applyAlignment="1">
      <alignment vertical="center"/>
    </xf>
    <xf numFmtId="0" fontId="14" fillId="2" borderId="0" xfId="0" applyFont="1" applyFill="1"/>
    <xf numFmtId="0" fontId="19" fillId="2" borderId="0" xfId="0" applyFont="1" applyFill="1"/>
    <xf numFmtId="0" fontId="16" fillId="2" borderId="16" xfId="0" applyFont="1" applyFill="1" applyBorder="1"/>
    <xf numFmtId="0" fontId="16" fillId="2" borderId="14" xfId="0" applyFont="1" applyFill="1" applyBorder="1"/>
    <xf numFmtId="0" fontId="16" fillId="2" borderId="15" xfId="0" applyFont="1" applyFill="1" applyBorder="1"/>
    <xf numFmtId="14" fontId="16" fillId="2" borderId="18" xfId="0" applyNumberFormat="1" applyFont="1" applyFill="1" applyBorder="1"/>
    <xf numFmtId="0" fontId="16" fillId="2" borderId="17" xfId="0" applyFont="1" applyFill="1" applyBorder="1"/>
    <xf numFmtId="0" fontId="16" fillId="2" borderId="10" xfId="0" applyFont="1" applyFill="1" applyBorder="1"/>
    <xf numFmtId="0" fontId="16" fillId="2" borderId="18" xfId="0" applyFont="1" applyFill="1" applyBorder="1"/>
    <xf numFmtId="0" fontId="16" fillId="2" borderId="0" xfId="0" applyFont="1" applyFill="1"/>
    <xf numFmtId="0" fontId="16" fillId="2" borderId="11" xfId="0" applyFont="1" applyFill="1" applyBorder="1"/>
    <xf numFmtId="0" fontId="16" fillId="2" borderId="12" xfId="0" applyFont="1" applyFill="1" applyBorder="1"/>
    <xf numFmtId="0" fontId="14" fillId="2" borderId="14" xfId="0" applyFont="1" applyFill="1" applyBorder="1"/>
    <xf numFmtId="9" fontId="14" fillId="2" borderId="16" xfId="0" applyNumberFormat="1" applyFont="1" applyFill="1" applyBorder="1"/>
    <xf numFmtId="0" fontId="14" fillId="2" borderId="19" xfId="0" applyFont="1" applyFill="1" applyBorder="1"/>
    <xf numFmtId="9" fontId="14" fillId="2" borderId="20" xfId="0" applyNumberFormat="1" applyFont="1" applyFill="1" applyBorder="1"/>
    <xf numFmtId="6" fontId="14" fillId="2" borderId="20" xfId="0" applyNumberFormat="1" applyFont="1" applyFill="1" applyBorder="1"/>
    <xf numFmtId="0" fontId="14" fillId="2" borderId="17" xfId="0" applyFont="1" applyFill="1" applyBorder="1"/>
    <xf numFmtId="8" fontId="14" fillId="2" borderId="18" xfId="0" applyNumberFormat="1" applyFont="1" applyFill="1" applyBorder="1"/>
    <xf numFmtId="164" fontId="14" fillId="0" borderId="0" xfId="0" applyNumberFormat="1" applyFont="1"/>
    <xf numFmtId="9" fontId="14" fillId="0" borderId="0" xfId="1" applyFont="1"/>
    <xf numFmtId="0" fontId="0" fillId="0" borderId="0" xfId="0" quotePrefix="1"/>
    <xf numFmtId="15" fontId="5" fillId="2" borderId="13" xfId="0" applyNumberFormat="1" applyFont="1" applyFill="1" applyBorder="1" applyAlignment="1">
      <alignment horizontal="right"/>
    </xf>
    <xf numFmtId="15" fontId="5" fillId="2" borderId="12" xfId="0" applyNumberFormat="1" applyFont="1" applyFill="1" applyBorder="1" applyAlignment="1">
      <alignment horizontal="right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right" vertical="center" wrapText="1"/>
    </xf>
    <xf numFmtId="0" fontId="5" fillId="5" borderId="0" xfId="0" applyFont="1" applyFill="1" applyAlignment="1">
      <alignment horizontal="right" vertical="center" wrapText="1"/>
    </xf>
    <xf numFmtId="165" fontId="18" fillId="0" borderId="0" xfId="0" applyNumberFormat="1" applyFont="1"/>
  </cellXfs>
  <cellStyles count="4">
    <cellStyle name="Hyperlink" xfId="2" builtinId="8"/>
    <cellStyle name="Normal" xfId="0" builtinId="0"/>
    <cellStyle name="Normal 2" xfId="3" xr:uid="{78275D35-75C1-3543-9E49-74364BF784DD}"/>
    <cellStyle name="Percent" xfId="1" builtinId="5"/>
  </cellStyles>
  <dxfs count="0"/>
  <tableStyles count="0" defaultTableStyle="TableStyleMedium2" defaultPivotStyle="PivotStyleLight16"/>
  <colors>
    <mruColors>
      <color rgb="FFBD352B"/>
      <color rgb="FFFF4B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6742FA5F-9945-2E44-A229-64009F45C2D3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6" dT="2022-09-15T03:56:24.07" personId="{6742FA5F-9945-2E44-A229-64009F45C2D3}" id="{B28B7AEB-E9FE-4F40-BCCF-CA29F7DD49A5}">
    <text>1 Jan 22 Amendment to Licensing Agreement with Hanmi Pharmaceutical for mid-single digit royalty fee of net sales.</text>
  </threadedComment>
  <threadedComment ref="AF26" dT="2022-09-15T03:57:43.11" personId="{6742FA5F-9945-2E44-A229-64009F45C2D3}" id="{B7C882ED-C1B7-D44A-804C-193076E42D35}">
    <text>Supplemental Royalty for mid-single digit fee of net sales terminating at a total of $10m</text>
  </threadedComment>
  <threadedComment ref="AO27" dT="2022-09-15T04:28:02.85" personId="{6742FA5F-9945-2E44-A229-64009F45C2D3}" id="{871FE465-6264-0A48-AA2B-74C17331640C}">
    <text>Patents for Eflapegastim Expires through 2035. Extension thereafter possible.</text>
  </threadedComment>
  <threadedComment ref="M43" dT="2022-09-29T14:59:16.96" personId="{6742FA5F-9945-2E44-A229-64009F45C2D3}" id="{DDEE84BE-031D-054A-B47D-CADF3F953F3A}">
    <text>23 Sep 8K 
SLR Loan Facility
30M utilized
+15M Expected in March 2022
5.70% + SOFR (2.30% Floor)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esearch@whiteskycapita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C659-74D0-5E44-A487-A1B8CAC30901}">
  <dimension ref="B4:B20"/>
  <sheetViews>
    <sheetView workbookViewId="0">
      <selection activeCell="B4" sqref="B4"/>
    </sheetView>
  </sheetViews>
  <sheetFormatPr baseColWidth="10" defaultRowHeight="16"/>
  <cols>
    <col min="1" max="16384" width="10.83203125" style="10"/>
  </cols>
  <sheetData>
    <row r="4" spans="2:2" ht="31">
      <c r="B4" s="50"/>
    </row>
    <row r="6" spans="2:2" s="49" customFormat="1" ht="23">
      <c r="B6" s="48" t="s">
        <v>45</v>
      </c>
    </row>
    <row r="7" spans="2:2">
      <c r="B7" s="10" t="s">
        <v>53</v>
      </c>
    </row>
    <row r="8" spans="2:2">
      <c r="B8" s="10" t="s">
        <v>89</v>
      </c>
    </row>
    <row r="10" spans="2:2">
      <c r="B10" s="1" t="s">
        <v>87</v>
      </c>
    </row>
    <row r="11" spans="2:2">
      <c r="B11" s="1" t="s">
        <v>66</v>
      </c>
    </row>
    <row r="12" spans="2:2">
      <c r="B12" s="1" t="s">
        <v>88</v>
      </c>
    </row>
    <row r="13" spans="2:2">
      <c r="B13" s="1" t="s">
        <v>139</v>
      </c>
    </row>
    <row r="19" spans="2:2">
      <c r="B19" s="10" t="s">
        <v>140</v>
      </c>
    </row>
    <row r="20" spans="2:2">
      <c r="B20" s="51" t="s">
        <v>141</v>
      </c>
    </row>
  </sheetData>
  <hyperlinks>
    <hyperlink ref="B20" r:id="rId1" xr:uid="{992A64C4-11E3-7D40-8EC2-C7306039130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1EA4-948C-4749-8743-711A14FA2FEC}">
  <dimension ref="A1:AH41"/>
  <sheetViews>
    <sheetView workbookViewId="0">
      <selection activeCell="E25" sqref="E25"/>
    </sheetView>
  </sheetViews>
  <sheetFormatPr baseColWidth="10" defaultRowHeight="13"/>
  <cols>
    <col min="1" max="2" width="10.83203125" style="1"/>
    <col min="3" max="3" width="15.6640625" style="1" customWidth="1"/>
    <col min="4" max="4" width="39.33203125" style="1" customWidth="1"/>
    <col min="5" max="17" width="10.83203125" style="1"/>
    <col min="18" max="18" width="13.83203125" style="1" customWidth="1"/>
    <col min="19" max="21" width="6.33203125" style="1" customWidth="1"/>
    <col min="22" max="22" width="10.83203125" style="1"/>
    <col min="23" max="23" width="37.1640625" style="1" customWidth="1"/>
    <col min="24" max="34" width="8.6640625" style="1" customWidth="1"/>
    <col min="35" max="16384" width="10.83203125" style="1"/>
  </cols>
  <sheetData>
    <row r="1" spans="1:34" ht="37" customHeight="1">
      <c r="A1" s="47"/>
    </row>
    <row r="2" spans="1:34" ht="18">
      <c r="A2" s="11" t="s">
        <v>45</v>
      </c>
    </row>
    <row r="3" spans="1:34">
      <c r="A3" s="1" t="s">
        <v>53</v>
      </c>
    </row>
    <row r="5" spans="1:34">
      <c r="A5" s="13" t="s">
        <v>66</v>
      </c>
    </row>
    <row r="6" spans="1:34">
      <c r="A6" s="13" t="s">
        <v>88</v>
      </c>
    </row>
    <row r="11" spans="1:34">
      <c r="W11" s="12" t="s">
        <v>121</v>
      </c>
    </row>
    <row r="12" spans="1:34"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W12" s="12" t="s">
        <v>122</v>
      </c>
    </row>
    <row r="13" spans="1:34" ht="16" customHeight="1">
      <c r="C13" s="17"/>
      <c r="D13" s="46" t="s">
        <v>219</v>
      </c>
      <c r="E13" s="17" t="s">
        <v>37</v>
      </c>
      <c r="F13" s="18"/>
      <c r="G13" s="17" t="s">
        <v>38</v>
      </c>
      <c r="H13" s="18"/>
      <c r="I13" s="17" t="s">
        <v>39</v>
      </c>
      <c r="J13" s="18"/>
      <c r="K13" s="17" t="s">
        <v>40</v>
      </c>
      <c r="L13" s="18"/>
      <c r="M13" s="19" t="s">
        <v>41</v>
      </c>
      <c r="O13" s="5" t="s">
        <v>75</v>
      </c>
      <c r="P13" s="6"/>
      <c r="R13" s="5" t="s">
        <v>93</v>
      </c>
      <c r="S13" s="102">
        <v>44820</v>
      </c>
      <c r="T13" s="102"/>
      <c r="U13" s="103"/>
      <c r="W13" s="17" t="s">
        <v>123</v>
      </c>
      <c r="X13" s="19" t="s">
        <v>124</v>
      </c>
      <c r="Y13" s="30" t="s">
        <v>125</v>
      </c>
      <c r="Z13" s="30" t="s">
        <v>126</v>
      </c>
      <c r="AA13" s="30" t="s">
        <v>192</v>
      </c>
      <c r="AB13" s="30" t="s">
        <v>127</v>
      </c>
      <c r="AC13" s="19" t="s">
        <v>133</v>
      </c>
      <c r="AD13" s="30" t="s">
        <v>128</v>
      </c>
      <c r="AE13" s="30" t="s">
        <v>130</v>
      </c>
      <c r="AF13" s="30" t="s">
        <v>131</v>
      </c>
      <c r="AG13" s="30" t="s">
        <v>132</v>
      </c>
      <c r="AH13" s="19" t="s">
        <v>129</v>
      </c>
    </row>
    <row r="14" spans="1:34" ht="16" customHeight="1">
      <c r="C14" s="106" t="s">
        <v>52</v>
      </c>
      <c r="D14" s="104" t="s">
        <v>42</v>
      </c>
      <c r="E14" s="20"/>
      <c r="F14" s="20"/>
      <c r="G14" s="20"/>
      <c r="H14" s="20"/>
      <c r="I14" s="20"/>
      <c r="J14" s="20"/>
      <c r="K14" s="20"/>
      <c r="L14" s="20"/>
      <c r="M14" s="21"/>
      <c r="O14" s="8" t="s">
        <v>76</v>
      </c>
      <c r="P14" s="26">
        <v>0.45</v>
      </c>
      <c r="R14" s="8" t="s">
        <v>94</v>
      </c>
      <c r="U14" s="31">
        <v>0.48</v>
      </c>
      <c r="W14" s="12" t="s">
        <v>57</v>
      </c>
      <c r="X14" s="43"/>
      <c r="Y14" s="4"/>
      <c r="Z14" s="4"/>
      <c r="AA14" s="4"/>
      <c r="AB14" s="4">
        <f>Model!M33</f>
        <v>10114</v>
      </c>
      <c r="AC14" s="45">
        <f>AB14</f>
        <v>10114</v>
      </c>
      <c r="AD14" s="4">
        <f>Model!N33</f>
        <v>19346.999694464841</v>
      </c>
      <c r="AE14" s="4">
        <f>Model!O33</f>
        <v>19482.428692326092</v>
      </c>
      <c r="AF14" s="4">
        <f>Model!P33</f>
        <v>24523.507116465469</v>
      </c>
      <c r="AG14" s="4">
        <f>Model!Q33</f>
        <v>24695.171666280723</v>
      </c>
      <c r="AH14" s="43">
        <f>Model!AC33</f>
        <v>88048.107169537136</v>
      </c>
    </row>
    <row r="15" spans="1:34" ht="16" customHeight="1">
      <c r="C15" s="107"/>
      <c r="D15" s="105"/>
      <c r="E15" s="24"/>
      <c r="F15" s="24"/>
      <c r="G15" s="24"/>
      <c r="H15" s="24"/>
      <c r="I15" s="24"/>
      <c r="J15" s="24"/>
      <c r="K15" s="24"/>
      <c r="L15" s="24"/>
      <c r="M15" s="25"/>
      <c r="O15" s="8" t="s">
        <v>10</v>
      </c>
      <c r="P15" s="14">
        <f>Model!K50</f>
        <v>175.566757</v>
      </c>
      <c r="R15" s="8" t="s">
        <v>95</v>
      </c>
      <c r="U15" s="32" t="s">
        <v>103</v>
      </c>
      <c r="W15" s="1" t="s">
        <v>62</v>
      </c>
      <c r="X15" s="43"/>
      <c r="Y15" s="4"/>
      <c r="Z15" s="4"/>
      <c r="AA15" s="4"/>
      <c r="AB15" s="4">
        <f>Model!AB34</f>
        <v>1792</v>
      </c>
      <c r="AC15" s="43">
        <f>AB15</f>
        <v>1792</v>
      </c>
      <c r="AD15" s="4">
        <f>Model!N34</f>
        <v>1934.6999694464837</v>
      </c>
      <c r="AE15" s="4">
        <f>Model!O34</f>
        <v>1948.2428692326087</v>
      </c>
      <c r="AF15" s="4">
        <f>Model!P34</f>
        <v>2452.3507116465462</v>
      </c>
      <c r="AG15" s="4">
        <f>Model!Q34</f>
        <v>2469.5171666280717</v>
      </c>
      <c r="AH15" s="43">
        <f>Model!AC34</f>
        <v>8804.8107169537107</v>
      </c>
    </row>
    <row r="16" spans="1:34" ht="16" customHeight="1">
      <c r="C16" s="107"/>
      <c r="D16" s="104" t="s">
        <v>43</v>
      </c>
      <c r="E16" s="20"/>
      <c r="F16" s="20"/>
      <c r="G16" s="21"/>
      <c r="O16" s="8" t="s">
        <v>79</v>
      </c>
      <c r="P16" s="14">
        <f>P14*P15*1000</f>
        <v>79005.040649999995</v>
      </c>
      <c r="R16" s="8" t="s">
        <v>85</v>
      </c>
      <c r="U16" s="78">
        <f>'rNPV &amp; DCF Valuation'!C22</f>
        <v>0.9652027203307999</v>
      </c>
      <c r="W16" s="74" t="s">
        <v>134</v>
      </c>
      <c r="X16" s="75"/>
      <c r="Y16" s="76"/>
      <c r="Z16" s="76"/>
      <c r="AA16" s="76"/>
      <c r="AB16" s="76">
        <f>Model!AB35</f>
        <v>8322</v>
      </c>
      <c r="AC16" s="75">
        <f>AB16</f>
        <v>8322</v>
      </c>
      <c r="AD16" s="76">
        <f>AD14-AD15</f>
        <v>17412.299725018358</v>
      </c>
      <c r="AE16" s="76">
        <f>AE14-AE15</f>
        <v>17534.185823093481</v>
      </c>
      <c r="AF16" s="76">
        <f>AF14-AF15</f>
        <v>22071.156404818925</v>
      </c>
      <c r="AG16" s="76">
        <f>AG14-AG15</f>
        <v>22225.65449965265</v>
      </c>
      <c r="AH16" s="77">
        <f>AH14-AH15</f>
        <v>79243.296452583425</v>
      </c>
    </row>
    <row r="17" spans="3:34" ht="16" customHeight="1">
      <c r="C17" s="107"/>
      <c r="D17" s="105"/>
      <c r="E17" s="20"/>
      <c r="F17" s="20"/>
      <c r="G17" s="21"/>
      <c r="O17" s="8" t="s">
        <v>77</v>
      </c>
      <c r="P17" s="14">
        <f>Model!L58+Model!L59</f>
        <v>100252</v>
      </c>
      <c r="R17" s="8" t="s">
        <v>100</v>
      </c>
      <c r="U17" s="32" t="s">
        <v>104</v>
      </c>
      <c r="W17" s="1" t="s">
        <v>135</v>
      </c>
      <c r="X17" s="43">
        <f>Model!AA38</f>
        <v>87297</v>
      </c>
      <c r="Y17" s="4">
        <f>Model!J38</f>
        <v>4193</v>
      </c>
      <c r="Z17" s="4">
        <f>Model!K38</f>
        <v>16007</v>
      </c>
      <c r="AA17" s="4">
        <f>Model!L38</f>
        <v>13335</v>
      </c>
      <c r="AB17" s="4">
        <f>Model!M38</f>
        <v>8669</v>
      </c>
      <c r="AC17" s="43">
        <f>Model!AB38</f>
        <v>42204</v>
      </c>
      <c r="AD17" s="4">
        <f>Model!N38</f>
        <v>4334.5</v>
      </c>
      <c r="AE17" s="4">
        <f>Model!O38</f>
        <v>4377.8450000000003</v>
      </c>
      <c r="AF17" s="4">
        <f>Model!P38</f>
        <v>4421.62345</v>
      </c>
      <c r="AG17" s="4">
        <f>Model!Q38</f>
        <v>4465.8396844999997</v>
      </c>
      <c r="AH17" s="43">
        <f>Model!AC38</f>
        <v>17599.808134499999</v>
      </c>
    </row>
    <row r="18" spans="3:34" ht="16" customHeight="1">
      <c r="C18" s="107"/>
      <c r="D18" s="104" t="s">
        <v>44</v>
      </c>
      <c r="E18" s="22"/>
      <c r="F18" s="22"/>
      <c r="G18" s="22"/>
      <c r="H18" s="22"/>
      <c r="I18" s="23"/>
      <c r="O18" s="8" t="s">
        <v>78</v>
      </c>
      <c r="P18" s="14">
        <v>29000</v>
      </c>
      <c r="R18" s="8" t="s">
        <v>96</v>
      </c>
      <c r="U18" s="31">
        <v>2.5299999999999998</v>
      </c>
      <c r="W18" s="1" t="s">
        <v>136</v>
      </c>
      <c r="X18" s="43">
        <f>Model!AA37</f>
        <v>60406</v>
      </c>
      <c r="Y18" s="4">
        <f>Model!J37</f>
        <v>9870</v>
      </c>
      <c r="Z18" s="4">
        <f>Model!K37</f>
        <v>9385</v>
      </c>
      <c r="AA18" s="4">
        <f>Model!L37</f>
        <v>8263</v>
      </c>
      <c r="AB18" s="4">
        <f>Model!M37</f>
        <v>11298</v>
      </c>
      <c r="AC18" s="43">
        <f>Model!AB37</f>
        <v>38816</v>
      </c>
      <c r="AD18" s="4">
        <f>Model!N37</f>
        <v>12201.84</v>
      </c>
      <c r="AE18" s="4">
        <f>Model!O37</f>
        <v>13177.987200000001</v>
      </c>
      <c r="AF18" s="4">
        <f>Model!P37</f>
        <v>14232.226176000002</v>
      </c>
      <c r="AG18" s="4">
        <f>Model!Q37</f>
        <v>15370.804270080003</v>
      </c>
      <c r="AH18" s="43">
        <f>Model!AC37</f>
        <v>54982.85764608001</v>
      </c>
    </row>
    <row r="19" spans="3:34">
      <c r="C19" s="108"/>
      <c r="D19" s="109"/>
      <c r="E19" s="20"/>
      <c r="F19" s="20"/>
      <c r="G19" s="20"/>
      <c r="H19" s="20"/>
      <c r="I19" s="21"/>
      <c r="O19" s="9" t="s">
        <v>83</v>
      </c>
      <c r="P19" s="15">
        <f>P16+P18-P17</f>
        <v>7753.0406499999954</v>
      </c>
      <c r="R19" s="8" t="s">
        <v>97</v>
      </c>
      <c r="U19" s="31">
        <v>0.3</v>
      </c>
      <c r="W19" s="74" t="s">
        <v>0</v>
      </c>
      <c r="X19" s="75">
        <f t="shared" ref="X19:AH19" si="0">X16-X17-X18</f>
        <v>-147703</v>
      </c>
      <c r="Y19" s="76">
        <f t="shared" si="0"/>
        <v>-14063</v>
      </c>
      <c r="Z19" s="76">
        <f t="shared" si="0"/>
        <v>-25392</v>
      </c>
      <c r="AA19" s="76">
        <f t="shared" si="0"/>
        <v>-21598</v>
      </c>
      <c r="AB19" s="76">
        <f t="shared" si="0"/>
        <v>-11645</v>
      </c>
      <c r="AC19" s="75">
        <f t="shared" si="0"/>
        <v>-72698</v>
      </c>
      <c r="AD19" s="76">
        <f t="shared" si="0"/>
        <v>875.95972501835786</v>
      </c>
      <c r="AE19" s="76">
        <f t="shared" si="0"/>
        <v>-21.646376906521255</v>
      </c>
      <c r="AF19" s="76">
        <f t="shared" si="0"/>
        <v>3417.3067788189237</v>
      </c>
      <c r="AG19" s="76">
        <f t="shared" si="0"/>
        <v>2389.0105450726478</v>
      </c>
      <c r="AH19" s="77">
        <f t="shared" si="0"/>
        <v>6660.630672003419</v>
      </c>
    </row>
    <row r="20" spans="3:34">
      <c r="C20" s="106" t="s">
        <v>51</v>
      </c>
      <c r="D20" s="104" t="s">
        <v>46</v>
      </c>
      <c r="E20" s="22"/>
      <c r="F20" s="22"/>
      <c r="G20" s="22"/>
      <c r="H20" s="22"/>
      <c r="I20" s="22"/>
      <c r="J20" s="23"/>
      <c r="R20" s="8" t="s">
        <v>98</v>
      </c>
      <c r="U20" s="33">
        <f>U21-100+30</f>
        <v>14.272043359999998</v>
      </c>
      <c r="W20" s="1" t="s">
        <v>137</v>
      </c>
      <c r="X20" s="43">
        <f>Model!AA41+Model!AA44</f>
        <v>-10729</v>
      </c>
      <c r="Y20" s="4">
        <f>Model!J41+Model!J44</f>
        <v>-1323</v>
      </c>
      <c r="Z20" s="4">
        <f>Model!K41+Model!K44</f>
        <v>-3640</v>
      </c>
      <c r="AA20" s="4">
        <f>Model!L41+Model!L44</f>
        <v>-315</v>
      </c>
      <c r="AB20" s="4">
        <f>Model!M41+Model!M44</f>
        <v>817</v>
      </c>
      <c r="AC20" s="43">
        <f>Model!AB41+Model!AB44</f>
        <v>-4461</v>
      </c>
      <c r="AD20" s="4">
        <f>Model!N41+Model!N44</f>
        <v>413.69</v>
      </c>
      <c r="AE20" s="4">
        <f>Model!O41+Model!O44</f>
        <v>459.49930000000001</v>
      </c>
      <c r="AF20" s="4">
        <f>Model!P41+Model!P44</f>
        <v>491.90682100000004</v>
      </c>
      <c r="AG20" s="4">
        <f>Model!Q41+Model!Q44</f>
        <v>531.26274136999996</v>
      </c>
      <c r="AH20" s="43">
        <f>Model!AC41+Model!AC44</f>
        <v>1896.35886237</v>
      </c>
    </row>
    <row r="21" spans="3:34">
      <c r="C21" s="107"/>
      <c r="D21" s="109"/>
      <c r="E21" s="20"/>
      <c r="F21" s="20"/>
      <c r="G21" s="20"/>
      <c r="H21" s="20"/>
      <c r="I21" s="20"/>
      <c r="J21" s="21"/>
      <c r="O21" s="2" t="s">
        <v>90</v>
      </c>
      <c r="P21" s="3"/>
      <c r="R21" s="8" t="s">
        <v>99</v>
      </c>
      <c r="U21" s="33">
        <f>U22*U14</f>
        <v>84.272043359999998</v>
      </c>
      <c r="W21" s="74" t="s">
        <v>67</v>
      </c>
      <c r="X21" s="75">
        <f t="shared" ref="X21:AH21" si="1">X19+X20</f>
        <v>-158432</v>
      </c>
      <c r="Y21" s="76">
        <f t="shared" si="1"/>
        <v>-15386</v>
      </c>
      <c r="Z21" s="76">
        <f t="shared" si="1"/>
        <v>-29032</v>
      </c>
      <c r="AA21" s="76">
        <f t="shared" si="1"/>
        <v>-21913</v>
      </c>
      <c r="AB21" s="76">
        <f t="shared" si="1"/>
        <v>-10828</v>
      </c>
      <c r="AC21" s="75">
        <f t="shared" si="1"/>
        <v>-77159</v>
      </c>
      <c r="AD21" s="76">
        <f t="shared" si="1"/>
        <v>1289.6497250183579</v>
      </c>
      <c r="AE21" s="76">
        <f t="shared" si="1"/>
        <v>437.85292309347875</v>
      </c>
      <c r="AF21" s="76">
        <f t="shared" si="1"/>
        <v>3909.2135998189237</v>
      </c>
      <c r="AG21" s="76">
        <f t="shared" si="1"/>
        <v>2920.273286442648</v>
      </c>
      <c r="AH21" s="77">
        <f t="shared" si="1"/>
        <v>8556.9895343734188</v>
      </c>
    </row>
    <row r="22" spans="3:34" ht="13" customHeight="1">
      <c r="C22" s="107"/>
      <c r="D22" s="104" t="s">
        <v>47</v>
      </c>
      <c r="E22" s="110" t="s">
        <v>218</v>
      </c>
      <c r="F22" s="111"/>
      <c r="G22" s="111"/>
      <c r="H22" s="111"/>
      <c r="I22" s="111"/>
      <c r="J22" s="111"/>
      <c r="K22" s="111"/>
      <c r="L22" s="111"/>
      <c r="O22" s="7" t="s">
        <v>86</v>
      </c>
      <c r="P22" s="27">
        <f>'rNPV &amp; DCF Valuation'!C22</f>
        <v>0.9652027203307999</v>
      </c>
      <c r="R22" s="8" t="s">
        <v>120</v>
      </c>
      <c r="U22" s="41">
        <f>P15</f>
        <v>175.566757</v>
      </c>
      <c r="W22" s="12" t="s">
        <v>68</v>
      </c>
      <c r="X22" s="43">
        <f>Model!AA48</f>
        <v>-158628</v>
      </c>
      <c r="Y22" s="4">
        <f>Model!J48</f>
        <v>-15442</v>
      </c>
      <c r="Z22" s="4">
        <f>Model!K48</f>
        <v>-29048</v>
      </c>
      <c r="AA22" s="4">
        <f>Model!L48</f>
        <v>-21925</v>
      </c>
      <c r="AB22" s="4">
        <f>Model!M48</f>
        <v>-8987</v>
      </c>
      <c r="AC22" s="43">
        <f>Model!AB48</f>
        <v>-74501</v>
      </c>
      <c r="AD22" s="4">
        <f>Model!N48</f>
        <v>1278.3997250183579</v>
      </c>
      <c r="AE22" s="4">
        <f>Model!O48</f>
        <v>427.79042309348057</v>
      </c>
      <c r="AF22" s="4">
        <f>Model!P48</f>
        <v>3127.3708798551374</v>
      </c>
      <c r="AG22" s="4">
        <f>Model!Q48</f>
        <v>2336.2186291541184</v>
      </c>
      <c r="AH22" s="43">
        <f>Model!AC48</f>
        <v>7169.7796571211047</v>
      </c>
    </row>
    <row r="23" spans="3:34">
      <c r="C23" s="107"/>
      <c r="D23" s="105"/>
      <c r="E23" s="110"/>
      <c r="F23" s="111"/>
      <c r="G23" s="111"/>
      <c r="H23" s="111"/>
      <c r="I23" s="111"/>
      <c r="J23" s="111"/>
      <c r="K23" s="111"/>
      <c r="L23" s="111"/>
      <c r="O23" s="8" t="s">
        <v>92</v>
      </c>
      <c r="P23" s="28">
        <f>P22/P14-1</f>
        <v>1.1448949340684442</v>
      </c>
      <c r="R23" s="8" t="s">
        <v>105</v>
      </c>
      <c r="U23" s="32">
        <v>3.79</v>
      </c>
      <c r="W23" s="1" t="s">
        <v>138</v>
      </c>
      <c r="X23" s="43">
        <f>Model!AA50</f>
        <v>154.861704</v>
      </c>
      <c r="Y23" s="4">
        <f>Model!J50</f>
        <v>169.73501899999999</v>
      </c>
      <c r="Z23" s="4">
        <f>Model!K50</f>
        <v>175.566757</v>
      </c>
      <c r="AA23" s="4">
        <f>Model!L50</f>
        <v>175.566757</v>
      </c>
      <c r="AB23" s="4">
        <f>Model!M50</f>
        <v>199.539109</v>
      </c>
      <c r="AC23" s="43">
        <f>Model!AB50</f>
        <v>199.539109</v>
      </c>
      <c r="AD23" s="4">
        <f>Model!N50</f>
        <v>199.539109</v>
      </c>
      <c r="AE23" s="4">
        <f>Model!O50</f>
        <v>199.539109</v>
      </c>
      <c r="AF23" s="4">
        <f>Model!P50</f>
        <v>199.539109</v>
      </c>
      <c r="AG23" s="4">
        <f>Model!Q50</f>
        <v>199.539109</v>
      </c>
      <c r="AH23" s="43">
        <f>Model!AD50</f>
        <v>199.539109</v>
      </c>
    </row>
    <row r="24" spans="3:34">
      <c r="C24" s="107"/>
      <c r="D24" s="104" t="s">
        <v>48</v>
      </c>
      <c r="E24" s="22"/>
      <c r="F24" s="22"/>
      <c r="G24" s="22"/>
      <c r="H24" s="22"/>
      <c r="I24" s="22"/>
      <c r="J24" s="23"/>
      <c r="O24" s="8" t="s">
        <v>91</v>
      </c>
      <c r="P24" s="26" t="e">
        <f>'rNPV &amp; DCF Valuation'!#REF!</f>
        <v>#REF!</v>
      </c>
      <c r="R24" s="9" t="s">
        <v>101</v>
      </c>
      <c r="S24" s="16"/>
      <c r="T24" s="16"/>
      <c r="U24" s="34">
        <v>4.05</v>
      </c>
      <c r="W24" s="1" t="s">
        <v>71</v>
      </c>
      <c r="X24" s="44">
        <f t="shared" ref="X24:AH24" si="2">X22/X23/1000</f>
        <v>-1.0243203833014778</v>
      </c>
      <c r="Y24" s="38">
        <f t="shared" si="2"/>
        <v>-9.0977101195599472E-2</v>
      </c>
      <c r="Z24" s="38">
        <f t="shared" si="2"/>
        <v>-0.16545273431233909</v>
      </c>
      <c r="AA24" s="38">
        <f t="shared" si="2"/>
        <v>-0.1248812723698029</v>
      </c>
      <c r="AB24" s="38">
        <f t="shared" si="2"/>
        <v>-4.5038789864497192E-2</v>
      </c>
      <c r="AC24" s="44">
        <f t="shared" si="2"/>
        <v>-0.37336540377154837</v>
      </c>
      <c r="AD24" s="38">
        <f t="shared" si="2"/>
        <v>6.4067627214791159E-3</v>
      </c>
      <c r="AE24" s="38">
        <f t="shared" si="2"/>
        <v>2.1438926195339507E-3</v>
      </c>
      <c r="AF24" s="38">
        <f t="shared" si="2"/>
        <v>1.5672972058099834E-2</v>
      </c>
      <c r="AG24" s="38">
        <f t="shared" si="2"/>
        <v>1.1708073875152557E-2</v>
      </c>
      <c r="AH24" s="44">
        <f t="shared" si="2"/>
        <v>3.5931701274265516E-2</v>
      </c>
    </row>
    <row r="25" spans="3:34">
      <c r="C25" s="107"/>
      <c r="D25" s="105"/>
      <c r="E25" s="24"/>
      <c r="F25" s="24"/>
      <c r="G25" s="24"/>
      <c r="H25" s="24"/>
      <c r="I25" s="24"/>
      <c r="J25" s="25"/>
      <c r="O25" s="9" t="s">
        <v>92</v>
      </c>
      <c r="P25" s="29" t="e">
        <f>P24/P14-1</f>
        <v>#REF!</v>
      </c>
      <c r="R25" s="5" t="s">
        <v>102</v>
      </c>
      <c r="S25" s="42"/>
      <c r="T25" s="42"/>
      <c r="U25" s="6"/>
    </row>
    <row r="26" spans="3:34">
      <c r="C26" s="107"/>
      <c r="D26" s="109" t="s">
        <v>49</v>
      </c>
      <c r="E26" s="22"/>
      <c r="F26" s="22"/>
      <c r="G26" s="22"/>
      <c r="H26" s="22"/>
      <c r="I26" s="22"/>
      <c r="J26" s="23"/>
      <c r="R26" s="8" t="s">
        <v>106</v>
      </c>
      <c r="U26" s="14">
        <f>P17/1000</f>
        <v>100.252</v>
      </c>
    </row>
    <row r="27" spans="3:34">
      <c r="C27" s="107"/>
      <c r="D27" s="109"/>
      <c r="E27" s="24"/>
      <c r="F27" s="24"/>
      <c r="G27" s="24"/>
      <c r="H27" s="24"/>
      <c r="I27" s="24"/>
      <c r="J27" s="25"/>
      <c r="R27" s="8" t="s">
        <v>107</v>
      </c>
      <c r="U27" s="37">
        <f>P18/1000</f>
        <v>29</v>
      </c>
    </row>
    <row r="28" spans="3:34">
      <c r="C28" s="107"/>
      <c r="D28" s="104" t="s">
        <v>50</v>
      </c>
      <c r="E28" s="22"/>
      <c r="F28" s="22"/>
      <c r="G28" s="22"/>
      <c r="H28" s="22"/>
      <c r="I28" s="23"/>
      <c r="R28" s="8" t="s">
        <v>108</v>
      </c>
      <c r="U28" s="37">
        <f>U26/U22</f>
        <v>0.57101926192097974</v>
      </c>
    </row>
    <row r="29" spans="3:34">
      <c r="C29" s="107"/>
      <c r="D29" s="109"/>
      <c r="E29" s="24"/>
      <c r="F29" s="24"/>
      <c r="G29" s="24"/>
      <c r="H29" s="24"/>
      <c r="I29" s="25"/>
      <c r="R29" s="9" t="s">
        <v>109</v>
      </c>
      <c r="S29" s="16"/>
      <c r="T29" s="16"/>
      <c r="U29" s="40">
        <f>(U26-U27)/U22</f>
        <v>0.40583992788566459</v>
      </c>
    </row>
    <row r="30" spans="3:34">
      <c r="C30" s="107"/>
      <c r="D30" s="104" t="s">
        <v>54</v>
      </c>
      <c r="E30" s="22"/>
      <c r="F30" s="22"/>
      <c r="G30" s="22"/>
      <c r="H30" s="22"/>
      <c r="I30" s="23"/>
      <c r="R30" s="5" t="s">
        <v>110</v>
      </c>
      <c r="S30" s="42"/>
      <c r="T30" s="42"/>
      <c r="U30" s="6"/>
    </row>
    <row r="31" spans="3:34">
      <c r="C31" s="108"/>
      <c r="D31" s="105"/>
      <c r="E31" s="24"/>
      <c r="F31" s="24"/>
      <c r="G31" s="24"/>
      <c r="H31" s="24"/>
      <c r="I31" s="25"/>
      <c r="R31" s="19" t="s">
        <v>111</v>
      </c>
      <c r="S31" s="30" t="s">
        <v>114</v>
      </c>
      <c r="T31" s="30" t="s">
        <v>112</v>
      </c>
      <c r="U31" s="18" t="s">
        <v>113</v>
      </c>
    </row>
    <row r="32" spans="3:34">
      <c r="R32" s="35" t="s">
        <v>115</v>
      </c>
      <c r="U32" s="14">
        <f>Model!N33/1000</f>
        <v>19.346999694464841</v>
      </c>
    </row>
    <row r="33" spans="18:21">
      <c r="R33" s="35" t="s">
        <v>116</v>
      </c>
      <c r="U33" s="14">
        <f>Model!O33/1000</f>
        <v>19.482428692326092</v>
      </c>
    </row>
    <row r="34" spans="18:21">
      <c r="R34" s="35" t="s">
        <v>117</v>
      </c>
      <c r="U34" s="14">
        <f>Model!P33/1000</f>
        <v>24.523507116465471</v>
      </c>
    </row>
    <row r="35" spans="18:21">
      <c r="R35" s="35" t="s">
        <v>118</v>
      </c>
      <c r="T35" s="4">
        <f>Model!M33/1000</f>
        <v>10.114000000000001</v>
      </c>
      <c r="U35" s="14">
        <f>Model!Q33/1000</f>
        <v>24.695171666280721</v>
      </c>
    </row>
    <row r="36" spans="18:21">
      <c r="R36" s="5" t="s">
        <v>119</v>
      </c>
      <c r="S36" s="42"/>
      <c r="T36" s="42"/>
      <c r="U36" s="6"/>
    </row>
    <row r="37" spans="18:21">
      <c r="R37" s="19" t="s">
        <v>111</v>
      </c>
      <c r="S37" s="30" t="s">
        <v>114</v>
      </c>
      <c r="T37" s="30" t="s">
        <v>112</v>
      </c>
      <c r="U37" s="18" t="s">
        <v>113</v>
      </c>
    </row>
    <row r="38" spans="18:21">
      <c r="R38" s="35" t="s">
        <v>115</v>
      </c>
      <c r="S38" s="38">
        <f>Model!F53</f>
        <v>-0.24555680754192685</v>
      </c>
      <c r="T38" s="38">
        <f>Model!J53</f>
        <v>-9.0977101195599472E-2</v>
      </c>
      <c r="U38" s="37">
        <f>Model!N53</f>
        <v>6.6636581187742901E-3</v>
      </c>
    </row>
    <row r="39" spans="18:21">
      <c r="R39" s="35" t="s">
        <v>116</v>
      </c>
      <c r="S39" s="38">
        <f>Model!G53</f>
        <v>-0.32292515723148091</v>
      </c>
      <c r="T39" s="38">
        <f>Model!K53</f>
        <v>-0.16545273431233909</v>
      </c>
      <c r="U39" s="37">
        <f>Model!O53</f>
        <v>2.2187636124373581E-3</v>
      </c>
    </row>
    <row r="40" spans="18:21">
      <c r="R40" s="35" t="s">
        <v>117</v>
      </c>
      <c r="S40" s="38">
        <f>Model!H53</f>
        <v>-0.20773340663485332</v>
      </c>
      <c r="T40" s="38">
        <f>Model!L53</f>
        <v>-0.12124395375709018</v>
      </c>
      <c r="U40" s="37">
        <f>Model!P53</f>
        <v>1.6139619925822572E-2</v>
      </c>
    </row>
    <row r="41" spans="18:21">
      <c r="R41" s="36" t="s">
        <v>118</v>
      </c>
      <c r="S41" s="39">
        <f>Model!I53</f>
        <v>-0.25644816616508365</v>
      </c>
      <c r="T41" s="39">
        <f>Model!M53</f>
        <v>-4.8250076381971617E-2</v>
      </c>
      <c r="U41" s="40">
        <f>Model!Q53</f>
        <v>1.1996687226453256E-2</v>
      </c>
    </row>
  </sheetData>
  <mergeCells count="13">
    <mergeCell ref="S13:U13"/>
    <mergeCell ref="D30:D31"/>
    <mergeCell ref="C20:C31"/>
    <mergeCell ref="C14:C19"/>
    <mergeCell ref="D14:D15"/>
    <mergeCell ref="D16:D17"/>
    <mergeCell ref="D18:D19"/>
    <mergeCell ref="D20:D21"/>
    <mergeCell ref="D22:D23"/>
    <mergeCell ref="D24:D25"/>
    <mergeCell ref="D26:D27"/>
    <mergeCell ref="D28:D29"/>
    <mergeCell ref="E22:L23"/>
  </mergeCells>
  <hyperlinks>
    <hyperlink ref="A5" location="Model!A1" display="Model" xr:uid="{F04C4936-DBB9-604B-A240-B10D2F2FDAF7}"/>
    <hyperlink ref="A6" location="'rNPV &amp; DCF Valuation'!A1" display="rNPV &amp; DCF Valuation" xr:uid="{DB82229C-B16D-E64F-AFDE-D2287B14DD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AE67-9409-174E-A824-8F0542D19AD8}">
  <dimension ref="A1:AP126"/>
  <sheetViews>
    <sheetView zoomScale="125" workbookViewId="0">
      <pane xSplit="1" ySplit="9" topLeftCell="G40" activePane="bottomRight" state="frozen"/>
      <selection pane="topRight" activeCell="B1" sqref="B1"/>
      <selection pane="bottomLeft" activeCell="A4" sqref="A4"/>
      <selection pane="bottomRight" activeCell="M51" sqref="M51"/>
    </sheetView>
  </sheetViews>
  <sheetFormatPr baseColWidth="10" defaultRowHeight="14" outlineLevelCol="2"/>
  <cols>
    <col min="1" max="1" width="35.6640625" style="53" customWidth="1"/>
    <col min="2" max="9" width="10.83203125" style="53" customWidth="1" outlineLevel="2"/>
    <col min="10" max="11" width="10.83203125" style="53" customWidth="1" outlineLevel="1"/>
    <col min="12" max="13" width="10.83203125" style="53" customWidth="1" outlineLevel="2"/>
    <col min="14" max="14" width="10.6640625" style="53" customWidth="1" outlineLevel="2"/>
    <col min="15" max="15" width="10.83203125" style="53" customWidth="1" outlineLevel="2"/>
    <col min="16" max="17" width="9.6640625" style="53" customWidth="1" outlineLevel="2"/>
    <col min="18" max="21" width="10.83203125" style="53" customWidth="1" outlineLevel="2"/>
    <col min="22" max="25" width="10.83203125" style="53" customWidth="1"/>
    <col min="26" max="16384" width="10.83203125" style="53"/>
  </cols>
  <sheetData>
    <row r="1" spans="1:42" ht="33" customHeight="1">
      <c r="A1" s="52"/>
    </row>
    <row r="2" spans="1:42" s="54" customFormat="1">
      <c r="A2" s="54" t="s">
        <v>45</v>
      </c>
    </row>
    <row r="3" spans="1:42">
      <c r="A3" s="53" t="s">
        <v>53</v>
      </c>
    </row>
    <row r="4" spans="1:42">
      <c r="A4" s="55"/>
    </row>
    <row r="5" spans="1:42">
      <c r="A5" s="56" t="s">
        <v>87</v>
      </c>
    </row>
    <row r="6" spans="1:42">
      <c r="A6" s="56" t="s">
        <v>88</v>
      </c>
    </row>
    <row r="8" spans="1:42">
      <c r="A8" s="53" t="s">
        <v>66</v>
      </c>
      <c r="B8" s="55" t="s">
        <v>210</v>
      </c>
      <c r="C8" s="55" t="s">
        <v>211</v>
      </c>
      <c r="D8" s="55" t="s">
        <v>212</v>
      </c>
      <c r="E8" s="55" t="s">
        <v>213</v>
      </c>
      <c r="F8" s="55" t="s">
        <v>214</v>
      </c>
      <c r="G8" s="55" t="s">
        <v>215</v>
      </c>
      <c r="H8" s="55" t="s">
        <v>216</v>
      </c>
      <c r="I8" s="55" t="s">
        <v>217</v>
      </c>
      <c r="J8" s="55" t="s">
        <v>125</v>
      </c>
      <c r="K8" s="55" t="s">
        <v>126</v>
      </c>
      <c r="L8" s="55" t="s">
        <v>192</v>
      </c>
      <c r="M8" s="55" t="s">
        <v>220</v>
      </c>
      <c r="N8" s="55" t="s">
        <v>16</v>
      </c>
      <c r="O8" s="55" t="s">
        <v>17</v>
      </c>
      <c r="P8" s="55" t="s">
        <v>18</v>
      </c>
      <c r="Q8" s="55" t="s">
        <v>19</v>
      </c>
      <c r="R8" s="55" t="s">
        <v>20</v>
      </c>
      <c r="S8" s="55" t="s">
        <v>55</v>
      </c>
      <c r="T8" s="55" t="s">
        <v>21</v>
      </c>
      <c r="U8" s="55" t="s">
        <v>22</v>
      </c>
      <c r="Y8" s="55" t="s">
        <v>13</v>
      </c>
      <c r="Z8" s="55" t="s">
        <v>11</v>
      </c>
      <c r="AA8" s="55" t="s">
        <v>12</v>
      </c>
      <c r="AB8" s="55" t="s">
        <v>23</v>
      </c>
      <c r="AC8" s="55" t="s">
        <v>24</v>
      </c>
      <c r="AD8" s="55" t="s">
        <v>25</v>
      </c>
      <c r="AE8" s="55" t="s">
        <v>26</v>
      </c>
      <c r="AF8" s="55" t="s">
        <v>27</v>
      </c>
      <c r="AG8" s="55" t="s">
        <v>28</v>
      </c>
      <c r="AH8" s="55" t="s">
        <v>29</v>
      </c>
      <c r="AI8" s="55" t="s">
        <v>30</v>
      </c>
      <c r="AJ8" s="55" t="s">
        <v>31</v>
      </c>
      <c r="AK8" s="55" t="s">
        <v>32</v>
      </c>
      <c r="AL8" s="55" t="s">
        <v>33</v>
      </c>
      <c r="AM8" s="55" t="s">
        <v>34</v>
      </c>
      <c r="AN8" s="55" t="s">
        <v>36</v>
      </c>
      <c r="AO8" s="55" t="s">
        <v>35</v>
      </c>
      <c r="AP8" s="55" t="s">
        <v>60</v>
      </c>
    </row>
    <row r="9" spans="1:42">
      <c r="A9" s="53" t="s">
        <v>65</v>
      </c>
      <c r="B9" s="57">
        <v>43921</v>
      </c>
      <c r="C9" s="57">
        <v>44012</v>
      </c>
      <c r="D9" s="57">
        <v>44104</v>
      </c>
      <c r="E9" s="57">
        <v>44196</v>
      </c>
      <c r="F9" s="57">
        <f>B9+365</f>
        <v>44286</v>
      </c>
      <c r="G9" s="57">
        <f t="shared" ref="G9:Q9" si="0">C9+365</f>
        <v>44377</v>
      </c>
      <c r="H9" s="57">
        <f t="shared" si="0"/>
        <v>44469</v>
      </c>
      <c r="I9" s="57">
        <f t="shared" si="0"/>
        <v>44561</v>
      </c>
      <c r="J9" s="57">
        <f t="shared" si="0"/>
        <v>44651</v>
      </c>
      <c r="K9" s="57">
        <f t="shared" si="0"/>
        <v>44742</v>
      </c>
      <c r="L9" s="57">
        <f t="shared" si="0"/>
        <v>44834</v>
      </c>
      <c r="M9" s="57">
        <f t="shared" si="0"/>
        <v>44926</v>
      </c>
      <c r="N9" s="57">
        <f t="shared" si="0"/>
        <v>45016</v>
      </c>
      <c r="O9" s="57">
        <f t="shared" si="0"/>
        <v>45107</v>
      </c>
      <c r="P9" s="57">
        <f t="shared" si="0"/>
        <v>45199</v>
      </c>
      <c r="Q9" s="57">
        <f t="shared" si="0"/>
        <v>45291</v>
      </c>
      <c r="R9" s="57">
        <f>N9+366</f>
        <v>45382</v>
      </c>
      <c r="S9" s="57">
        <f t="shared" ref="S9:U9" si="1">O9+366</f>
        <v>45473</v>
      </c>
      <c r="T9" s="57">
        <f t="shared" si="1"/>
        <v>45565</v>
      </c>
      <c r="U9" s="57">
        <f t="shared" si="1"/>
        <v>45657</v>
      </c>
      <c r="Y9" s="55">
        <v>2019</v>
      </c>
      <c r="Z9" s="55">
        <f>Y9+1</f>
        <v>2020</v>
      </c>
      <c r="AA9" s="55">
        <f t="shared" ref="AA9:AP9" si="2">Z9+1</f>
        <v>2021</v>
      </c>
      <c r="AB9" s="55">
        <f t="shared" si="2"/>
        <v>2022</v>
      </c>
      <c r="AC9" s="55">
        <f t="shared" si="2"/>
        <v>2023</v>
      </c>
      <c r="AD9" s="55">
        <f t="shared" si="2"/>
        <v>2024</v>
      </c>
      <c r="AE9" s="55">
        <f t="shared" si="2"/>
        <v>2025</v>
      </c>
      <c r="AF9" s="55">
        <f t="shared" si="2"/>
        <v>2026</v>
      </c>
      <c r="AG9" s="55">
        <f t="shared" si="2"/>
        <v>2027</v>
      </c>
      <c r="AH9" s="55">
        <f t="shared" si="2"/>
        <v>2028</v>
      </c>
      <c r="AI9" s="55">
        <f t="shared" si="2"/>
        <v>2029</v>
      </c>
      <c r="AJ9" s="55">
        <f t="shared" si="2"/>
        <v>2030</v>
      </c>
      <c r="AK9" s="55">
        <f t="shared" si="2"/>
        <v>2031</v>
      </c>
      <c r="AL9" s="55">
        <f t="shared" si="2"/>
        <v>2032</v>
      </c>
      <c r="AM9" s="55">
        <f t="shared" si="2"/>
        <v>2033</v>
      </c>
      <c r="AN9" s="55">
        <f t="shared" si="2"/>
        <v>2034</v>
      </c>
      <c r="AO9" s="55">
        <f t="shared" si="2"/>
        <v>2035</v>
      </c>
      <c r="AP9" s="55">
        <f t="shared" si="2"/>
        <v>2036</v>
      </c>
    </row>
    <row r="10" spans="1:42" s="70" customFormat="1">
      <c r="A10" s="70" t="s">
        <v>56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</row>
    <row r="11" spans="1:42">
      <c r="A11" s="53" t="s">
        <v>193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</row>
    <row r="12" spans="1:42"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</row>
    <row r="13" spans="1:42">
      <c r="A13" s="55" t="s">
        <v>196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</row>
    <row r="14" spans="1:42">
      <c r="A14" s="53" t="s">
        <v>195</v>
      </c>
      <c r="B14" s="53">
        <v>609000</v>
      </c>
      <c r="C14" s="53">
        <v>593000</v>
      </c>
      <c r="D14" s="53">
        <v>555000</v>
      </c>
      <c r="E14" s="53">
        <v>536000</v>
      </c>
      <c r="F14" s="53">
        <v>482000</v>
      </c>
      <c r="G14" s="53">
        <v>486000</v>
      </c>
      <c r="H14" s="53">
        <v>415000</v>
      </c>
      <c r="I14" s="53">
        <v>351000</v>
      </c>
      <c r="J14" s="53">
        <v>348000</v>
      </c>
      <c r="K14" s="53">
        <v>310000</v>
      </c>
      <c r="L14" s="53">
        <f>K14*(1-0.03)</f>
        <v>300700</v>
      </c>
      <c r="M14" s="59">
        <f>L14*(1.007)</f>
        <v>302804.89999999997</v>
      </c>
      <c r="N14" s="59">
        <f t="shared" ref="N14:U14" si="3">M14*(1.007)</f>
        <v>304924.53429999994</v>
      </c>
      <c r="O14" s="59">
        <f t="shared" si="3"/>
        <v>307059.00604009989</v>
      </c>
      <c r="P14" s="59">
        <f t="shared" si="3"/>
        <v>309208.41908238054</v>
      </c>
      <c r="Q14" s="59">
        <f t="shared" si="3"/>
        <v>311372.87801595719</v>
      </c>
      <c r="R14" s="59">
        <f t="shared" si="3"/>
        <v>313552.48816206888</v>
      </c>
      <c r="S14" s="59">
        <f t="shared" si="3"/>
        <v>315747.35557920334</v>
      </c>
      <c r="T14" s="59">
        <f t="shared" si="3"/>
        <v>317957.58706825774</v>
      </c>
      <c r="U14" s="59">
        <f t="shared" si="3"/>
        <v>320183.2901777355</v>
      </c>
      <c r="Y14" s="53">
        <v>3221000</v>
      </c>
      <c r="Z14" s="53">
        <f>SUM(B14:E14)</f>
        <v>2293000</v>
      </c>
      <c r="AA14" s="53">
        <f>SUM(F14:I14)</f>
        <v>1734000</v>
      </c>
      <c r="AB14" s="53">
        <f>SUM(J14:M14)</f>
        <v>1261504.8999999999</v>
      </c>
      <c r="AC14" s="59">
        <f>SUM(N14:Q14)</f>
        <v>1232564.8374384376</v>
      </c>
      <c r="AD14" s="59">
        <f>SUM(R14:U14)</f>
        <v>1267440.7209872655</v>
      </c>
      <c r="AE14" s="59">
        <f>AD14*0.99</f>
        <v>1254766.3137773927</v>
      </c>
      <c r="AF14" s="59">
        <f t="shared" ref="AF14:AP14" si="4">AE14*0.99</f>
        <v>1242218.6506396187</v>
      </c>
      <c r="AG14" s="59">
        <f t="shared" si="4"/>
        <v>1229796.4641332226</v>
      </c>
      <c r="AH14" s="59">
        <f t="shared" si="4"/>
        <v>1217498.4994918904</v>
      </c>
      <c r="AI14" s="59">
        <f t="shared" si="4"/>
        <v>1205323.5144969716</v>
      </c>
      <c r="AJ14" s="59">
        <f t="shared" si="4"/>
        <v>1193270.2793520018</v>
      </c>
      <c r="AK14" s="59">
        <f t="shared" si="4"/>
        <v>1181337.5765584819</v>
      </c>
      <c r="AL14" s="59">
        <f t="shared" si="4"/>
        <v>1169524.200792897</v>
      </c>
      <c r="AM14" s="59">
        <f t="shared" si="4"/>
        <v>1157828.9587849681</v>
      </c>
      <c r="AN14" s="59">
        <f t="shared" si="4"/>
        <v>1146250.6691971184</v>
      </c>
      <c r="AO14" s="59">
        <f t="shared" si="4"/>
        <v>1134788.1625051473</v>
      </c>
      <c r="AP14" s="59">
        <f t="shared" si="4"/>
        <v>1123440.2808800959</v>
      </c>
    </row>
    <row r="15" spans="1:42">
      <c r="A15" s="53" t="s">
        <v>197</v>
      </c>
      <c r="K15" s="59">
        <f>K14*0.4/0.55</f>
        <v>225454.54545454544</v>
      </c>
      <c r="L15" s="59">
        <f>L14*0.4/0.55</f>
        <v>218690.90909090906</v>
      </c>
      <c r="M15" s="59">
        <f>M14*0.4/0.55</f>
        <v>220221.74545454542</v>
      </c>
      <c r="N15" s="59">
        <f t="shared" ref="N15:R15" si="5">N14*0.4/0.55</f>
        <v>221763.2976727272</v>
      </c>
      <c r="O15" s="59">
        <f t="shared" si="5"/>
        <v>223315.64075643627</v>
      </c>
      <c r="P15" s="59">
        <f t="shared" si="5"/>
        <v>224878.8502417313</v>
      </c>
      <c r="Q15" s="59">
        <f t="shared" si="5"/>
        <v>226453.0021934234</v>
      </c>
      <c r="R15" s="59">
        <f t="shared" si="5"/>
        <v>228038.17320877739</v>
      </c>
      <c r="S15" s="59">
        <f t="shared" ref="S15:U15" si="6">S14*0.4/0.55</f>
        <v>229634.44042123877</v>
      </c>
      <c r="T15" s="59">
        <f t="shared" si="6"/>
        <v>231241.88150418742</v>
      </c>
      <c r="U15" s="59">
        <f t="shared" si="6"/>
        <v>232860.57467471671</v>
      </c>
      <c r="AB15" s="53">
        <f t="shared" ref="AB15" si="7">SUM(J15:M15)</f>
        <v>664367.19999999995</v>
      </c>
      <c r="AC15" s="59">
        <f t="shared" ref="AC15" si="8">SUM(N15:Q15)</f>
        <v>896410.79086431814</v>
      </c>
      <c r="AD15" s="59">
        <f t="shared" ref="AD15" si="9">SUM(R15:U15)</f>
        <v>921775.06980892026</v>
      </c>
      <c r="AE15" s="59">
        <f>AD15*0.99</f>
        <v>912557.31911083101</v>
      </c>
      <c r="AF15" s="59">
        <f t="shared" ref="AF15:AP15" si="10">AE15*0.99</f>
        <v>903431.74591972271</v>
      </c>
      <c r="AG15" s="59">
        <f t="shared" si="10"/>
        <v>894397.42846052547</v>
      </c>
      <c r="AH15" s="59">
        <f t="shared" si="10"/>
        <v>885453.45417592023</v>
      </c>
      <c r="AI15" s="59">
        <f t="shared" si="10"/>
        <v>876598.91963416105</v>
      </c>
      <c r="AJ15" s="59">
        <f t="shared" si="10"/>
        <v>867832.93043781945</v>
      </c>
      <c r="AK15" s="59">
        <f t="shared" si="10"/>
        <v>859154.6011334412</v>
      </c>
      <c r="AL15" s="59">
        <f t="shared" si="10"/>
        <v>850563.0551221068</v>
      </c>
      <c r="AM15" s="59">
        <f t="shared" si="10"/>
        <v>842057.42457088572</v>
      </c>
      <c r="AN15" s="59">
        <f t="shared" si="10"/>
        <v>833636.85032517684</v>
      </c>
      <c r="AO15" s="59">
        <f t="shared" si="10"/>
        <v>825300.48182192503</v>
      </c>
      <c r="AP15" s="59">
        <f t="shared" si="10"/>
        <v>817047.4770037058</v>
      </c>
    </row>
    <row r="16" spans="1:42">
      <c r="A16" s="53" t="s">
        <v>198</v>
      </c>
      <c r="B16" s="53">
        <f>B15+B14</f>
        <v>609000</v>
      </c>
      <c r="C16" s="53">
        <f t="shared" ref="C16:L16" si="11">C15+C14</f>
        <v>593000</v>
      </c>
      <c r="D16" s="53">
        <f t="shared" si="11"/>
        <v>555000</v>
      </c>
      <c r="E16" s="53">
        <f t="shared" si="11"/>
        <v>536000</v>
      </c>
      <c r="F16" s="53">
        <f t="shared" si="11"/>
        <v>482000</v>
      </c>
      <c r="G16" s="53">
        <f t="shared" si="11"/>
        <v>486000</v>
      </c>
      <c r="H16" s="53">
        <f t="shared" si="11"/>
        <v>415000</v>
      </c>
      <c r="I16" s="53">
        <f t="shared" si="11"/>
        <v>351000</v>
      </c>
      <c r="J16" s="53">
        <f t="shared" si="11"/>
        <v>348000</v>
      </c>
      <c r="K16" s="59">
        <f t="shared" si="11"/>
        <v>535454.54545454541</v>
      </c>
      <c r="L16" s="59">
        <f t="shared" si="11"/>
        <v>519390.90909090906</v>
      </c>
      <c r="M16" s="59">
        <f>M15+M14</f>
        <v>523026.64545454539</v>
      </c>
      <c r="N16" s="59">
        <f>N14+N15</f>
        <v>526687.83197272709</v>
      </c>
      <c r="O16" s="59">
        <f t="shared" ref="O16:U16" si="12">O14+O15</f>
        <v>530374.64679653617</v>
      </c>
      <c r="P16" s="59">
        <f t="shared" si="12"/>
        <v>534087.26932411187</v>
      </c>
      <c r="Q16" s="59">
        <f t="shared" si="12"/>
        <v>537825.88020938053</v>
      </c>
      <c r="R16" s="59">
        <f t="shared" si="12"/>
        <v>541590.66137084621</v>
      </c>
      <c r="S16" s="59">
        <f t="shared" si="12"/>
        <v>545381.79600044212</v>
      </c>
      <c r="T16" s="59">
        <f t="shared" si="12"/>
        <v>549199.46857244521</v>
      </c>
      <c r="U16" s="59">
        <f t="shared" si="12"/>
        <v>553043.86485245219</v>
      </c>
      <c r="Y16" s="59">
        <f>Y15+Y14</f>
        <v>3221000</v>
      </c>
      <c r="Z16" s="59">
        <f t="shared" ref="Z16:AD16" si="13">Z15+Z14</f>
        <v>2293000</v>
      </c>
      <c r="AA16" s="59">
        <f t="shared" si="13"/>
        <v>1734000</v>
      </c>
      <c r="AB16" s="59">
        <f t="shared" si="13"/>
        <v>1925872.0999999999</v>
      </c>
      <c r="AC16" s="59">
        <f t="shared" si="13"/>
        <v>2128975.6283027558</v>
      </c>
      <c r="AD16" s="59">
        <f t="shared" si="13"/>
        <v>2189215.7907961858</v>
      </c>
      <c r="AE16" s="59">
        <f t="shared" ref="AE16" si="14">AE15+AE14</f>
        <v>2167323.632888224</v>
      </c>
      <c r="AF16" s="59">
        <f t="shared" ref="AF16" si="15">AF15+AF14</f>
        <v>2145650.3965593413</v>
      </c>
      <c r="AG16" s="59">
        <f t="shared" ref="AG16" si="16">AG15+AG14</f>
        <v>2124193.8925937479</v>
      </c>
      <c r="AH16" s="59">
        <f t="shared" ref="AH16" si="17">AH15+AH14</f>
        <v>2102951.9536678107</v>
      </c>
      <c r="AI16" s="59">
        <f t="shared" ref="AI16" si="18">AI15+AI14</f>
        <v>2081922.4341311327</v>
      </c>
      <c r="AJ16" s="59">
        <f t="shared" ref="AJ16" si="19">AJ15+AJ14</f>
        <v>2061103.2097898214</v>
      </c>
      <c r="AK16" s="59">
        <f t="shared" ref="AK16" si="20">AK15+AK14</f>
        <v>2040492.177691923</v>
      </c>
      <c r="AL16" s="59">
        <f t="shared" ref="AL16" si="21">AL15+AL14</f>
        <v>2020087.2559150038</v>
      </c>
      <c r="AM16" s="59">
        <f t="shared" ref="AM16" si="22">AM15+AM14</f>
        <v>1999886.3833558538</v>
      </c>
      <c r="AN16" s="59">
        <f t="shared" ref="AN16" si="23">AN15+AN14</f>
        <v>1979887.5195222953</v>
      </c>
      <c r="AO16" s="59">
        <f t="shared" ref="AO16" si="24">AO15+AO14</f>
        <v>1960088.6443270724</v>
      </c>
      <c r="AP16" s="59">
        <f t="shared" ref="AP16" si="25">AP15+AP14</f>
        <v>1940487.7578838016</v>
      </c>
    </row>
    <row r="17" spans="1:42">
      <c r="A17" s="53" t="s">
        <v>199</v>
      </c>
      <c r="F17" s="100">
        <f>F16/B16-1</f>
        <v>-0.20853858784893264</v>
      </c>
      <c r="G17" s="100">
        <f t="shared" ref="G17:U17" si="26">G16/C16-1</f>
        <v>-0.18043844856661051</v>
      </c>
      <c r="H17" s="100">
        <f t="shared" si="26"/>
        <v>-0.25225225225225223</v>
      </c>
      <c r="I17" s="100">
        <f t="shared" si="26"/>
        <v>-0.34514925373134331</v>
      </c>
      <c r="J17" s="100">
        <f t="shared" si="26"/>
        <v>-0.27800829875518673</v>
      </c>
      <c r="K17" s="100">
        <f t="shared" si="26"/>
        <v>0.10175832398054618</v>
      </c>
      <c r="L17" s="100">
        <f>L16/H16-1</f>
        <v>0.25154435925520247</v>
      </c>
      <c r="M17" s="100">
        <f>M16/I16-1</f>
        <v>0.49010440300440283</v>
      </c>
      <c r="N17" s="100">
        <f t="shared" si="26"/>
        <v>0.51347078153082504</v>
      </c>
      <c r="O17" s="100">
        <f t="shared" si="26"/>
        <v>-9.487077290000312E-3</v>
      </c>
      <c r="P17" s="100">
        <f t="shared" si="26"/>
        <v>2.8295374400999496E-2</v>
      </c>
      <c r="Q17" s="100">
        <f t="shared" si="26"/>
        <v>2.8295374400999496E-2</v>
      </c>
      <c r="R17" s="100">
        <f t="shared" si="26"/>
        <v>2.8295374400999718E-2</v>
      </c>
      <c r="S17" s="100">
        <f t="shared" si="26"/>
        <v>2.8295374400999718E-2</v>
      </c>
      <c r="T17" s="100">
        <f t="shared" si="26"/>
        <v>2.8295374400999718E-2</v>
      </c>
      <c r="U17" s="100">
        <f t="shared" si="26"/>
        <v>2.8295374400999718E-2</v>
      </c>
      <c r="Z17" s="100">
        <f>Z16/Y16-1</f>
        <v>-0.28810928283141879</v>
      </c>
      <c r="AA17" s="100">
        <f t="shared" ref="AA17:AD17" si="27">AA16/Z16-1</f>
        <v>-0.24378543392935015</v>
      </c>
      <c r="AB17" s="100">
        <f t="shared" si="27"/>
        <v>0.11065288350634361</v>
      </c>
      <c r="AC17" s="100">
        <f t="shared" si="27"/>
        <v>0.10546054865364929</v>
      </c>
      <c r="AD17" s="100">
        <f t="shared" si="27"/>
        <v>2.8295374400999718E-2</v>
      </c>
      <c r="AE17" s="100">
        <f t="shared" ref="AE17" si="28">AE16/AD16-1</f>
        <v>-1.0000000000000009E-2</v>
      </c>
      <c r="AF17" s="100">
        <f t="shared" ref="AF17" si="29">AF16/AE16-1</f>
        <v>-1.0000000000000231E-2</v>
      </c>
      <c r="AG17" s="100">
        <f t="shared" ref="AG17" si="30">AG16/AF16-1</f>
        <v>-1.0000000000000009E-2</v>
      </c>
      <c r="AH17" s="100">
        <f t="shared" ref="AH17" si="31">AH16/AG16-1</f>
        <v>-9.9999999999998979E-3</v>
      </c>
      <c r="AI17" s="100">
        <f t="shared" ref="AI17" si="32">AI16/AH16-1</f>
        <v>-9.9999999999998979E-3</v>
      </c>
      <c r="AJ17" s="100">
        <f t="shared" ref="AJ17" si="33">AJ16/AI16-1</f>
        <v>-1.0000000000000009E-2</v>
      </c>
      <c r="AK17" s="100">
        <f t="shared" ref="AK17" si="34">AK16/AJ16-1</f>
        <v>-1.000000000000012E-2</v>
      </c>
      <c r="AL17" s="100">
        <f t="shared" ref="AL17" si="35">AL16/AK16-1</f>
        <v>-1.0000000000000009E-2</v>
      </c>
      <c r="AM17" s="100">
        <f t="shared" ref="AM17" si="36">AM16/AL16-1</f>
        <v>-1.0000000000000009E-2</v>
      </c>
      <c r="AN17" s="100">
        <f t="shared" ref="AN17" si="37">AN16/AM16-1</f>
        <v>-1.0000000000000009E-2</v>
      </c>
      <c r="AO17" s="100">
        <f t="shared" ref="AO17" si="38">AO16/AN16-1</f>
        <v>-1.0000000000000009E-2</v>
      </c>
      <c r="AP17" s="100">
        <f t="shared" ref="AP17" si="39">AP16/AO16-1</f>
        <v>-1.0000000000000009E-2</v>
      </c>
    </row>
    <row r="18" spans="1:42">
      <c r="N18" s="59"/>
      <c r="O18" s="59"/>
      <c r="P18" s="59"/>
      <c r="Q18" s="59"/>
      <c r="R18" s="59"/>
      <c r="S18" s="59"/>
      <c r="T18" s="59"/>
      <c r="U18" s="59"/>
      <c r="AC18" s="59"/>
      <c r="AD18" s="59"/>
    </row>
    <row r="19" spans="1:42">
      <c r="A19" s="53" t="s">
        <v>200</v>
      </c>
      <c r="B19" s="53">
        <v>6500</v>
      </c>
      <c r="C19" s="53">
        <v>6500</v>
      </c>
      <c r="D19" s="53">
        <v>6500</v>
      </c>
      <c r="E19" s="53">
        <v>6500</v>
      </c>
      <c r="F19" s="53">
        <v>6500</v>
      </c>
      <c r="G19" s="53">
        <v>6500</v>
      </c>
      <c r="H19" s="53">
        <v>6500</v>
      </c>
      <c r="I19" s="53">
        <v>6500</v>
      </c>
      <c r="J19" s="53">
        <v>6500</v>
      </c>
      <c r="K19" s="53">
        <v>6000</v>
      </c>
      <c r="L19" s="53">
        <v>6000</v>
      </c>
      <c r="M19" s="53">
        <v>6000</v>
      </c>
      <c r="N19" s="53">
        <v>6000</v>
      </c>
      <c r="O19" s="53">
        <v>6000</v>
      </c>
      <c r="P19" s="53">
        <v>6000</v>
      </c>
      <c r="Q19" s="53">
        <v>6000</v>
      </c>
      <c r="R19" s="53">
        <v>6000</v>
      </c>
      <c r="S19" s="53">
        <v>6000</v>
      </c>
      <c r="T19" s="53">
        <v>6000</v>
      </c>
      <c r="U19" s="53">
        <v>6000</v>
      </c>
      <c r="Y19" s="53">
        <v>6500</v>
      </c>
      <c r="Z19" s="53">
        <f>Y19</f>
        <v>6500</v>
      </c>
      <c r="AA19" s="53">
        <f t="shared" ref="AA19:AD19" si="40">Z19</f>
        <v>6500</v>
      </c>
      <c r="AB19" s="53">
        <f t="shared" si="40"/>
        <v>6500</v>
      </c>
      <c r="AC19" s="53">
        <f t="shared" si="40"/>
        <v>6500</v>
      </c>
      <c r="AD19" s="53">
        <f t="shared" si="40"/>
        <v>6500</v>
      </c>
      <c r="AE19" s="59">
        <f>AD19*0.99</f>
        <v>6435</v>
      </c>
      <c r="AF19" s="59">
        <f t="shared" ref="AF19:AP19" si="41">AE19*0.99</f>
        <v>6370.65</v>
      </c>
      <c r="AG19" s="59">
        <f t="shared" si="41"/>
        <v>6306.9434999999994</v>
      </c>
      <c r="AH19" s="59">
        <f t="shared" si="41"/>
        <v>6243.8740649999991</v>
      </c>
      <c r="AI19" s="59">
        <f t="shared" si="41"/>
        <v>6181.4353243499991</v>
      </c>
      <c r="AJ19" s="59">
        <f t="shared" si="41"/>
        <v>6119.6209711064994</v>
      </c>
      <c r="AK19" s="59">
        <f t="shared" si="41"/>
        <v>6058.424761395434</v>
      </c>
      <c r="AL19" s="59">
        <f t="shared" si="41"/>
        <v>5997.8405137814798</v>
      </c>
      <c r="AM19" s="59">
        <f t="shared" si="41"/>
        <v>5937.8621086436651</v>
      </c>
      <c r="AN19" s="59">
        <f t="shared" si="41"/>
        <v>5878.4834875572287</v>
      </c>
      <c r="AO19" s="59">
        <f t="shared" si="41"/>
        <v>5819.6986526816563</v>
      </c>
      <c r="AP19" s="59">
        <f t="shared" si="41"/>
        <v>5761.5016661548398</v>
      </c>
    </row>
    <row r="20" spans="1:42">
      <c r="A20" s="53" t="s">
        <v>191</v>
      </c>
      <c r="B20" s="99">
        <f t="shared" ref="B20:U20" si="42">B14/B19</f>
        <v>93.692307692307693</v>
      </c>
      <c r="C20" s="99">
        <f t="shared" si="42"/>
        <v>91.230769230769226</v>
      </c>
      <c r="D20" s="99">
        <f t="shared" si="42"/>
        <v>85.384615384615387</v>
      </c>
      <c r="E20" s="99">
        <f t="shared" si="42"/>
        <v>82.461538461538467</v>
      </c>
      <c r="F20" s="99">
        <f t="shared" si="42"/>
        <v>74.15384615384616</v>
      </c>
      <c r="G20" s="99">
        <f t="shared" si="42"/>
        <v>74.769230769230774</v>
      </c>
      <c r="H20" s="99">
        <f t="shared" si="42"/>
        <v>63.846153846153847</v>
      </c>
      <c r="I20" s="99">
        <f t="shared" si="42"/>
        <v>54</v>
      </c>
      <c r="J20" s="99">
        <f t="shared" si="42"/>
        <v>53.53846153846154</v>
      </c>
      <c r="K20" s="99">
        <f t="shared" si="42"/>
        <v>51.666666666666664</v>
      </c>
      <c r="L20" s="99">
        <f t="shared" si="42"/>
        <v>50.116666666666667</v>
      </c>
      <c r="M20" s="99">
        <f t="shared" si="42"/>
        <v>50.467483333333327</v>
      </c>
      <c r="N20" s="99">
        <f t="shared" si="42"/>
        <v>50.82075571666666</v>
      </c>
      <c r="O20" s="99">
        <f t="shared" si="42"/>
        <v>51.176501006683317</v>
      </c>
      <c r="P20" s="99">
        <f t="shared" si="42"/>
        <v>51.534736513730088</v>
      </c>
      <c r="Q20" s="99">
        <f t="shared" si="42"/>
        <v>51.8954796693262</v>
      </c>
      <c r="R20" s="99">
        <f t="shared" si="42"/>
        <v>52.258748027011478</v>
      </c>
      <c r="S20" s="99">
        <f t="shared" si="42"/>
        <v>52.62455926320056</v>
      </c>
      <c r="T20" s="99">
        <f t="shared" si="42"/>
        <v>52.992931178042959</v>
      </c>
      <c r="U20" s="99">
        <f t="shared" si="42"/>
        <v>53.363881696289248</v>
      </c>
      <c r="Y20" s="59">
        <f t="shared" ref="Y20:AF20" si="43">Y14/Y19</f>
        <v>495.53846153846155</v>
      </c>
      <c r="Z20" s="59">
        <f t="shared" si="43"/>
        <v>352.76923076923077</v>
      </c>
      <c r="AA20" s="59">
        <f t="shared" si="43"/>
        <v>266.76923076923077</v>
      </c>
      <c r="AB20" s="59">
        <f t="shared" si="43"/>
        <v>194.07767692307692</v>
      </c>
      <c r="AC20" s="59">
        <f t="shared" si="43"/>
        <v>189.62535960591347</v>
      </c>
      <c r="AD20" s="59">
        <f t="shared" si="43"/>
        <v>194.99088015188698</v>
      </c>
      <c r="AE20" s="59">
        <f t="shared" si="43"/>
        <v>194.99088015188698</v>
      </c>
      <c r="AF20" s="59">
        <f t="shared" si="43"/>
        <v>194.99088015188698</v>
      </c>
      <c r="AG20" s="59">
        <f t="shared" ref="AG20:AP20" si="44">AG14/AG19</f>
        <v>194.99088015188698</v>
      </c>
      <c r="AH20" s="59">
        <f t="shared" si="44"/>
        <v>194.99088015188701</v>
      </c>
      <c r="AI20" s="59">
        <f t="shared" si="44"/>
        <v>194.99088015188704</v>
      </c>
      <c r="AJ20" s="59">
        <f t="shared" si="44"/>
        <v>194.99088015188701</v>
      </c>
      <c r="AK20" s="59">
        <f t="shared" si="44"/>
        <v>194.99088015188704</v>
      </c>
      <c r="AL20" s="59">
        <f t="shared" si="44"/>
        <v>194.99088015188701</v>
      </c>
      <c r="AM20" s="59">
        <f t="shared" si="44"/>
        <v>194.99088015188704</v>
      </c>
      <c r="AN20" s="59">
        <f t="shared" si="44"/>
        <v>194.99088015188701</v>
      </c>
      <c r="AO20" s="59">
        <f t="shared" si="44"/>
        <v>194.99088015188704</v>
      </c>
      <c r="AP20" s="59">
        <f t="shared" si="44"/>
        <v>194.99088015188704</v>
      </c>
    </row>
    <row r="21" spans="1:42">
      <c r="A21" s="53" t="s">
        <v>201</v>
      </c>
      <c r="B21" s="99">
        <f>B16/B19</f>
        <v>93.692307692307693</v>
      </c>
      <c r="C21" s="99">
        <f t="shared" ref="C21:I21" si="45">C16/C19</f>
        <v>91.230769230769226</v>
      </c>
      <c r="D21" s="99">
        <f t="shared" si="45"/>
        <v>85.384615384615387</v>
      </c>
      <c r="E21" s="99">
        <f t="shared" si="45"/>
        <v>82.461538461538467</v>
      </c>
      <c r="F21" s="99">
        <f t="shared" si="45"/>
        <v>74.15384615384616</v>
      </c>
      <c r="G21" s="99">
        <f t="shared" si="45"/>
        <v>74.769230769230774</v>
      </c>
      <c r="H21" s="99">
        <f t="shared" si="45"/>
        <v>63.846153846153847</v>
      </c>
      <c r="I21" s="99">
        <f t="shared" si="45"/>
        <v>54</v>
      </c>
      <c r="J21" s="99">
        <f>J16/J19</f>
        <v>53.53846153846154</v>
      </c>
      <c r="K21" s="99">
        <f>K16/K19</f>
        <v>89.242424242424235</v>
      </c>
      <c r="L21" s="99">
        <f>L16/L19</f>
        <v>86.565151515151513</v>
      </c>
      <c r="M21" s="99">
        <f>M16/M19</f>
        <v>87.17110757575756</v>
      </c>
      <c r="N21" s="99">
        <f t="shared" ref="N21:U21" si="46">N16/N19</f>
        <v>87.781305328787852</v>
      </c>
      <c r="O21" s="99">
        <f t="shared" si="46"/>
        <v>88.395774466089364</v>
      </c>
      <c r="P21" s="99">
        <f t="shared" si="46"/>
        <v>89.014544887351974</v>
      </c>
      <c r="Q21" s="99">
        <f t="shared" si="46"/>
        <v>89.637646701563426</v>
      </c>
      <c r="R21" s="99">
        <f t="shared" si="46"/>
        <v>90.26511022847437</v>
      </c>
      <c r="S21" s="99">
        <f t="shared" si="46"/>
        <v>90.896966000073689</v>
      </c>
      <c r="T21" s="99">
        <f t="shared" si="46"/>
        <v>91.533244762074204</v>
      </c>
      <c r="U21" s="99">
        <f t="shared" si="46"/>
        <v>92.173977475408691</v>
      </c>
      <c r="Y21" s="69"/>
      <c r="Z21" s="59">
        <f>SUM(B21:E21)</f>
        <v>352.76923076923072</v>
      </c>
      <c r="AA21" s="59">
        <f>SUM(F21:I21)</f>
        <v>266.76923076923077</v>
      </c>
      <c r="AB21" s="59">
        <f>SUM(J21:M21)</f>
        <v>316.51714487179481</v>
      </c>
      <c r="AC21" s="59">
        <f>SUM(N21:Q21)</f>
        <v>354.82927138379262</v>
      </c>
      <c r="AD21" s="59">
        <f>SUM(R21:U21)</f>
        <v>364.86929846603095</v>
      </c>
      <c r="AE21" s="59">
        <f t="shared" ref="AE21:AP21" si="47">AE16/AE19</f>
        <v>336.80242935325936</v>
      </c>
      <c r="AF21" s="59">
        <f t="shared" si="47"/>
        <v>336.8024293532593</v>
      </c>
      <c r="AG21" s="59">
        <f t="shared" si="47"/>
        <v>336.80242935325936</v>
      </c>
      <c r="AH21" s="59">
        <f t="shared" si="47"/>
        <v>336.80242935325936</v>
      </c>
      <c r="AI21" s="59">
        <f t="shared" si="47"/>
        <v>336.80242935325941</v>
      </c>
      <c r="AJ21" s="59">
        <f t="shared" si="47"/>
        <v>336.80242935325941</v>
      </c>
      <c r="AK21" s="59">
        <f t="shared" si="47"/>
        <v>336.80242935325936</v>
      </c>
      <c r="AL21" s="59">
        <f t="shared" si="47"/>
        <v>336.80242935325941</v>
      </c>
      <c r="AM21" s="59">
        <f t="shared" si="47"/>
        <v>336.80242935325941</v>
      </c>
      <c r="AN21" s="59">
        <f t="shared" si="47"/>
        <v>336.80242935325936</v>
      </c>
      <c r="AO21" s="59">
        <f t="shared" si="47"/>
        <v>336.80242935325941</v>
      </c>
      <c r="AP21" s="59">
        <f t="shared" si="47"/>
        <v>336.80242935325936</v>
      </c>
    </row>
    <row r="22" spans="1:42"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Y22" s="69"/>
      <c r="Z22" s="69"/>
      <c r="AA22" s="69"/>
      <c r="AB22" s="69"/>
      <c r="AC22" s="69"/>
      <c r="AD22" s="69"/>
    </row>
    <row r="23" spans="1:42">
      <c r="A23" s="55" t="s">
        <v>202</v>
      </c>
    </row>
    <row r="24" spans="1:42" s="60" customFormat="1">
      <c r="A24" s="60" t="s">
        <v>194</v>
      </c>
      <c r="M24" s="112">
        <f>(M27/(1-M26))/M16</f>
        <v>2.0355207295837327E-2</v>
      </c>
      <c r="N24" s="62">
        <v>0.04</v>
      </c>
      <c r="O24" s="62">
        <v>0.04</v>
      </c>
      <c r="P24" s="62">
        <v>0.05</v>
      </c>
      <c r="Q24" s="62">
        <v>0.05</v>
      </c>
      <c r="R24" s="62">
        <v>0.06</v>
      </c>
      <c r="S24" s="62">
        <v>0.06</v>
      </c>
      <c r="T24" s="62">
        <v>0.06</v>
      </c>
      <c r="U24" s="62">
        <v>0.06</v>
      </c>
      <c r="Y24" s="61"/>
      <c r="AB24" s="63">
        <f>AB27/AB16</f>
        <v>5.2516467734279966E-3</v>
      </c>
      <c r="AC24" s="63">
        <f t="shared" ref="AC24:AD24" si="48">AC27/AC16</f>
        <v>4.1357029173570259E-2</v>
      </c>
      <c r="AD24" s="63">
        <f t="shared" si="48"/>
        <v>5.5099999999999989E-2</v>
      </c>
      <c r="AE24" s="62">
        <v>0.06</v>
      </c>
      <c r="AF24" s="62">
        <v>7.0000000000000007E-2</v>
      </c>
      <c r="AG24" s="62">
        <v>7.0000000000000007E-2</v>
      </c>
      <c r="AH24" s="62">
        <v>7.0000000000000007E-2</v>
      </c>
      <c r="AI24" s="62">
        <v>7.0000000000000007E-2</v>
      </c>
      <c r="AJ24" s="62">
        <v>7.0000000000000007E-2</v>
      </c>
      <c r="AK24" s="62">
        <v>7.0000000000000007E-2</v>
      </c>
      <c r="AL24" s="62">
        <v>7.0000000000000007E-2</v>
      </c>
      <c r="AM24" s="62">
        <v>7.0000000000000007E-2</v>
      </c>
      <c r="AN24" s="62">
        <v>7.0000000000000007E-2</v>
      </c>
      <c r="AO24" s="62">
        <v>7.0000000000000007E-2</v>
      </c>
      <c r="AP24" s="62">
        <v>7.0000000000000007E-2</v>
      </c>
    </row>
    <row r="25" spans="1:42">
      <c r="A25" s="53" t="s">
        <v>58</v>
      </c>
      <c r="M25" s="53">
        <v>5800</v>
      </c>
      <c r="N25" s="53">
        <v>5800</v>
      </c>
      <c r="O25" s="53">
        <v>5800</v>
      </c>
      <c r="P25" s="53">
        <v>5800</v>
      </c>
      <c r="Q25" s="53">
        <v>5800</v>
      </c>
      <c r="R25" s="53">
        <v>5800</v>
      </c>
      <c r="S25" s="53">
        <v>5800</v>
      </c>
      <c r="T25" s="53">
        <v>5800</v>
      </c>
      <c r="U25" s="53">
        <v>5800</v>
      </c>
      <c r="AB25" s="59">
        <f t="shared" ref="AB25:AB26" si="49">M25</f>
        <v>5800</v>
      </c>
      <c r="AC25" s="53">
        <f>AVERAGE(N25:Q25)</f>
        <v>5800</v>
      </c>
      <c r="AD25" s="64">
        <f>AVERAGE(R25:U25)</f>
        <v>5800</v>
      </c>
      <c r="AE25" s="53">
        <v>5800</v>
      </c>
      <c r="AF25" s="53">
        <v>5800</v>
      </c>
      <c r="AG25" s="53">
        <v>5800</v>
      </c>
      <c r="AH25" s="53">
        <v>5800</v>
      </c>
      <c r="AI25" s="53">
        <v>5800</v>
      </c>
      <c r="AJ25" s="53">
        <v>5800</v>
      </c>
      <c r="AK25" s="53">
        <v>5800</v>
      </c>
      <c r="AL25" s="53">
        <v>5800</v>
      </c>
      <c r="AM25" s="53">
        <v>5800</v>
      </c>
      <c r="AN25" s="53">
        <v>5800</v>
      </c>
      <c r="AO25" s="53">
        <v>5800</v>
      </c>
      <c r="AP25" s="53">
        <v>5800</v>
      </c>
    </row>
    <row r="26" spans="1:42" s="60" customFormat="1">
      <c r="A26" s="60" t="s">
        <v>59</v>
      </c>
      <c r="M26" s="61">
        <v>0.05</v>
      </c>
      <c r="N26" s="62">
        <v>0.05</v>
      </c>
      <c r="O26" s="62">
        <v>0.05</v>
      </c>
      <c r="P26" s="62">
        <v>0.05</v>
      </c>
      <c r="Q26" s="62">
        <v>0.05</v>
      </c>
      <c r="R26" s="62">
        <v>0.05</v>
      </c>
      <c r="S26" s="62">
        <v>0.05</v>
      </c>
      <c r="T26" s="62">
        <v>0.05</v>
      </c>
      <c r="U26" s="62">
        <v>0.05</v>
      </c>
      <c r="AB26" s="63">
        <f t="shared" si="49"/>
        <v>0.05</v>
      </c>
      <c r="AC26" s="61">
        <f>AVERAGE(N26:Q26)</f>
        <v>0.05</v>
      </c>
      <c r="AD26" s="61">
        <f>AVERAGE(R26:U26)</f>
        <v>0.05</v>
      </c>
      <c r="AE26" s="61">
        <v>0.05</v>
      </c>
      <c r="AF26" s="61">
        <v>0.1</v>
      </c>
      <c r="AG26" s="61">
        <v>0.05</v>
      </c>
      <c r="AH26" s="61">
        <v>0.05</v>
      </c>
      <c r="AI26" s="61">
        <v>0.05</v>
      </c>
      <c r="AJ26" s="61">
        <v>0.05</v>
      </c>
      <c r="AK26" s="61">
        <v>0.05</v>
      </c>
      <c r="AL26" s="61">
        <v>0.05</v>
      </c>
      <c r="AM26" s="61">
        <v>0.05</v>
      </c>
      <c r="AN26" s="61">
        <v>0.05</v>
      </c>
      <c r="AO26" s="61">
        <v>0.05</v>
      </c>
      <c r="AP26" s="61">
        <v>0.05</v>
      </c>
    </row>
    <row r="27" spans="1:42" s="55" customFormat="1">
      <c r="A27" s="55" t="s">
        <v>57</v>
      </c>
      <c r="M27" s="65">
        <v>10114</v>
      </c>
      <c r="N27" s="65">
        <f t="shared" ref="N27:U27" si="50">N24*N21*N25*(1-N26)</f>
        <v>19346.999694464841</v>
      </c>
      <c r="O27" s="65">
        <f t="shared" si="50"/>
        <v>19482.428692326092</v>
      </c>
      <c r="P27" s="65">
        <f t="shared" si="50"/>
        <v>24523.507116465469</v>
      </c>
      <c r="Q27" s="65">
        <f t="shared" si="50"/>
        <v>24695.171666280723</v>
      </c>
      <c r="R27" s="65">
        <f t="shared" si="50"/>
        <v>29841.645441533623</v>
      </c>
      <c r="S27" s="65">
        <f t="shared" si="50"/>
        <v>30050.536959624354</v>
      </c>
      <c r="T27" s="65">
        <f t="shared" si="50"/>
        <v>30260.890718341732</v>
      </c>
      <c r="U27" s="65">
        <f t="shared" si="50"/>
        <v>30472.716953370113</v>
      </c>
      <c r="AB27" s="65">
        <f>M27</f>
        <v>10114</v>
      </c>
      <c r="AC27" s="65">
        <f>SUM(N27:Q27)</f>
        <v>88048.107169537136</v>
      </c>
      <c r="AD27" s="65">
        <f>SUM(R27:U27)</f>
        <v>120625.79007286982</v>
      </c>
      <c r="AE27" s="65">
        <f t="shared" ref="AE27:AP27" si="51">AE24*AE21*AE25*(1-AE26)</f>
        <v>111346.88314418754</v>
      </c>
      <c r="AF27" s="65">
        <f t="shared" si="51"/>
        <v>123067.60768568095</v>
      </c>
      <c r="AG27" s="65">
        <f t="shared" si="51"/>
        <v>129904.69700155214</v>
      </c>
      <c r="AH27" s="65">
        <f t="shared" si="51"/>
        <v>129904.69700155214</v>
      </c>
      <c r="AI27" s="65">
        <f t="shared" si="51"/>
        <v>129904.69700155217</v>
      </c>
      <c r="AJ27" s="65">
        <f t="shared" si="51"/>
        <v>129904.69700155217</v>
      </c>
      <c r="AK27" s="65">
        <f t="shared" si="51"/>
        <v>129904.69700155214</v>
      </c>
      <c r="AL27" s="65">
        <f t="shared" si="51"/>
        <v>129904.69700155217</v>
      </c>
      <c r="AM27" s="65">
        <f t="shared" si="51"/>
        <v>129904.69700155217</v>
      </c>
      <c r="AN27" s="65">
        <f t="shared" si="51"/>
        <v>129904.69700155214</v>
      </c>
      <c r="AO27" s="65">
        <f t="shared" si="51"/>
        <v>129904.69700155217</v>
      </c>
      <c r="AP27" s="65">
        <f t="shared" si="51"/>
        <v>129904.69700155214</v>
      </c>
    </row>
    <row r="28" spans="1:42" s="60" customFormat="1">
      <c r="A28" s="60" t="s">
        <v>69</v>
      </c>
      <c r="N28" s="66"/>
      <c r="O28" s="66"/>
      <c r="P28" s="66"/>
      <c r="Q28" s="62">
        <f>Q27/M27-1</f>
        <v>1.4416819919201824</v>
      </c>
      <c r="R28" s="62">
        <f>R27/N27-1</f>
        <v>0.54244306160149947</v>
      </c>
      <c r="S28" s="62">
        <f t="shared" ref="S28:U28" si="52">S27/O27-1</f>
        <v>0.54244306160149947</v>
      </c>
      <c r="T28" s="62">
        <f t="shared" si="52"/>
        <v>0.23395444928119979</v>
      </c>
      <c r="U28" s="62">
        <f t="shared" si="52"/>
        <v>0.23395444928119957</v>
      </c>
      <c r="AC28" s="62">
        <f>AC27/AB27-1</f>
        <v>7.705567250300291</v>
      </c>
      <c r="AD28" s="62">
        <f>AD27/AC27-1</f>
        <v>0.36999867402719011</v>
      </c>
      <c r="AE28" s="61">
        <f>AE27/AD27-1</f>
        <v>-7.6923076923076761E-2</v>
      </c>
      <c r="AF28" s="61">
        <f t="shared" ref="AF28:AP28" si="53">AF27/AE27-1</f>
        <v>0.10526315789473673</v>
      </c>
      <c r="AG28" s="61">
        <f t="shared" si="53"/>
        <v>5.5555555555555802E-2</v>
      </c>
      <c r="AH28" s="61">
        <f t="shared" si="53"/>
        <v>0</v>
      </c>
      <c r="AI28" s="61">
        <f t="shared" si="53"/>
        <v>0</v>
      </c>
      <c r="AJ28" s="61">
        <f t="shared" si="53"/>
        <v>0</v>
      </c>
      <c r="AK28" s="61">
        <f t="shared" si="53"/>
        <v>0</v>
      </c>
      <c r="AL28" s="61">
        <f t="shared" si="53"/>
        <v>0</v>
      </c>
      <c r="AM28" s="61">
        <f t="shared" si="53"/>
        <v>0</v>
      </c>
      <c r="AN28" s="61">
        <f t="shared" si="53"/>
        <v>0</v>
      </c>
      <c r="AO28" s="61">
        <f t="shared" si="53"/>
        <v>0</v>
      </c>
      <c r="AP28" s="61">
        <f t="shared" si="53"/>
        <v>0</v>
      </c>
    </row>
    <row r="29" spans="1:42">
      <c r="N29" s="59"/>
      <c r="O29" s="59"/>
      <c r="P29" s="59"/>
      <c r="Q29" s="59"/>
      <c r="R29" s="63"/>
      <c r="S29" s="63"/>
      <c r="T29" s="63"/>
      <c r="U29" s="63"/>
      <c r="AC29" s="59"/>
      <c r="AD29" s="63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</row>
    <row r="30" spans="1:42" s="60" customFormat="1">
      <c r="M30" s="66"/>
      <c r="N30" s="66"/>
      <c r="O30" s="66"/>
      <c r="P30" s="66"/>
      <c r="Q30" s="62"/>
      <c r="R30" s="62"/>
      <c r="S30" s="62"/>
      <c r="T30" s="62"/>
      <c r="U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</row>
    <row r="31" spans="1:42" s="70" customFormat="1">
      <c r="A31" s="70" t="s">
        <v>190</v>
      </c>
      <c r="M31" s="71"/>
      <c r="N31" s="71"/>
      <c r="O31" s="71"/>
      <c r="P31" s="71"/>
      <c r="Q31" s="72"/>
      <c r="R31" s="72"/>
      <c r="S31" s="72"/>
      <c r="T31" s="72"/>
      <c r="U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</row>
    <row r="32" spans="1:42">
      <c r="M32" s="59"/>
    </row>
    <row r="33" spans="1:42" s="55" customFormat="1">
      <c r="A33" s="55" t="s">
        <v>61</v>
      </c>
      <c r="M33" s="65">
        <f>M27</f>
        <v>10114</v>
      </c>
      <c r="N33" s="65">
        <f t="shared" ref="N33:U33" si="54">N27</f>
        <v>19346.999694464841</v>
      </c>
      <c r="O33" s="65">
        <f t="shared" si="54"/>
        <v>19482.428692326092</v>
      </c>
      <c r="P33" s="65">
        <f t="shared" si="54"/>
        <v>24523.507116465469</v>
      </c>
      <c r="Q33" s="65">
        <f t="shared" si="54"/>
        <v>24695.171666280723</v>
      </c>
      <c r="R33" s="65">
        <f t="shared" si="54"/>
        <v>29841.645441533623</v>
      </c>
      <c r="S33" s="65">
        <f t="shared" si="54"/>
        <v>30050.536959624354</v>
      </c>
      <c r="T33" s="65">
        <f t="shared" si="54"/>
        <v>30260.890718341732</v>
      </c>
      <c r="U33" s="65">
        <f t="shared" si="54"/>
        <v>30472.716953370113</v>
      </c>
      <c r="AB33" s="65">
        <f>AB27</f>
        <v>10114</v>
      </c>
      <c r="AC33" s="65">
        <f t="shared" ref="AC33:AO33" si="55">AC27</f>
        <v>88048.107169537136</v>
      </c>
      <c r="AD33" s="65">
        <f t="shared" si="55"/>
        <v>120625.79007286982</v>
      </c>
      <c r="AE33" s="65">
        <f t="shared" si="55"/>
        <v>111346.88314418754</v>
      </c>
      <c r="AF33" s="65">
        <f t="shared" si="55"/>
        <v>123067.60768568095</v>
      </c>
      <c r="AG33" s="65">
        <f t="shared" si="55"/>
        <v>129904.69700155214</v>
      </c>
      <c r="AH33" s="65">
        <f t="shared" si="55"/>
        <v>129904.69700155214</v>
      </c>
      <c r="AI33" s="65">
        <f t="shared" si="55"/>
        <v>129904.69700155217</v>
      </c>
      <c r="AJ33" s="65">
        <f t="shared" si="55"/>
        <v>129904.69700155217</v>
      </c>
      <c r="AK33" s="65">
        <f t="shared" si="55"/>
        <v>129904.69700155214</v>
      </c>
      <c r="AL33" s="65">
        <f t="shared" si="55"/>
        <v>129904.69700155217</v>
      </c>
      <c r="AM33" s="65">
        <f t="shared" si="55"/>
        <v>129904.69700155217</v>
      </c>
      <c r="AN33" s="65">
        <f t="shared" si="55"/>
        <v>129904.69700155214</v>
      </c>
      <c r="AO33" s="65">
        <f t="shared" si="55"/>
        <v>129904.69700155217</v>
      </c>
      <c r="AP33" s="65">
        <f>AP27</f>
        <v>129904.69700155214</v>
      </c>
    </row>
    <row r="34" spans="1:42">
      <c r="A34" s="53" t="s">
        <v>62</v>
      </c>
      <c r="M34" s="59">
        <v>1792</v>
      </c>
      <c r="N34" s="59">
        <f t="shared" ref="N34:U34" si="56">N33*(1-N36)</f>
        <v>1934.6999694464837</v>
      </c>
      <c r="O34" s="59">
        <f t="shared" si="56"/>
        <v>1948.2428692326087</v>
      </c>
      <c r="P34" s="59">
        <f t="shared" si="56"/>
        <v>2452.3507116465462</v>
      </c>
      <c r="Q34" s="59">
        <f t="shared" si="56"/>
        <v>2469.5171666280717</v>
      </c>
      <c r="R34" s="59">
        <f t="shared" si="56"/>
        <v>2984.1645441533615</v>
      </c>
      <c r="S34" s="59">
        <f t="shared" si="56"/>
        <v>3005.0536959624346</v>
      </c>
      <c r="T34" s="59">
        <f t="shared" si="56"/>
        <v>3026.0890718341725</v>
      </c>
      <c r="U34" s="59">
        <f t="shared" si="56"/>
        <v>3047.2716953370104</v>
      </c>
      <c r="AB34" s="59">
        <f>J34+K34+L34+M34</f>
        <v>1792</v>
      </c>
      <c r="AC34" s="59">
        <f>SUM(N34:Q34)</f>
        <v>8804.8107169537107</v>
      </c>
      <c r="AD34" s="59">
        <f>SUM(R34:U34)</f>
        <v>12062.579007286979</v>
      </c>
      <c r="AE34" s="59">
        <f>0.13*AE33</f>
        <v>14475.094808744381</v>
      </c>
      <c r="AF34" s="59">
        <f t="shared" ref="AF34:AP34" si="57">0.13*AF33</f>
        <v>15998.788999138524</v>
      </c>
      <c r="AG34" s="59">
        <f t="shared" si="57"/>
        <v>16887.610610201777</v>
      </c>
      <c r="AH34" s="59">
        <f t="shared" si="57"/>
        <v>16887.610610201777</v>
      </c>
      <c r="AI34" s="59">
        <f t="shared" si="57"/>
        <v>16887.610610201784</v>
      </c>
      <c r="AJ34" s="59">
        <f t="shared" si="57"/>
        <v>16887.610610201784</v>
      </c>
      <c r="AK34" s="59">
        <f t="shared" si="57"/>
        <v>16887.610610201777</v>
      </c>
      <c r="AL34" s="59">
        <f t="shared" si="57"/>
        <v>16887.610610201784</v>
      </c>
      <c r="AM34" s="59">
        <f t="shared" si="57"/>
        <v>16887.610610201784</v>
      </c>
      <c r="AN34" s="59">
        <f t="shared" si="57"/>
        <v>16887.610610201777</v>
      </c>
      <c r="AO34" s="59">
        <f t="shared" si="57"/>
        <v>16887.610610201784</v>
      </c>
      <c r="AP34" s="59">
        <f t="shared" si="57"/>
        <v>16887.610610201777</v>
      </c>
    </row>
    <row r="35" spans="1:42">
      <c r="A35" s="53" t="s">
        <v>63</v>
      </c>
      <c r="M35" s="59">
        <f>M33-M34</f>
        <v>8322</v>
      </c>
      <c r="N35" s="59">
        <f t="shared" ref="M35:U35" si="58">N33-N34</f>
        <v>17412.299725018358</v>
      </c>
      <c r="O35" s="59">
        <f t="shared" si="58"/>
        <v>17534.185823093481</v>
      </c>
      <c r="P35" s="59">
        <f t="shared" si="58"/>
        <v>22071.156404818925</v>
      </c>
      <c r="Q35" s="59">
        <f t="shared" si="58"/>
        <v>22225.65449965265</v>
      </c>
      <c r="R35" s="59">
        <f t="shared" si="58"/>
        <v>26857.480897380261</v>
      </c>
      <c r="S35" s="59">
        <f t="shared" si="58"/>
        <v>27045.483263661921</v>
      </c>
      <c r="T35" s="59">
        <f t="shared" si="58"/>
        <v>27234.80164650756</v>
      </c>
      <c r="U35" s="59">
        <f t="shared" si="58"/>
        <v>27425.445258033102</v>
      </c>
      <c r="AB35" s="59">
        <f>J35+K35+L35+M35</f>
        <v>8322</v>
      </c>
      <c r="AC35" s="59">
        <f>SUM(N35:Q35)</f>
        <v>79243.296452583425</v>
      </c>
      <c r="AD35" s="59">
        <f>SUM(R35:U35)</f>
        <v>108563.21106558284</v>
      </c>
      <c r="AE35" s="59">
        <f>AE33-AE34</f>
        <v>96871.788335443154</v>
      </c>
      <c r="AF35" s="59">
        <f t="shared" ref="AF35:AP35" si="59">AF33-AF34</f>
        <v>107068.81868654242</v>
      </c>
      <c r="AG35" s="59">
        <f t="shared" si="59"/>
        <v>113017.08639135036</v>
      </c>
      <c r="AH35" s="59">
        <f t="shared" si="59"/>
        <v>113017.08639135036</v>
      </c>
      <c r="AI35" s="59">
        <f t="shared" si="59"/>
        <v>113017.08639135039</v>
      </c>
      <c r="AJ35" s="59">
        <f t="shared" si="59"/>
        <v>113017.08639135039</v>
      </c>
      <c r="AK35" s="59">
        <f t="shared" si="59"/>
        <v>113017.08639135036</v>
      </c>
      <c r="AL35" s="59">
        <f t="shared" si="59"/>
        <v>113017.08639135039</v>
      </c>
      <c r="AM35" s="59">
        <f t="shared" si="59"/>
        <v>113017.08639135039</v>
      </c>
      <c r="AN35" s="59">
        <f t="shared" si="59"/>
        <v>113017.08639135036</v>
      </c>
      <c r="AO35" s="59">
        <f t="shared" si="59"/>
        <v>113017.08639135039</v>
      </c>
      <c r="AP35" s="59">
        <f t="shared" si="59"/>
        <v>113017.08639135036</v>
      </c>
    </row>
    <row r="36" spans="1:42" s="60" customFormat="1">
      <c r="A36" s="60" t="s">
        <v>64</v>
      </c>
      <c r="M36" s="61">
        <f>M35/M33</f>
        <v>0.82281985366818267</v>
      </c>
      <c r="N36" s="61">
        <v>0.9</v>
      </c>
      <c r="O36" s="61">
        <v>0.9</v>
      </c>
      <c r="P36" s="61">
        <v>0.9</v>
      </c>
      <c r="Q36" s="61">
        <v>0.9</v>
      </c>
      <c r="R36" s="61">
        <v>0.9</v>
      </c>
      <c r="S36" s="61">
        <v>0.9</v>
      </c>
      <c r="T36" s="61">
        <v>0.9</v>
      </c>
      <c r="U36" s="61">
        <v>0.9</v>
      </c>
      <c r="AB36" s="62">
        <f>AB35/AB33</f>
        <v>0.82281985366818267</v>
      </c>
      <c r="AC36" s="62">
        <f t="shared" ref="AC36:AD36" si="60">AC35/AC33</f>
        <v>0.9</v>
      </c>
      <c r="AD36" s="62">
        <f t="shared" si="60"/>
        <v>0.90000000000000013</v>
      </c>
      <c r="AE36" s="62">
        <v>0.9</v>
      </c>
      <c r="AF36" s="62">
        <v>0.9</v>
      </c>
      <c r="AG36" s="62">
        <v>0.9</v>
      </c>
      <c r="AH36" s="62">
        <v>0.9</v>
      </c>
      <c r="AI36" s="62">
        <v>0.9</v>
      </c>
      <c r="AJ36" s="62">
        <v>0.9</v>
      </c>
      <c r="AK36" s="62">
        <v>0.9</v>
      </c>
      <c r="AL36" s="62">
        <v>0.9</v>
      </c>
      <c r="AM36" s="62">
        <v>0.9</v>
      </c>
      <c r="AN36" s="62">
        <v>0.9</v>
      </c>
      <c r="AO36" s="62">
        <v>0.9</v>
      </c>
      <c r="AP36" s="62">
        <v>0.9</v>
      </c>
    </row>
    <row r="37" spans="1:42">
      <c r="A37" s="53" t="s">
        <v>1</v>
      </c>
      <c r="B37" s="53">
        <v>14794</v>
      </c>
      <c r="C37" s="53">
        <v>14744</v>
      </c>
      <c r="D37" s="53">
        <v>15116</v>
      </c>
      <c r="E37" s="53">
        <f>Z37-B37-C37-D37</f>
        <v>15703</v>
      </c>
      <c r="F37" s="53">
        <v>14315</v>
      </c>
      <c r="G37" s="53">
        <v>14957</v>
      </c>
      <c r="H37" s="53">
        <v>12243</v>
      </c>
      <c r="I37" s="53">
        <f>AA37-H37-G37-F37</f>
        <v>18891</v>
      </c>
      <c r="J37" s="53">
        <v>9870</v>
      </c>
      <c r="K37" s="53">
        <v>9385</v>
      </c>
      <c r="L37" s="59">
        <v>8263</v>
      </c>
      <c r="M37" s="59">
        <v>11298</v>
      </c>
      <c r="N37" s="59">
        <f>M37*(1.08)</f>
        <v>12201.84</v>
      </c>
      <c r="O37" s="59">
        <f t="shared" ref="O37:Q37" si="61">N37*(1.08)</f>
        <v>13177.987200000001</v>
      </c>
      <c r="P37" s="59">
        <f t="shared" si="61"/>
        <v>14232.226176000002</v>
      </c>
      <c r="Q37" s="59">
        <f t="shared" si="61"/>
        <v>15370.804270080003</v>
      </c>
      <c r="R37" s="59">
        <f t="shared" ref="R37:U37" si="62">Q37*(1.05)</f>
        <v>16139.344483584004</v>
      </c>
      <c r="S37" s="59">
        <f t="shared" si="62"/>
        <v>16946.311707763205</v>
      </c>
      <c r="T37" s="59">
        <f t="shared" si="62"/>
        <v>17793.627293151367</v>
      </c>
      <c r="U37" s="59">
        <f t="shared" si="62"/>
        <v>18683.308657808935</v>
      </c>
      <c r="Y37" s="53">
        <v>61373</v>
      </c>
      <c r="Z37" s="53">
        <v>60357</v>
      </c>
      <c r="AA37" s="53">
        <v>60406</v>
      </c>
      <c r="AB37" s="59">
        <f>J37+K37+L37+M37</f>
        <v>38816</v>
      </c>
      <c r="AC37" s="59">
        <f>SUM(N37:Q37)</f>
        <v>54982.85764608001</v>
      </c>
      <c r="AD37" s="59">
        <f>SUM(R37:U37)</f>
        <v>69562.59214230752</v>
      </c>
      <c r="AE37" s="59">
        <f>AD37*1.01</f>
        <v>70258.218063730601</v>
      </c>
      <c r="AF37" s="59">
        <f t="shared" ref="AF37:AP37" si="63">AE37*1.01</f>
        <v>70960.800244367914</v>
      </c>
      <c r="AG37" s="59">
        <f t="shared" si="63"/>
        <v>71670.408246811596</v>
      </c>
      <c r="AH37" s="59">
        <f t="shared" si="63"/>
        <v>72387.112329279713</v>
      </c>
      <c r="AI37" s="59">
        <f t="shared" si="63"/>
        <v>73110.983452572516</v>
      </c>
      <c r="AJ37" s="59">
        <f t="shared" si="63"/>
        <v>73842.093287098236</v>
      </c>
      <c r="AK37" s="59">
        <f t="shared" si="63"/>
        <v>74580.51421996922</v>
      </c>
      <c r="AL37" s="59">
        <f t="shared" si="63"/>
        <v>75326.319362168913</v>
      </c>
      <c r="AM37" s="59">
        <f t="shared" si="63"/>
        <v>76079.582555790606</v>
      </c>
      <c r="AN37" s="59">
        <f t="shared" si="63"/>
        <v>76840.378381348506</v>
      </c>
      <c r="AO37" s="59">
        <f t="shared" si="63"/>
        <v>77608.782165161989</v>
      </c>
      <c r="AP37" s="59">
        <f t="shared" si="63"/>
        <v>78384.869986813603</v>
      </c>
    </row>
    <row r="38" spans="1:42">
      <c r="A38" s="53" t="s">
        <v>2</v>
      </c>
      <c r="B38" s="53">
        <v>15993</v>
      </c>
      <c r="C38" s="53">
        <v>21746</v>
      </c>
      <c r="D38" s="53">
        <v>24453</v>
      </c>
      <c r="E38" s="53">
        <f>Z38-B38-C38-D38</f>
        <v>47145</v>
      </c>
      <c r="F38" s="53">
        <v>19371</v>
      </c>
      <c r="G38" s="53">
        <v>29114</v>
      </c>
      <c r="H38" s="53">
        <v>20850</v>
      </c>
      <c r="I38" s="53">
        <f>AA38-H38-G38-F38</f>
        <v>17962</v>
      </c>
      <c r="J38" s="53">
        <v>4193</v>
      </c>
      <c r="K38" s="53">
        <v>16007</v>
      </c>
      <c r="L38" s="59">
        <v>13335</v>
      </c>
      <c r="M38" s="59">
        <v>8669</v>
      </c>
      <c r="N38" s="59">
        <f>M38*0.5</f>
        <v>4334.5</v>
      </c>
      <c r="O38" s="59">
        <f t="shared" ref="O38:U38" si="64">N38*1.01</f>
        <v>4377.8450000000003</v>
      </c>
      <c r="P38" s="59">
        <f t="shared" si="64"/>
        <v>4421.62345</v>
      </c>
      <c r="Q38" s="59">
        <f t="shared" si="64"/>
        <v>4465.8396844999997</v>
      </c>
      <c r="R38" s="59">
        <f t="shared" si="64"/>
        <v>4510.4980813450002</v>
      </c>
      <c r="S38" s="59">
        <f t="shared" si="64"/>
        <v>4555.6030621584505</v>
      </c>
      <c r="T38" s="59">
        <f t="shared" si="64"/>
        <v>4601.1590927800353</v>
      </c>
      <c r="U38" s="59">
        <f t="shared" si="64"/>
        <v>4647.1706837078355</v>
      </c>
      <c r="Y38" s="53">
        <v>79325</v>
      </c>
      <c r="Z38" s="53">
        <v>109337</v>
      </c>
      <c r="AA38" s="53">
        <v>87297</v>
      </c>
      <c r="AB38" s="59">
        <f>J38+K38+L38+M38</f>
        <v>42204</v>
      </c>
      <c r="AC38" s="59">
        <f>SUM(N38:Q38)</f>
        <v>17599.808134499999</v>
      </c>
      <c r="AD38" s="59">
        <f>SUM(R38:U38)</f>
        <v>18314.430919991322</v>
      </c>
      <c r="AE38" s="59">
        <f>AD38*0.98</f>
        <v>17948.142301591495</v>
      </c>
      <c r="AF38" s="59">
        <f t="shared" ref="AF38:AP38" si="65">AE38*0.98</f>
        <v>17589.179455559664</v>
      </c>
      <c r="AG38" s="59">
        <f t="shared" si="65"/>
        <v>17237.395866448471</v>
      </c>
      <c r="AH38" s="59">
        <f t="shared" si="65"/>
        <v>16892.647949119502</v>
      </c>
      <c r="AI38" s="59">
        <f t="shared" si="65"/>
        <v>16554.79499013711</v>
      </c>
      <c r="AJ38" s="59">
        <f t="shared" si="65"/>
        <v>16223.699090334369</v>
      </c>
      <c r="AK38" s="59">
        <f t="shared" si="65"/>
        <v>15899.22510852768</v>
      </c>
      <c r="AL38" s="59">
        <f t="shared" si="65"/>
        <v>15581.240606357127</v>
      </c>
      <c r="AM38" s="59">
        <f t="shared" si="65"/>
        <v>15269.615794229985</v>
      </c>
      <c r="AN38" s="59">
        <f t="shared" si="65"/>
        <v>14964.223478345386</v>
      </c>
      <c r="AO38" s="59">
        <f t="shared" si="65"/>
        <v>14664.939008778478</v>
      </c>
      <c r="AP38" s="59">
        <f t="shared" si="65"/>
        <v>14371.640228602908</v>
      </c>
    </row>
    <row r="39" spans="1:42">
      <c r="A39" s="53" t="s">
        <v>14</v>
      </c>
      <c r="B39" s="53">
        <f>B37+B38</f>
        <v>30787</v>
      </c>
      <c r="C39" s="53">
        <f t="shared" ref="C39:U39" si="66">C37+C38</f>
        <v>36490</v>
      </c>
      <c r="D39" s="53">
        <f t="shared" si="66"/>
        <v>39569</v>
      </c>
      <c r="E39" s="53">
        <f t="shared" si="66"/>
        <v>62848</v>
      </c>
      <c r="F39" s="53">
        <f t="shared" si="66"/>
        <v>33686</v>
      </c>
      <c r="G39" s="53">
        <f t="shared" si="66"/>
        <v>44071</v>
      </c>
      <c r="H39" s="53">
        <f t="shared" si="66"/>
        <v>33093</v>
      </c>
      <c r="I39" s="53">
        <f t="shared" si="66"/>
        <v>36853</v>
      </c>
      <c r="J39" s="53">
        <f t="shared" si="66"/>
        <v>14063</v>
      </c>
      <c r="K39" s="59">
        <f t="shared" si="66"/>
        <v>25392</v>
      </c>
      <c r="L39" s="59">
        <f t="shared" si="66"/>
        <v>21598</v>
      </c>
      <c r="M39" s="59">
        <f>M37+M38</f>
        <v>19967</v>
      </c>
      <c r="N39" s="59">
        <f t="shared" si="66"/>
        <v>16536.34</v>
      </c>
      <c r="O39" s="59">
        <f t="shared" si="66"/>
        <v>17555.832200000001</v>
      </c>
      <c r="P39" s="59">
        <f t="shared" si="66"/>
        <v>18653.849626000003</v>
      </c>
      <c r="Q39" s="59">
        <f t="shared" si="66"/>
        <v>19836.643954580002</v>
      </c>
      <c r="R39" s="59">
        <f t="shared" si="66"/>
        <v>20649.842564929004</v>
      </c>
      <c r="S39" s="59">
        <f t="shared" si="66"/>
        <v>21501.914769921656</v>
      </c>
      <c r="T39" s="59">
        <f t="shared" si="66"/>
        <v>22394.786385931402</v>
      </c>
      <c r="U39" s="59">
        <f t="shared" si="66"/>
        <v>23330.47934151677</v>
      </c>
      <c r="Y39" s="53">
        <f>Y37+Y38</f>
        <v>140698</v>
      </c>
      <c r="Z39" s="53">
        <f>B39+C39+D39+E39</f>
        <v>169694</v>
      </c>
      <c r="AA39" s="53">
        <f>F39+G39+H39+I39</f>
        <v>147703</v>
      </c>
      <c r="AB39" s="59">
        <f>J39+K39+L39+M39</f>
        <v>81020</v>
      </c>
      <c r="AC39" s="59">
        <f>AC37+AC38</f>
        <v>72582.665780580006</v>
      </c>
      <c r="AD39" s="59">
        <f>AD37+AD38</f>
        <v>87877.023062298846</v>
      </c>
      <c r="AE39" s="59">
        <f t="shared" ref="AE39:AP39" si="67">AE37+AE38</f>
        <v>88206.360365322093</v>
      </c>
      <c r="AF39" s="59">
        <f t="shared" si="67"/>
        <v>88549.979699927586</v>
      </c>
      <c r="AG39" s="59">
        <f t="shared" si="67"/>
        <v>88907.804113260063</v>
      </c>
      <c r="AH39" s="59">
        <f t="shared" si="67"/>
        <v>89279.760278399219</v>
      </c>
      <c r="AI39" s="59">
        <f t="shared" si="67"/>
        <v>89665.778442709619</v>
      </c>
      <c r="AJ39" s="59">
        <f t="shared" si="67"/>
        <v>90065.792377432605</v>
      </c>
      <c r="AK39" s="59">
        <f t="shared" si="67"/>
        <v>90479.7393284969</v>
      </c>
      <c r="AL39" s="59">
        <f t="shared" si="67"/>
        <v>90907.559968526039</v>
      </c>
      <c r="AM39" s="59">
        <f t="shared" si="67"/>
        <v>91349.198350020597</v>
      </c>
      <c r="AN39" s="59">
        <f t="shared" si="67"/>
        <v>91804.601859693896</v>
      </c>
      <c r="AO39" s="59">
        <f t="shared" si="67"/>
        <v>92273.721173940459</v>
      </c>
      <c r="AP39" s="59">
        <f t="shared" si="67"/>
        <v>92756.510215416507</v>
      </c>
    </row>
    <row r="40" spans="1:42">
      <c r="A40" s="53" t="s">
        <v>0</v>
      </c>
      <c r="B40" s="59">
        <f t="shared" ref="B40:U40" si="68">B35-B39</f>
        <v>-30787</v>
      </c>
      <c r="C40" s="59">
        <f t="shared" si="68"/>
        <v>-36490</v>
      </c>
      <c r="D40" s="59">
        <f t="shared" si="68"/>
        <v>-39569</v>
      </c>
      <c r="E40" s="59">
        <f t="shared" si="68"/>
        <v>-62848</v>
      </c>
      <c r="F40" s="59">
        <f t="shared" si="68"/>
        <v>-33686</v>
      </c>
      <c r="G40" s="59">
        <f t="shared" si="68"/>
        <v>-44071</v>
      </c>
      <c r="H40" s="59">
        <f t="shared" si="68"/>
        <v>-33093</v>
      </c>
      <c r="I40" s="59">
        <f t="shared" si="68"/>
        <v>-36853</v>
      </c>
      <c r="J40" s="59">
        <f t="shared" si="68"/>
        <v>-14063</v>
      </c>
      <c r="K40" s="59">
        <f t="shared" si="68"/>
        <v>-25392</v>
      </c>
      <c r="L40" s="59">
        <f t="shared" si="68"/>
        <v>-21598</v>
      </c>
      <c r="M40" s="59">
        <f>M35-M39</f>
        <v>-11645</v>
      </c>
      <c r="N40" s="59">
        <f t="shared" si="68"/>
        <v>875.95972501835786</v>
      </c>
      <c r="O40" s="59">
        <f t="shared" si="68"/>
        <v>-21.646376906519436</v>
      </c>
      <c r="P40" s="59">
        <f t="shared" si="68"/>
        <v>3417.3067788189219</v>
      </c>
      <c r="Q40" s="59">
        <f t="shared" si="68"/>
        <v>2389.0105450726478</v>
      </c>
      <c r="R40" s="59">
        <f t="shared" si="68"/>
        <v>6207.6383324512572</v>
      </c>
      <c r="S40" s="59">
        <f t="shared" si="68"/>
        <v>5543.5684937402657</v>
      </c>
      <c r="T40" s="59">
        <f t="shared" si="68"/>
        <v>4840.0152605761577</v>
      </c>
      <c r="U40" s="59">
        <f t="shared" si="68"/>
        <v>4094.9659165163321</v>
      </c>
      <c r="Y40" s="53">
        <f>Y36-Y39</f>
        <v>-140698</v>
      </c>
      <c r="Z40" s="53">
        <f t="shared" ref="Z40:AA40" si="69">Z36-Z39</f>
        <v>-169694</v>
      </c>
      <c r="AA40" s="53">
        <f t="shared" si="69"/>
        <v>-147703</v>
      </c>
      <c r="AB40" s="59">
        <f>AB35-AB39</f>
        <v>-72698</v>
      </c>
      <c r="AC40" s="59">
        <f t="shared" ref="AC40:AD40" si="70">AC35-AC39</f>
        <v>6660.630672003419</v>
      </c>
      <c r="AD40" s="59">
        <f t="shared" si="70"/>
        <v>20686.188003283998</v>
      </c>
      <c r="AE40" s="59">
        <f t="shared" ref="AE40" si="71">AE35-AE39</f>
        <v>8665.4279701210617</v>
      </c>
      <c r="AF40" s="59">
        <f t="shared" ref="AF40" si="72">AF35-AF39</f>
        <v>18518.838986614835</v>
      </c>
      <c r="AG40" s="59">
        <f t="shared" ref="AG40" si="73">AG35-AG39</f>
        <v>24109.282278090293</v>
      </c>
      <c r="AH40" s="59">
        <f t="shared" ref="AH40" si="74">AH35-AH39</f>
        <v>23737.326112951137</v>
      </c>
      <c r="AI40" s="59">
        <f t="shared" ref="AI40" si="75">AI35-AI39</f>
        <v>23351.307948640766</v>
      </c>
      <c r="AJ40" s="59">
        <f t="shared" ref="AJ40" si="76">AJ35-AJ39</f>
        <v>22951.294013917781</v>
      </c>
      <c r="AK40" s="59">
        <f t="shared" ref="AK40" si="77">AK35-AK39</f>
        <v>22537.347062853456</v>
      </c>
      <c r="AL40" s="59">
        <f t="shared" ref="AL40" si="78">AL35-AL39</f>
        <v>22109.526422824347</v>
      </c>
      <c r="AM40" s="59">
        <f t="shared" ref="AM40" si="79">AM35-AM39</f>
        <v>21667.888041329788</v>
      </c>
      <c r="AN40" s="59">
        <f t="shared" ref="AN40" si="80">AN35-AN39</f>
        <v>21212.484531656461</v>
      </c>
      <c r="AO40" s="59">
        <f t="shared" ref="AO40" si="81">AO35-AO39</f>
        <v>20743.365217409926</v>
      </c>
      <c r="AP40" s="59">
        <f t="shared" ref="AP40" si="82">AP35-AP39</f>
        <v>20260.576175933849</v>
      </c>
    </row>
    <row r="41" spans="1:42">
      <c r="A41" s="53" t="s">
        <v>3</v>
      </c>
      <c r="B41" s="53">
        <v>704</v>
      </c>
      <c r="C41" s="53">
        <v>325</v>
      </c>
      <c r="D41" s="53">
        <v>188</v>
      </c>
      <c r="E41" s="53">
        <f>Z41-B41-C41-D41</f>
        <v>125</v>
      </c>
      <c r="F41" s="53">
        <v>84</v>
      </c>
      <c r="G41" s="53">
        <v>26</v>
      </c>
      <c r="H41" s="53">
        <v>11</v>
      </c>
      <c r="I41" s="53">
        <f>AA41-H41-G41-F41</f>
        <v>42</v>
      </c>
      <c r="J41" s="53">
        <v>11</v>
      </c>
      <c r="K41" s="53">
        <v>117</v>
      </c>
      <c r="L41" s="59">
        <v>128</v>
      </c>
      <c r="M41" s="59">
        <v>615</v>
      </c>
      <c r="N41" s="59">
        <f t="shared" ref="M41:U41" si="83">AVERAGE(J41:M41)</f>
        <v>217.75</v>
      </c>
      <c r="O41" s="59">
        <f t="shared" si="83"/>
        <v>269.4375</v>
      </c>
      <c r="P41" s="59">
        <f t="shared" si="83"/>
        <v>307.546875</v>
      </c>
      <c r="Q41" s="59">
        <f t="shared" si="83"/>
        <v>352.43359375</v>
      </c>
      <c r="R41" s="59">
        <f t="shared" si="83"/>
        <v>286.7919921875</v>
      </c>
      <c r="S41" s="59">
        <f t="shared" si="83"/>
        <v>304.052490234375</v>
      </c>
      <c r="T41" s="59">
        <f t="shared" si="83"/>
        <v>312.70623779296875</v>
      </c>
      <c r="U41" s="59">
        <f t="shared" si="83"/>
        <v>313.99607849121094</v>
      </c>
      <c r="Y41" s="53">
        <v>4996</v>
      </c>
      <c r="Z41" s="53">
        <v>1342</v>
      </c>
      <c r="AA41" s="53">
        <v>163</v>
      </c>
      <c r="AB41" s="59">
        <f>J41+K41+L41+M41</f>
        <v>871</v>
      </c>
      <c r="AC41" s="59">
        <f>SUM(N41:Q41)</f>
        <v>1147.16796875</v>
      </c>
      <c r="AD41" s="59">
        <f>SUM(R41:U41)</f>
        <v>1217.5467987060547</v>
      </c>
      <c r="AE41" s="59">
        <f>AD41</f>
        <v>1217.5467987060547</v>
      </c>
      <c r="AF41" s="59">
        <f t="shared" ref="AF41:AP41" si="84">AE41</f>
        <v>1217.5467987060547</v>
      </c>
      <c r="AG41" s="59">
        <f t="shared" si="84"/>
        <v>1217.5467987060547</v>
      </c>
      <c r="AH41" s="59">
        <f t="shared" si="84"/>
        <v>1217.5467987060547</v>
      </c>
      <c r="AI41" s="59">
        <f t="shared" si="84"/>
        <v>1217.5467987060547</v>
      </c>
      <c r="AJ41" s="59">
        <f t="shared" si="84"/>
        <v>1217.5467987060547</v>
      </c>
      <c r="AK41" s="59">
        <f t="shared" si="84"/>
        <v>1217.5467987060547</v>
      </c>
      <c r="AL41" s="59">
        <f t="shared" si="84"/>
        <v>1217.5467987060547</v>
      </c>
      <c r="AM41" s="59">
        <f t="shared" si="84"/>
        <v>1217.5467987060547</v>
      </c>
      <c r="AN41" s="59">
        <f t="shared" si="84"/>
        <v>1217.5467987060547</v>
      </c>
      <c r="AO41" s="59">
        <f t="shared" si="84"/>
        <v>1217.5467987060547</v>
      </c>
      <c r="AP41" s="59">
        <f t="shared" si="84"/>
        <v>1217.5467987060547</v>
      </c>
    </row>
    <row r="42" spans="1:42">
      <c r="A42" s="53" t="s">
        <v>142</v>
      </c>
      <c r="L42" s="59"/>
      <c r="M42" s="59">
        <v>-901</v>
      </c>
      <c r="N42" s="59">
        <f>-N43/4*N73</f>
        <v>-726.44400000000007</v>
      </c>
      <c r="O42" s="59">
        <f t="shared" ref="O42:U42" si="85">-O43/4*O73</f>
        <v>-726.44400000000007</v>
      </c>
      <c r="P42" s="59">
        <f t="shared" si="85"/>
        <v>-726.44400000000007</v>
      </c>
      <c r="Q42" s="59">
        <f t="shared" si="85"/>
        <v>-726.44400000000007</v>
      </c>
      <c r="R42" s="59">
        <f t="shared" si="85"/>
        <v>-619.61399999999992</v>
      </c>
      <c r="S42" s="59">
        <f t="shared" si="85"/>
        <v>-619.61399999999992</v>
      </c>
      <c r="T42" s="59">
        <f t="shared" si="85"/>
        <v>-619.61399999999992</v>
      </c>
      <c r="U42" s="59">
        <f t="shared" si="85"/>
        <v>-619.61399999999992</v>
      </c>
      <c r="AB42" s="59">
        <f>J42+K42+L42+M42</f>
        <v>-901</v>
      </c>
      <c r="AC42" s="59">
        <f>SUM(N42:Q42)</f>
        <v>-2905.7760000000003</v>
      </c>
      <c r="AD42" s="59">
        <f>SUM(R42:U42)</f>
        <v>-2478.4559999999997</v>
      </c>
      <c r="AE42" s="59">
        <f>AD42</f>
        <v>-2478.4559999999997</v>
      </c>
      <c r="AF42" s="59">
        <f>AE42</f>
        <v>-2478.4559999999997</v>
      </c>
      <c r="AG42" s="59">
        <f>AF42</f>
        <v>-2478.4559999999997</v>
      </c>
      <c r="AH42" s="59"/>
      <c r="AI42" s="59"/>
      <c r="AJ42" s="59"/>
      <c r="AK42" s="59"/>
      <c r="AL42" s="59"/>
      <c r="AM42" s="59"/>
      <c r="AN42" s="59"/>
      <c r="AO42" s="59"/>
      <c r="AP42" s="59"/>
    </row>
    <row r="43" spans="1:42">
      <c r="A43" s="53" t="s">
        <v>143</v>
      </c>
      <c r="L43" s="59"/>
      <c r="M43" s="68">
        <f>0.035+0.057</f>
        <v>9.1999999999999998E-2</v>
      </c>
      <c r="N43" s="68">
        <f>0.045+0.057</f>
        <v>0.10200000000000001</v>
      </c>
      <c r="O43" s="68">
        <f t="shared" ref="O43:Q43" si="86">0.045+0.057</f>
        <v>0.10200000000000001</v>
      </c>
      <c r="P43" s="68">
        <f t="shared" si="86"/>
        <v>0.10200000000000001</v>
      </c>
      <c r="Q43" s="68">
        <f t="shared" si="86"/>
        <v>0.10200000000000001</v>
      </c>
      <c r="R43" s="68">
        <f t="shared" ref="R43:U43" si="87">0.03+0.057</f>
        <v>8.6999999999999994E-2</v>
      </c>
      <c r="S43" s="68">
        <f t="shared" si="87"/>
        <v>8.6999999999999994E-2</v>
      </c>
      <c r="T43" s="68">
        <f t="shared" si="87"/>
        <v>8.6999999999999994E-2</v>
      </c>
      <c r="U43" s="68">
        <f t="shared" si="87"/>
        <v>8.6999999999999994E-2</v>
      </c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</row>
    <row r="44" spans="1:42">
      <c r="A44" s="53" t="s">
        <v>4</v>
      </c>
      <c r="B44" s="53">
        <v>-10534</v>
      </c>
      <c r="C44" s="53">
        <v>3945</v>
      </c>
      <c r="D44" s="53">
        <v>-9131</v>
      </c>
      <c r="E44" s="53">
        <f>Z44-B44-C44-D44</f>
        <v>12780</v>
      </c>
      <c r="F44" s="53">
        <v>-2081</v>
      </c>
      <c r="G44" s="53">
        <v>-5876</v>
      </c>
      <c r="H44" s="53">
        <v>9</v>
      </c>
      <c r="I44" s="53">
        <f>AA44-H44-G44-F44</f>
        <v>-2944</v>
      </c>
      <c r="J44" s="53">
        <v>-1334</v>
      </c>
      <c r="K44" s="53">
        <v>-3757</v>
      </c>
      <c r="L44" s="59">
        <v>-443</v>
      </c>
      <c r="M44" s="59">
        <v>202</v>
      </c>
      <c r="N44" s="59">
        <f>M44*0.97</f>
        <v>195.94</v>
      </c>
      <c r="O44" s="59">
        <f t="shared" ref="O44:U44" si="88">N44*0.97</f>
        <v>190.06180000000001</v>
      </c>
      <c r="P44" s="59">
        <f t="shared" si="88"/>
        <v>184.35994600000001</v>
      </c>
      <c r="Q44" s="59">
        <f t="shared" si="88"/>
        <v>178.82914762000001</v>
      </c>
      <c r="R44" s="59">
        <f t="shared" si="88"/>
        <v>173.4642731914</v>
      </c>
      <c r="S44" s="59">
        <f t="shared" si="88"/>
        <v>168.26034499565799</v>
      </c>
      <c r="T44" s="59">
        <f t="shared" si="88"/>
        <v>163.21253464578825</v>
      </c>
      <c r="U44" s="59">
        <f t="shared" si="88"/>
        <v>158.3161586064146</v>
      </c>
      <c r="Y44" s="53">
        <v>-8892</v>
      </c>
      <c r="Z44" s="53">
        <v>-2940</v>
      </c>
      <c r="AA44" s="53">
        <v>-10892</v>
      </c>
      <c r="AB44" s="59">
        <f>J44+K44+L44+M44</f>
        <v>-5332</v>
      </c>
      <c r="AC44" s="59">
        <f>SUM(N44:Q44)</f>
        <v>749.19089362</v>
      </c>
      <c r="AD44" s="59">
        <f>SUM(R44:U44)</f>
        <v>663.25331143926087</v>
      </c>
      <c r="AE44" s="59">
        <f>AVERAGE(AA44:AD44)*0.68</f>
        <v>-2517.9644851399257</v>
      </c>
      <c r="AF44" s="59">
        <f t="shared" ref="AF44:AP44" si="89">AVERAGE(AB44:AE44)*0.68</f>
        <v>-1094.3784476137132</v>
      </c>
      <c r="AG44" s="59">
        <f t="shared" si="89"/>
        <v>-373.98278370804428</v>
      </c>
      <c r="AH44" s="59">
        <f t="shared" si="89"/>
        <v>-564.92230885381184</v>
      </c>
      <c r="AI44" s="59">
        <f t="shared" si="89"/>
        <v>-773.71216430363415</v>
      </c>
      <c r="AJ44" s="59">
        <f t="shared" si="89"/>
        <v>-477.18926976146463</v>
      </c>
      <c r="AK44" s="59">
        <f t="shared" si="89"/>
        <v>-372.26710952658237</v>
      </c>
      <c r="AL44" s="59">
        <f t="shared" si="89"/>
        <v>-371.97544491573387</v>
      </c>
      <c r="AM44" s="59">
        <f t="shared" si="89"/>
        <v>-339.17447804626062</v>
      </c>
      <c r="AN44" s="59">
        <f t="shared" si="89"/>
        <v>-265.30307138250703</v>
      </c>
      <c r="AO44" s="59">
        <f t="shared" si="89"/>
        <v>-229.28241765808431</v>
      </c>
      <c r="AP44" s="59">
        <f t="shared" si="89"/>
        <v>-204.97502004043957</v>
      </c>
    </row>
    <row r="45" spans="1:42">
      <c r="A45" s="53" t="s">
        <v>67</v>
      </c>
      <c r="B45" s="59">
        <f>B40+B41+B44</f>
        <v>-40617</v>
      </c>
      <c r="C45" s="59">
        <f t="shared" ref="C45:U45" si="90">C40+C41+C44</f>
        <v>-32220</v>
      </c>
      <c r="D45" s="59">
        <f t="shared" si="90"/>
        <v>-48512</v>
      </c>
      <c r="E45" s="59">
        <f t="shared" si="90"/>
        <v>-49943</v>
      </c>
      <c r="F45" s="59">
        <f t="shared" si="90"/>
        <v>-35683</v>
      </c>
      <c r="G45" s="59">
        <f t="shared" si="90"/>
        <v>-49921</v>
      </c>
      <c r="H45" s="59">
        <f t="shared" si="90"/>
        <v>-33073</v>
      </c>
      <c r="I45" s="59">
        <f t="shared" si="90"/>
        <v>-39755</v>
      </c>
      <c r="J45" s="59">
        <f>J40+J41+J44+J42</f>
        <v>-15386</v>
      </c>
      <c r="K45" s="59">
        <f t="shared" ref="K45:L45" si="91">K40+K41+K44+K42</f>
        <v>-29032</v>
      </c>
      <c r="L45" s="59">
        <f t="shared" si="91"/>
        <v>-21913</v>
      </c>
      <c r="M45" s="59">
        <f>M40+M41+M44+M42</f>
        <v>-11729</v>
      </c>
      <c r="N45" s="59">
        <f>N40+N41+N44</f>
        <v>1289.6497250183579</v>
      </c>
      <c r="O45" s="59">
        <f t="shared" si="90"/>
        <v>437.85292309348057</v>
      </c>
      <c r="P45" s="59">
        <f t="shared" si="90"/>
        <v>3909.2135998189219</v>
      </c>
      <c r="Q45" s="59">
        <f t="shared" si="90"/>
        <v>2920.273286442648</v>
      </c>
      <c r="R45" s="59">
        <f t="shared" si="90"/>
        <v>6667.8945978301572</v>
      </c>
      <c r="S45" s="59">
        <f t="shared" si="90"/>
        <v>6015.8813289702985</v>
      </c>
      <c r="T45" s="59">
        <f t="shared" si="90"/>
        <v>5315.9340330149143</v>
      </c>
      <c r="U45" s="59">
        <f t="shared" si="90"/>
        <v>4567.2781536139573</v>
      </c>
      <c r="Y45" s="53">
        <f>Y40+Y41+Y44</f>
        <v>-144594</v>
      </c>
      <c r="Z45" s="53">
        <f t="shared" ref="Z45:AB45" si="92">Z40+Z41+Z44</f>
        <v>-171292</v>
      </c>
      <c r="AA45" s="53">
        <f t="shared" si="92"/>
        <v>-158432</v>
      </c>
      <c r="AB45" s="59">
        <f t="shared" si="92"/>
        <v>-77159</v>
      </c>
      <c r="AC45" s="59">
        <f t="shared" ref="AC45" si="93">AC40+AC41+AC44</f>
        <v>8556.9895343734188</v>
      </c>
      <c r="AD45" s="59">
        <f t="shared" ref="AD45" si="94">AD40+AD41+AD44</f>
        <v>22566.988113429314</v>
      </c>
      <c r="AE45" s="59">
        <f t="shared" ref="AE45" si="95">AE40+AE41+AE44</f>
        <v>7365.0102836871902</v>
      </c>
      <c r="AF45" s="59">
        <f t="shared" ref="AF45" si="96">AF40+AF41+AF44</f>
        <v>18642.007337707179</v>
      </c>
      <c r="AG45" s="59">
        <f t="shared" ref="AG45" si="97">AG40+AG41+AG44</f>
        <v>24952.846293088303</v>
      </c>
      <c r="AH45" s="59">
        <f t="shared" ref="AH45" si="98">AH40+AH41+AH44</f>
        <v>24389.950602803379</v>
      </c>
      <c r="AI45" s="59">
        <f t="shared" ref="AI45" si="99">AI40+AI41+AI44</f>
        <v>23795.142583043187</v>
      </c>
      <c r="AJ45" s="59">
        <f t="shared" ref="AJ45" si="100">AJ40+AJ41+AJ44</f>
        <v>23691.651542862372</v>
      </c>
      <c r="AK45" s="59">
        <f t="shared" ref="AK45" si="101">AK40+AK41+AK44</f>
        <v>23382.626752032927</v>
      </c>
      <c r="AL45" s="59">
        <f t="shared" ref="AL45" si="102">AL40+AL41+AL44</f>
        <v>22955.097776614668</v>
      </c>
      <c r="AM45" s="59">
        <f t="shared" ref="AM45" si="103">AM40+AM41+AM44</f>
        <v>22546.260361989582</v>
      </c>
      <c r="AN45" s="59">
        <f t="shared" ref="AN45" si="104">AN40+AN41+AN44</f>
        <v>22164.728258980009</v>
      </c>
      <c r="AO45" s="59">
        <f t="shared" ref="AO45" si="105">AO40+AO41+AO44</f>
        <v>21731.629598457897</v>
      </c>
      <c r="AP45" s="59">
        <f t="shared" ref="AP45" si="106">AP40+AP41+AP44</f>
        <v>21273.147954599466</v>
      </c>
    </row>
    <row r="46" spans="1:42">
      <c r="A46" s="53" t="s">
        <v>5</v>
      </c>
      <c r="C46" s="53">
        <v>-9</v>
      </c>
      <c r="D46" s="53">
        <v>-6</v>
      </c>
      <c r="E46" s="53">
        <f>Z46-B46-C46-D46</f>
        <v>75</v>
      </c>
      <c r="F46" s="53">
        <v>7</v>
      </c>
      <c r="G46" s="53">
        <v>-16</v>
      </c>
      <c r="I46" s="53">
        <f>AA46-H46-G46-F46</f>
        <v>5</v>
      </c>
      <c r="J46" s="53">
        <v>-16</v>
      </c>
      <c r="K46" s="53">
        <v>-13</v>
      </c>
      <c r="L46" s="59">
        <v>-16</v>
      </c>
      <c r="M46" s="59">
        <v>0</v>
      </c>
      <c r="N46" s="59">
        <f t="shared" ref="M46:O46" si="107">AVERAGE(J46:M46)</f>
        <v>-11.25</v>
      </c>
      <c r="O46" s="59">
        <f t="shared" si="107"/>
        <v>-10.0625</v>
      </c>
      <c r="P46" s="59">
        <f>-0.2*P45</f>
        <v>-781.84271996378448</v>
      </c>
      <c r="Q46" s="59">
        <f t="shared" ref="Q46:U46" si="108">-0.2*Q45</f>
        <v>-584.0546572885296</v>
      </c>
      <c r="R46" s="59">
        <f t="shared" si="108"/>
        <v>-1333.5789195660316</v>
      </c>
      <c r="S46" s="59">
        <f t="shared" si="108"/>
        <v>-1203.1762657940596</v>
      </c>
      <c r="T46" s="59">
        <f t="shared" si="108"/>
        <v>-1063.1868066029829</v>
      </c>
      <c r="U46" s="59">
        <f t="shared" si="108"/>
        <v>-913.45563072279151</v>
      </c>
      <c r="Y46" s="53">
        <v>9208</v>
      </c>
      <c r="Z46" s="53">
        <v>60</v>
      </c>
      <c r="AA46" s="53">
        <v>-4</v>
      </c>
      <c r="AB46" s="59">
        <f>J46+K46+L46+M46</f>
        <v>-45</v>
      </c>
      <c r="AC46" s="59">
        <f>SUM(N46:Q46)</f>
        <v>-1387.2098772523141</v>
      </c>
      <c r="AD46" s="59">
        <f>SUM(R46:U46)</f>
        <v>-4513.3976226858658</v>
      </c>
      <c r="AE46" s="59">
        <f>-AE45*0.2</f>
        <v>-1473.0020567374381</v>
      </c>
      <c r="AF46" s="59">
        <f t="shared" ref="AF46:AP46" si="109">-AF45*0.2</f>
        <v>-3728.401467541436</v>
      </c>
      <c r="AG46" s="59">
        <f t="shared" si="109"/>
        <v>-4990.569258617661</v>
      </c>
      <c r="AH46" s="59">
        <f t="shared" si="109"/>
        <v>-4877.9901205606757</v>
      </c>
      <c r="AI46" s="59">
        <f t="shared" si="109"/>
        <v>-4759.0285166086378</v>
      </c>
      <c r="AJ46" s="59">
        <f t="shared" si="109"/>
        <v>-4738.3303085724747</v>
      </c>
      <c r="AK46" s="59">
        <f t="shared" si="109"/>
        <v>-4676.5253504065859</v>
      </c>
      <c r="AL46" s="59">
        <f t="shared" si="109"/>
        <v>-4591.0195553229341</v>
      </c>
      <c r="AM46" s="59">
        <f t="shared" si="109"/>
        <v>-4509.2520723979169</v>
      </c>
      <c r="AN46" s="59">
        <f t="shared" si="109"/>
        <v>-4432.9456517960016</v>
      </c>
      <c r="AO46" s="59">
        <f t="shared" si="109"/>
        <v>-4346.3259196915797</v>
      </c>
      <c r="AP46" s="59">
        <f t="shared" si="109"/>
        <v>-4254.6295909198934</v>
      </c>
    </row>
    <row r="47" spans="1:42">
      <c r="A47" s="53" t="s">
        <v>6</v>
      </c>
      <c r="B47" s="53">
        <v>45</v>
      </c>
      <c r="C47" s="53">
        <v>144</v>
      </c>
      <c r="D47" s="53">
        <v>66</v>
      </c>
      <c r="E47" s="53">
        <f>Z47-B47-C47-D47</f>
        <v>10149</v>
      </c>
      <c r="F47" s="53">
        <v>-21</v>
      </c>
      <c r="G47" s="53">
        <v>-195</v>
      </c>
      <c r="H47" s="53">
        <v>-11</v>
      </c>
      <c r="I47" s="53">
        <v>36</v>
      </c>
      <c r="J47" s="53">
        <v>-40</v>
      </c>
      <c r="K47" s="53">
        <v>-3</v>
      </c>
      <c r="L47" s="53">
        <v>4</v>
      </c>
      <c r="M47" s="53">
        <v>2742</v>
      </c>
      <c r="Y47" s="53">
        <v>22697</v>
      </c>
      <c r="Z47" s="53">
        <v>10404</v>
      </c>
      <c r="AA47" s="53">
        <v>-192</v>
      </c>
      <c r="AB47" s="59">
        <f>J47+K47+L47+M47</f>
        <v>2703</v>
      </c>
      <c r="AC47" s="65"/>
      <c r="AD47" s="65"/>
    </row>
    <row r="48" spans="1:42" s="55" customFormat="1">
      <c r="A48" s="55" t="s">
        <v>68</v>
      </c>
      <c r="B48" s="65">
        <f>B45+B46+B47</f>
        <v>-40572</v>
      </c>
      <c r="C48" s="65">
        <f t="shared" ref="C48:U48" si="110">C45+C46+C47</f>
        <v>-32085</v>
      </c>
      <c r="D48" s="65">
        <f t="shared" si="110"/>
        <v>-48452</v>
      </c>
      <c r="E48" s="65">
        <f t="shared" si="110"/>
        <v>-39719</v>
      </c>
      <c r="F48" s="65">
        <f t="shared" si="110"/>
        <v>-35697</v>
      </c>
      <c r="G48" s="65">
        <f t="shared" si="110"/>
        <v>-50132</v>
      </c>
      <c r="H48" s="65">
        <f t="shared" si="110"/>
        <v>-33084</v>
      </c>
      <c r="I48" s="65">
        <f t="shared" si="110"/>
        <v>-39714</v>
      </c>
      <c r="J48" s="65">
        <f t="shared" si="110"/>
        <v>-15442</v>
      </c>
      <c r="K48" s="65">
        <f t="shared" si="110"/>
        <v>-29048</v>
      </c>
      <c r="L48" s="65">
        <f t="shared" si="110"/>
        <v>-21925</v>
      </c>
      <c r="M48" s="65">
        <f t="shared" si="110"/>
        <v>-8987</v>
      </c>
      <c r="N48" s="65">
        <f t="shared" si="110"/>
        <v>1278.3997250183579</v>
      </c>
      <c r="O48" s="65">
        <f t="shared" si="110"/>
        <v>427.79042309348057</v>
      </c>
      <c r="P48" s="65">
        <f t="shared" si="110"/>
        <v>3127.3708798551374</v>
      </c>
      <c r="Q48" s="65">
        <f t="shared" si="110"/>
        <v>2336.2186291541184</v>
      </c>
      <c r="R48" s="65">
        <f t="shared" si="110"/>
        <v>5334.3156782641254</v>
      </c>
      <c r="S48" s="65">
        <f t="shared" si="110"/>
        <v>4812.7050631762386</v>
      </c>
      <c r="T48" s="65">
        <f t="shared" si="110"/>
        <v>4252.7472264119315</v>
      </c>
      <c r="U48" s="65">
        <f t="shared" si="110"/>
        <v>3653.822522891166</v>
      </c>
      <c r="Y48" s="65">
        <f t="shared" ref="Y48" si="111">Y45+Y46+Y47</f>
        <v>-112689</v>
      </c>
      <c r="Z48" s="65">
        <f t="shared" ref="Z48" si="112">Z45+Z46+Z47</f>
        <v>-160828</v>
      </c>
      <c r="AA48" s="65">
        <f t="shared" ref="AA48:AB48" si="113">AA45+AA46+AA47</f>
        <v>-158628</v>
      </c>
      <c r="AB48" s="65">
        <f t="shared" si="113"/>
        <v>-74501</v>
      </c>
      <c r="AC48" s="65">
        <f t="shared" ref="AC48" si="114">AC45+AC46+AC47</f>
        <v>7169.7796571211047</v>
      </c>
      <c r="AD48" s="65">
        <f t="shared" ref="AD48" si="115">AD45+AD46+AD47</f>
        <v>18053.590490743449</v>
      </c>
      <c r="AE48" s="65">
        <f t="shared" ref="AE48" si="116">AE45+AE46+AE47</f>
        <v>5892.0082269497525</v>
      </c>
      <c r="AF48" s="65">
        <f t="shared" ref="AF48" si="117">AF45+AF46+AF47</f>
        <v>14913.605870165742</v>
      </c>
      <c r="AG48" s="65">
        <f t="shared" ref="AG48" si="118">AG45+AG46+AG47</f>
        <v>19962.277034470644</v>
      </c>
      <c r="AH48" s="65">
        <f t="shared" ref="AH48" si="119">AH45+AH46+AH47</f>
        <v>19511.960482242703</v>
      </c>
      <c r="AI48" s="65">
        <f t="shared" ref="AI48" si="120">AI45+AI46+AI47</f>
        <v>19036.114066434551</v>
      </c>
      <c r="AJ48" s="65">
        <f t="shared" ref="AJ48" si="121">AJ45+AJ46+AJ47</f>
        <v>18953.321234289899</v>
      </c>
      <c r="AK48" s="65">
        <f t="shared" ref="AK48" si="122">AK45+AK46+AK47</f>
        <v>18706.101401626343</v>
      </c>
      <c r="AL48" s="65">
        <f t="shared" ref="AL48" si="123">AL45+AL46+AL47</f>
        <v>18364.078221291733</v>
      </c>
      <c r="AM48" s="65">
        <f t="shared" ref="AM48" si="124">AM45+AM46+AM47</f>
        <v>18037.008289591664</v>
      </c>
      <c r="AN48" s="65">
        <f t="shared" ref="AN48" si="125">AN45+AN46+AN47</f>
        <v>17731.782607184006</v>
      </c>
      <c r="AO48" s="65">
        <f t="shared" ref="AO48" si="126">AO45+AO46+AO47</f>
        <v>17385.303678766319</v>
      </c>
      <c r="AP48" s="65">
        <f t="shared" ref="AP48" si="127">AP45+AP46+AP47</f>
        <v>17018.518363679574</v>
      </c>
    </row>
    <row r="50" spans="1:42">
      <c r="A50" s="53" t="s">
        <v>70</v>
      </c>
      <c r="B50" s="59">
        <f>B52</f>
        <v>111.78057099999999</v>
      </c>
      <c r="C50" s="59">
        <f t="shared" ref="C50:K50" si="128">C52</f>
        <v>112.61574400000001</v>
      </c>
      <c r="D50" s="59">
        <f t="shared" si="128"/>
        <v>131.455727</v>
      </c>
      <c r="E50" s="59">
        <f t="shared" si="128"/>
        <v>124.386545</v>
      </c>
      <c r="F50" s="59">
        <f t="shared" si="128"/>
        <v>145.371657</v>
      </c>
      <c r="G50" s="59">
        <f t="shared" si="128"/>
        <v>155.243402</v>
      </c>
      <c r="H50" s="59">
        <f t="shared" si="128"/>
        <v>159.26181800000001</v>
      </c>
      <c r="I50" s="59">
        <f t="shared" si="128"/>
        <v>154.861704</v>
      </c>
      <c r="J50" s="59">
        <f t="shared" si="128"/>
        <v>169.73501899999999</v>
      </c>
      <c r="K50" s="59">
        <f t="shared" si="128"/>
        <v>175.566757</v>
      </c>
      <c r="L50" s="59">
        <f>K50</f>
        <v>175.566757</v>
      </c>
      <c r="M50" s="59">
        <v>199.539109</v>
      </c>
      <c r="N50" s="59">
        <f t="shared" ref="M50:U50" si="129">M50</f>
        <v>199.539109</v>
      </c>
      <c r="O50" s="59">
        <f t="shared" si="129"/>
        <v>199.539109</v>
      </c>
      <c r="P50" s="59">
        <f t="shared" si="129"/>
        <v>199.539109</v>
      </c>
      <c r="Q50" s="59">
        <f t="shared" si="129"/>
        <v>199.539109</v>
      </c>
      <c r="R50" s="59">
        <f t="shared" si="129"/>
        <v>199.539109</v>
      </c>
      <c r="S50" s="59">
        <f t="shared" si="129"/>
        <v>199.539109</v>
      </c>
      <c r="T50" s="59">
        <f t="shared" si="129"/>
        <v>199.539109</v>
      </c>
      <c r="U50" s="59">
        <f t="shared" si="129"/>
        <v>199.539109</v>
      </c>
      <c r="Y50" s="53">
        <v>111</v>
      </c>
      <c r="Z50" s="59">
        <f>E50</f>
        <v>124.386545</v>
      </c>
      <c r="AA50" s="59">
        <f>I50</f>
        <v>154.861704</v>
      </c>
      <c r="AB50" s="59">
        <f>M50</f>
        <v>199.539109</v>
      </c>
      <c r="AC50" s="59">
        <f>Q50</f>
        <v>199.539109</v>
      </c>
      <c r="AD50" s="59">
        <f>U50</f>
        <v>199.539109</v>
      </c>
      <c r="AE50" s="59">
        <f>AD50</f>
        <v>199.539109</v>
      </c>
      <c r="AF50" s="59">
        <f t="shared" ref="AF50:AP50" si="130">AE50</f>
        <v>199.539109</v>
      </c>
      <c r="AG50" s="59">
        <f t="shared" si="130"/>
        <v>199.539109</v>
      </c>
      <c r="AH50" s="59">
        <f t="shared" si="130"/>
        <v>199.539109</v>
      </c>
      <c r="AI50" s="59">
        <f t="shared" si="130"/>
        <v>199.539109</v>
      </c>
      <c r="AJ50" s="59">
        <f t="shared" si="130"/>
        <v>199.539109</v>
      </c>
      <c r="AK50" s="59">
        <f t="shared" si="130"/>
        <v>199.539109</v>
      </c>
      <c r="AL50" s="59">
        <f t="shared" si="130"/>
        <v>199.539109</v>
      </c>
      <c r="AM50" s="59">
        <f t="shared" si="130"/>
        <v>199.539109</v>
      </c>
      <c r="AN50" s="59">
        <f t="shared" si="130"/>
        <v>199.539109</v>
      </c>
      <c r="AO50" s="59">
        <f t="shared" si="130"/>
        <v>199.539109</v>
      </c>
      <c r="AP50" s="59">
        <f t="shared" si="130"/>
        <v>199.539109</v>
      </c>
    </row>
    <row r="51" spans="1:42">
      <c r="A51" s="53" t="s">
        <v>71</v>
      </c>
      <c r="B51" s="69">
        <f t="shared" ref="B51:U51" si="131">B48/B50/1000</f>
        <v>-0.36296110886747929</v>
      </c>
      <c r="C51" s="69">
        <f t="shared" si="131"/>
        <v>-0.28490687767422646</v>
      </c>
      <c r="D51" s="69">
        <f t="shared" si="131"/>
        <v>-0.36858036622474422</v>
      </c>
      <c r="E51" s="69">
        <f t="shared" si="131"/>
        <v>-0.31931910320364637</v>
      </c>
      <c r="F51" s="69">
        <f t="shared" si="131"/>
        <v>-0.24555680754192685</v>
      </c>
      <c r="G51" s="69">
        <f t="shared" si="131"/>
        <v>-0.32292515723148091</v>
      </c>
      <c r="H51" s="69">
        <f t="shared" si="131"/>
        <v>-0.20773340663485332</v>
      </c>
      <c r="I51" s="69">
        <f t="shared" si="131"/>
        <v>-0.25644816616508365</v>
      </c>
      <c r="J51" s="69">
        <f t="shared" si="131"/>
        <v>-9.0977101195599472E-2</v>
      </c>
      <c r="K51" s="69">
        <f t="shared" si="131"/>
        <v>-0.16545273431233909</v>
      </c>
      <c r="L51" s="69">
        <f t="shared" si="131"/>
        <v>-0.1248812723698029</v>
      </c>
      <c r="M51" s="69">
        <f t="shared" si="131"/>
        <v>-4.5038789864497192E-2</v>
      </c>
      <c r="N51" s="69">
        <f t="shared" si="131"/>
        <v>6.4067627214791159E-3</v>
      </c>
      <c r="O51" s="69">
        <f t="shared" si="131"/>
        <v>2.1438926195339507E-3</v>
      </c>
      <c r="P51" s="69">
        <f t="shared" si="131"/>
        <v>1.5672972058099834E-2</v>
      </c>
      <c r="Q51" s="69">
        <f t="shared" si="131"/>
        <v>1.1708073875152557E-2</v>
      </c>
      <c r="R51" s="69">
        <f t="shared" si="131"/>
        <v>2.6733183810418466E-2</v>
      </c>
      <c r="S51" s="69">
        <f t="shared" si="131"/>
        <v>2.4119106711939054E-2</v>
      </c>
      <c r="T51" s="69">
        <f t="shared" si="131"/>
        <v>2.1312850637274981E-2</v>
      </c>
      <c r="U51" s="69">
        <f t="shared" si="131"/>
        <v>1.8311310204813865E-2</v>
      </c>
      <c r="Y51" s="69">
        <f>Y48/Y50/1000</f>
        <v>-1.0152162162162162</v>
      </c>
      <c r="Z51" s="69">
        <f>SUM(B51:E51)</f>
        <v>-1.3357674559700963</v>
      </c>
      <c r="AA51" s="69">
        <f>SUM(F51:I51)</f>
        <v>-1.0326635375733446</v>
      </c>
      <c r="AB51" s="69">
        <f>SUM(J51:M51)</f>
        <v>-0.42634989774223864</v>
      </c>
      <c r="AC51" s="69">
        <f>SUM(N51:Q51)</f>
        <v>3.5931701274265454E-2</v>
      </c>
      <c r="AD51" s="69">
        <f>SUM(R51:U51)</f>
        <v>9.0476451364446375E-2</v>
      </c>
      <c r="AE51" s="69">
        <f t="shared" ref="AE51:AP51" si="132">AE48/AE50/1000</f>
        <v>2.9528087283128807E-2</v>
      </c>
      <c r="AF51" s="69">
        <f t="shared" si="132"/>
        <v>7.4740264928043476E-2</v>
      </c>
      <c r="AG51" s="69">
        <f t="shared" si="132"/>
        <v>0.10004192729191069</v>
      </c>
      <c r="AH51" s="69">
        <f t="shared" si="132"/>
        <v>9.7785143874941832E-2</v>
      </c>
      <c r="AI51" s="69">
        <f t="shared" si="132"/>
        <v>9.5400416298513951E-2</v>
      </c>
      <c r="AJ51" s="69">
        <f t="shared" si="132"/>
        <v>9.4985495972570971E-2</v>
      </c>
      <c r="AK51" s="69">
        <f t="shared" si="132"/>
        <v>9.3746541694873176E-2</v>
      </c>
      <c r="AL51" s="69">
        <f t="shared" si="132"/>
        <v>9.203247580549101E-2</v>
      </c>
      <c r="AM51" s="69">
        <f t="shared" si="132"/>
        <v>9.039334885268864E-2</v>
      </c>
      <c r="AN51" s="69">
        <f t="shared" si="132"/>
        <v>8.8863695423156405E-2</v>
      </c>
      <c r="AO51" s="69">
        <f t="shared" si="132"/>
        <v>8.7127299334419289E-2</v>
      </c>
      <c r="AP51" s="69">
        <f t="shared" si="132"/>
        <v>8.5289136796133411E-2</v>
      </c>
    </row>
    <row r="52" spans="1:42" s="59" customFormat="1">
      <c r="A52" s="53" t="s">
        <v>73</v>
      </c>
      <c r="B52" s="59">
        <v>111.78057099999999</v>
      </c>
      <c r="C52" s="59">
        <v>112.61574400000001</v>
      </c>
      <c r="D52" s="59">
        <v>131.455727</v>
      </c>
      <c r="E52" s="59">
        <f>Z52</f>
        <v>124.386545</v>
      </c>
      <c r="F52" s="59">
        <v>145.371657</v>
      </c>
      <c r="G52" s="59">
        <v>155.243402</v>
      </c>
      <c r="H52" s="59">
        <v>159.26181800000001</v>
      </c>
      <c r="I52" s="59">
        <f>AA52</f>
        <v>154.861704</v>
      </c>
      <c r="J52" s="59">
        <v>169.73501899999999</v>
      </c>
      <c r="K52" s="59">
        <v>175.566757</v>
      </c>
      <c r="L52" s="59">
        <f>K52*(1.03)</f>
        <v>180.83375971000001</v>
      </c>
      <c r="M52" s="59">
        <f t="shared" ref="M52:N52" si="133">L52*(1.03)</f>
        <v>186.2587725013</v>
      </c>
      <c r="N52" s="59">
        <f t="shared" si="133"/>
        <v>191.84653567633902</v>
      </c>
      <c r="O52" s="59">
        <f>N52*1.005</f>
        <v>192.8057683547207</v>
      </c>
      <c r="P52" s="59">
        <f t="shared" ref="P52:U52" si="134">O52*1.005</f>
        <v>193.76979719649427</v>
      </c>
      <c r="Q52" s="59">
        <f t="shared" si="134"/>
        <v>194.73864618247671</v>
      </c>
      <c r="R52" s="59">
        <f t="shared" si="134"/>
        <v>195.71233941338909</v>
      </c>
      <c r="S52" s="59">
        <f t="shared" si="134"/>
        <v>196.69090111045602</v>
      </c>
      <c r="T52" s="59">
        <f t="shared" si="134"/>
        <v>197.67435561600828</v>
      </c>
      <c r="U52" s="59">
        <f t="shared" si="134"/>
        <v>198.66272739408831</v>
      </c>
      <c r="Y52" s="59">
        <v>110.585768</v>
      </c>
      <c r="Z52" s="59">
        <v>124.386545</v>
      </c>
      <c r="AA52" s="59">
        <v>154.861704</v>
      </c>
      <c r="AB52" s="59">
        <f>M52</f>
        <v>186.2587725013</v>
      </c>
      <c r="AC52" s="59">
        <f>Q52</f>
        <v>194.73864618247671</v>
      </c>
      <c r="AD52" s="59">
        <f>U52</f>
        <v>198.66272739408831</v>
      </c>
      <c r="AE52" s="59">
        <f>AD52*(1.01)</f>
        <v>200.64935466802919</v>
      </c>
      <c r="AF52" s="59">
        <f t="shared" ref="AF52:AP52" si="135">AE52*(1.01)</f>
        <v>202.65584821470949</v>
      </c>
      <c r="AG52" s="59">
        <f t="shared" si="135"/>
        <v>204.68240669685659</v>
      </c>
      <c r="AH52" s="59">
        <f t="shared" si="135"/>
        <v>206.72923076382514</v>
      </c>
      <c r="AI52" s="59">
        <f t="shared" si="135"/>
        <v>208.79652307146338</v>
      </c>
      <c r="AJ52" s="59">
        <f t="shared" si="135"/>
        <v>210.88448830217803</v>
      </c>
      <c r="AK52" s="59">
        <f t="shared" si="135"/>
        <v>212.99333318519982</v>
      </c>
      <c r="AL52" s="59">
        <f t="shared" si="135"/>
        <v>215.1232665170518</v>
      </c>
      <c r="AM52" s="59">
        <f t="shared" si="135"/>
        <v>217.27449918222231</v>
      </c>
      <c r="AN52" s="59">
        <f t="shared" si="135"/>
        <v>219.44724417404453</v>
      </c>
      <c r="AO52" s="59">
        <f t="shared" si="135"/>
        <v>221.64171661578499</v>
      </c>
      <c r="AP52" s="59">
        <f t="shared" si="135"/>
        <v>223.85813378194283</v>
      </c>
    </row>
    <row r="53" spans="1:42" s="59" customFormat="1">
      <c r="A53" s="53" t="s">
        <v>72</v>
      </c>
      <c r="B53" s="69">
        <f t="shared" ref="B53:U53" si="136">B48/B52/1000</f>
        <v>-0.36296110886747929</v>
      </c>
      <c r="C53" s="69">
        <f t="shared" si="136"/>
        <v>-0.28490687767422646</v>
      </c>
      <c r="D53" s="69">
        <f t="shared" si="136"/>
        <v>-0.36858036622474422</v>
      </c>
      <c r="E53" s="69">
        <f t="shared" si="136"/>
        <v>-0.31931910320364637</v>
      </c>
      <c r="F53" s="69">
        <f t="shared" si="136"/>
        <v>-0.24555680754192685</v>
      </c>
      <c r="G53" s="69">
        <f t="shared" si="136"/>
        <v>-0.32292515723148091</v>
      </c>
      <c r="H53" s="69">
        <f t="shared" si="136"/>
        <v>-0.20773340663485332</v>
      </c>
      <c r="I53" s="69">
        <f t="shared" si="136"/>
        <v>-0.25644816616508365</v>
      </c>
      <c r="J53" s="69">
        <f t="shared" si="136"/>
        <v>-9.0977101195599472E-2</v>
      </c>
      <c r="K53" s="69">
        <f t="shared" si="136"/>
        <v>-0.16545273431233909</v>
      </c>
      <c r="L53" s="69">
        <f t="shared" si="136"/>
        <v>-0.12124395375709018</v>
      </c>
      <c r="M53" s="69">
        <f t="shared" si="136"/>
        <v>-4.8250076381971617E-2</v>
      </c>
      <c r="N53" s="69">
        <f t="shared" si="136"/>
        <v>6.6636581187742901E-3</v>
      </c>
      <c r="O53" s="69">
        <f t="shared" si="136"/>
        <v>2.2187636124373581E-3</v>
      </c>
      <c r="P53" s="69">
        <f t="shared" si="136"/>
        <v>1.6139619925822572E-2</v>
      </c>
      <c r="Q53" s="69">
        <f t="shared" si="136"/>
        <v>1.1996687226453256E-2</v>
      </c>
      <c r="R53" s="69">
        <f t="shared" si="136"/>
        <v>2.725589860226868E-2</v>
      </c>
      <c r="S53" s="69">
        <f t="shared" si="136"/>
        <v>2.4468366538590209E-2</v>
      </c>
      <c r="T53" s="69">
        <f t="shared" si="136"/>
        <v>2.1513904588985191E-2</v>
      </c>
      <c r="U53" s="69">
        <f t="shared" si="136"/>
        <v>1.8392088797024614E-2</v>
      </c>
      <c r="Y53" s="69">
        <f t="shared" ref="Y53:AP53" si="137">Y48/Y52/1000</f>
        <v>-1.0190190115603301</v>
      </c>
      <c r="Z53" s="69">
        <f t="shared" si="137"/>
        <v>-1.2929694284860151</v>
      </c>
      <c r="AA53" s="69">
        <f t="shared" si="137"/>
        <v>-1.0243203833014778</v>
      </c>
      <c r="AB53" s="69">
        <f t="shared" si="137"/>
        <v>-0.3999865294907386</v>
      </c>
      <c r="AC53" s="69">
        <f t="shared" si="137"/>
        <v>3.6817446344999123E-2</v>
      </c>
      <c r="AD53" s="69">
        <f t="shared" si="137"/>
        <v>9.0875579569238696E-2</v>
      </c>
      <c r="AE53" s="69">
        <f t="shared" si="137"/>
        <v>2.9364700607674397E-2</v>
      </c>
      <c r="AF53" s="69">
        <f t="shared" si="137"/>
        <v>7.3590799385000225E-2</v>
      </c>
      <c r="AG53" s="69">
        <f t="shared" si="137"/>
        <v>9.7528055081136655E-2</v>
      </c>
      <c r="AH53" s="69">
        <f t="shared" si="137"/>
        <v>9.438413914737516E-2</v>
      </c>
      <c r="AI53" s="69">
        <f t="shared" si="137"/>
        <v>9.117064684031731E-2</v>
      </c>
      <c r="AJ53" s="69">
        <f t="shared" si="137"/>
        <v>8.9875369150582279E-2</v>
      </c>
      <c r="AK53" s="69">
        <f t="shared" si="137"/>
        <v>8.7824821189878291E-2</v>
      </c>
      <c r="AL53" s="69">
        <f t="shared" si="137"/>
        <v>8.5365374552994241E-2</v>
      </c>
      <c r="AM53" s="69">
        <f t="shared" si="137"/>
        <v>8.3014842319183102E-2</v>
      </c>
      <c r="AN53" s="69">
        <f t="shared" si="137"/>
        <v>8.0802029088690025E-2</v>
      </c>
      <c r="AO53" s="69">
        <f t="shared" si="137"/>
        <v>7.8438770210860931E-2</v>
      </c>
      <c r="AP53" s="69">
        <f t="shared" si="137"/>
        <v>7.6023676585533773E-2</v>
      </c>
    </row>
    <row r="54" spans="1:42" s="59" customFormat="1">
      <c r="A54" s="53"/>
    </row>
    <row r="55" spans="1:42"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</row>
    <row r="56" spans="1:42" s="70" customFormat="1">
      <c r="A56" s="70" t="s">
        <v>146</v>
      </c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</row>
    <row r="57" spans="1:42"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</row>
    <row r="58" spans="1:42">
      <c r="A58" s="53" t="s">
        <v>147</v>
      </c>
      <c r="B58" s="59"/>
      <c r="C58" s="59"/>
      <c r="D58" s="59"/>
      <c r="E58" s="59">
        <v>46009</v>
      </c>
      <c r="F58" s="59">
        <v>69521</v>
      </c>
      <c r="G58" s="59">
        <v>114573</v>
      </c>
      <c r="H58" s="59">
        <v>107435</v>
      </c>
      <c r="I58" s="59">
        <v>88539</v>
      </c>
      <c r="J58" s="59">
        <f>I58+J124</f>
        <v>78679</v>
      </c>
      <c r="K58" s="59">
        <v>25512</v>
      </c>
      <c r="L58" s="59">
        <f>L126</f>
        <v>56255</v>
      </c>
    </row>
    <row r="59" spans="1:42">
      <c r="A59" s="53" t="s">
        <v>148</v>
      </c>
      <c r="E59" s="53">
        <v>134016</v>
      </c>
      <c r="F59" s="53">
        <v>93336</v>
      </c>
      <c r="G59" s="53">
        <v>44244</v>
      </c>
      <c r="H59" s="53">
        <v>26160</v>
      </c>
      <c r="I59" s="53">
        <v>12108</v>
      </c>
      <c r="J59" s="53">
        <v>10535</v>
      </c>
      <c r="K59" s="53">
        <v>42447</v>
      </c>
      <c r="L59" s="59">
        <v>43997</v>
      </c>
      <c r="M59" s="59"/>
      <c r="N59" s="59"/>
      <c r="O59" s="59"/>
      <c r="P59" s="59"/>
      <c r="Q59" s="59"/>
      <c r="R59" s="59"/>
      <c r="S59" s="59"/>
      <c r="T59" s="59"/>
      <c r="U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</row>
    <row r="60" spans="1:42">
      <c r="A60" s="53" t="s">
        <v>207</v>
      </c>
      <c r="E60" s="53">
        <v>67</v>
      </c>
      <c r="F60" s="53">
        <v>64</v>
      </c>
      <c r="L60" s="59"/>
      <c r="M60" s="59"/>
      <c r="N60" s="59"/>
      <c r="O60" s="59"/>
      <c r="P60" s="59"/>
      <c r="Q60" s="59"/>
      <c r="R60" s="59"/>
      <c r="S60" s="59"/>
      <c r="T60" s="59"/>
      <c r="U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</row>
    <row r="61" spans="1:42">
      <c r="A61" s="53" t="s">
        <v>149</v>
      </c>
      <c r="E61" s="53">
        <v>2394</v>
      </c>
      <c r="F61" s="53">
        <v>2795</v>
      </c>
      <c r="G61" s="53">
        <v>3532</v>
      </c>
      <c r="H61" s="53">
        <v>3863</v>
      </c>
      <c r="I61" s="53">
        <v>1028</v>
      </c>
      <c r="J61" s="53">
        <v>639</v>
      </c>
      <c r="K61" s="53">
        <v>608</v>
      </c>
      <c r="L61" s="59">
        <v>586</v>
      </c>
      <c r="M61" s="59"/>
      <c r="N61" s="59"/>
      <c r="O61" s="59"/>
      <c r="P61" s="59"/>
      <c r="Q61" s="59"/>
      <c r="R61" s="59"/>
      <c r="S61" s="59"/>
      <c r="T61" s="59"/>
      <c r="U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</row>
    <row r="62" spans="1:42">
      <c r="A62" s="53" t="s">
        <v>150</v>
      </c>
      <c r="I62" s="59"/>
      <c r="L62" s="59">
        <v>9373</v>
      </c>
      <c r="M62" s="59"/>
      <c r="N62" s="59"/>
      <c r="O62" s="59"/>
      <c r="P62" s="59"/>
      <c r="Q62" s="59"/>
      <c r="R62" s="59"/>
      <c r="S62" s="59"/>
      <c r="T62" s="59"/>
      <c r="U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</row>
    <row r="63" spans="1:42">
      <c r="A63" s="53" t="s">
        <v>151</v>
      </c>
      <c r="E63" s="53">
        <v>4161</v>
      </c>
      <c r="F63" s="53">
        <v>3491</v>
      </c>
      <c r="G63" s="53">
        <v>3357</v>
      </c>
      <c r="H63" s="53">
        <v>2540</v>
      </c>
      <c r="I63" s="53">
        <v>2277</v>
      </c>
      <c r="J63" s="53">
        <v>3328</v>
      </c>
      <c r="K63" s="53">
        <v>5012</v>
      </c>
      <c r="L63" s="59">
        <v>2769</v>
      </c>
      <c r="M63" s="59"/>
      <c r="N63" s="59"/>
      <c r="O63" s="59"/>
      <c r="P63" s="59"/>
      <c r="Q63" s="59"/>
      <c r="R63" s="59"/>
      <c r="S63" s="59"/>
      <c r="T63" s="59"/>
      <c r="U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</row>
    <row r="64" spans="1:42">
      <c r="A64" s="53" t="s">
        <v>152</v>
      </c>
      <c r="E64" s="59">
        <f>E58+E59+E61+E62+E63</f>
        <v>186580</v>
      </c>
      <c r="F64" s="59">
        <f>F58+F59+F61+F62+F63</f>
        <v>169143</v>
      </c>
      <c r="G64" s="59">
        <f t="shared" ref="G64:H64" si="138">G58+G59+G61+G62+G63</f>
        <v>165706</v>
      </c>
      <c r="H64" s="59">
        <f t="shared" si="138"/>
        <v>139998</v>
      </c>
      <c r="I64" s="59">
        <f>I58+I59+I61+I62+I63</f>
        <v>103952</v>
      </c>
      <c r="J64" s="59">
        <f>J58+J59+J61+J62+J63</f>
        <v>93181</v>
      </c>
      <c r="K64" s="59">
        <f>K58+K59+K61+K62+K63</f>
        <v>73579</v>
      </c>
      <c r="L64" s="59">
        <f>L58+L59+L61+L62+L63</f>
        <v>112980</v>
      </c>
      <c r="M64" s="59"/>
      <c r="N64" s="59"/>
      <c r="O64" s="59"/>
      <c r="P64" s="59"/>
      <c r="Q64" s="59"/>
      <c r="R64" s="59"/>
      <c r="S64" s="59"/>
      <c r="T64" s="59"/>
      <c r="U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</row>
    <row r="65" spans="1:42">
      <c r="A65" s="53" t="s">
        <v>153</v>
      </c>
      <c r="E65" s="53">
        <v>3577</v>
      </c>
      <c r="F65" s="53">
        <v>3613</v>
      </c>
      <c r="G65" s="53">
        <v>3580</v>
      </c>
      <c r="H65" s="53">
        <v>507</v>
      </c>
      <c r="I65" s="53">
        <v>455</v>
      </c>
      <c r="J65" s="53">
        <v>418</v>
      </c>
      <c r="K65" s="53">
        <v>347</v>
      </c>
      <c r="L65" s="53">
        <v>422</v>
      </c>
    </row>
    <row r="66" spans="1:42">
      <c r="A66" s="53" t="s">
        <v>154</v>
      </c>
      <c r="E66" s="53">
        <v>2247</v>
      </c>
      <c r="F66" s="53">
        <v>1824</v>
      </c>
      <c r="G66" s="53">
        <v>1432</v>
      </c>
      <c r="H66" s="53">
        <v>2881</v>
      </c>
      <c r="I66" s="53">
        <v>2505</v>
      </c>
      <c r="J66" s="53">
        <v>2107</v>
      </c>
      <c r="K66" s="53">
        <v>1703</v>
      </c>
      <c r="L66" s="59">
        <v>1869</v>
      </c>
      <c r="M66" s="59"/>
      <c r="N66" s="59"/>
      <c r="O66" s="59"/>
      <c r="P66" s="59"/>
      <c r="Q66" s="59"/>
      <c r="R66" s="59"/>
      <c r="S66" s="59"/>
      <c r="T66" s="59"/>
      <c r="U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</row>
    <row r="67" spans="1:42">
      <c r="A67" s="53" t="s">
        <v>155</v>
      </c>
      <c r="E67" s="53">
        <v>4327</v>
      </c>
      <c r="F67" s="53">
        <v>4363</v>
      </c>
      <c r="G67" s="53">
        <v>4327</v>
      </c>
      <c r="H67" s="53">
        <v>4415</v>
      </c>
      <c r="I67" s="53">
        <v>4636</v>
      </c>
      <c r="J67" s="53">
        <v>4348</v>
      </c>
      <c r="K67" s="53">
        <v>3800</v>
      </c>
      <c r="L67" s="59">
        <v>3658</v>
      </c>
      <c r="M67" s="59"/>
      <c r="N67" s="59"/>
      <c r="O67" s="59"/>
      <c r="P67" s="59"/>
      <c r="Q67" s="59"/>
      <c r="R67" s="59"/>
      <c r="S67" s="59"/>
      <c r="T67" s="59"/>
      <c r="U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</row>
    <row r="68" spans="1:42" s="55" customFormat="1">
      <c r="A68" s="55" t="s">
        <v>156</v>
      </c>
      <c r="E68" s="65">
        <f>E64+E65+E66+E67+E60</f>
        <v>196798</v>
      </c>
      <c r="F68" s="65">
        <f>F64+F65+F66+F67+F60</f>
        <v>179007</v>
      </c>
      <c r="G68" s="65">
        <f t="shared" ref="G68:L68" si="139">G64+G65+G66+G67+G60</f>
        <v>175045</v>
      </c>
      <c r="H68" s="65">
        <f t="shared" si="139"/>
        <v>147801</v>
      </c>
      <c r="I68" s="65">
        <f t="shared" si="139"/>
        <v>111548</v>
      </c>
      <c r="J68" s="65">
        <f t="shared" si="139"/>
        <v>100054</v>
      </c>
      <c r="K68" s="65">
        <f t="shared" si="139"/>
        <v>79429</v>
      </c>
      <c r="L68" s="65">
        <f t="shared" si="139"/>
        <v>118929</v>
      </c>
    </row>
    <row r="70" spans="1:42">
      <c r="A70" s="53" t="s">
        <v>157</v>
      </c>
      <c r="E70" s="53">
        <v>43771</v>
      </c>
      <c r="F70" s="53">
        <v>42412</v>
      </c>
      <c r="G70" s="53">
        <v>50295</v>
      </c>
      <c r="H70" s="53">
        <v>48982</v>
      </c>
      <c r="I70" s="53">
        <v>41258</v>
      </c>
      <c r="J70" s="53">
        <v>32575</v>
      </c>
      <c r="K70" s="53">
        <v>33123</v>
      </c>
      <c r="L70" s="53">
        <v>42011</v>
      </c>
    </row>
    <row r="71" spans="1:42">
      <c r="A71" s="53" t="s">
        <v>158</v>
      </c>
      <c r="E71" s="53">
        <v>9375</v>
      </c>
      <c r="F71" s="53">
        <v>4967</v>
      </c>
      <c r="G71" s="53">
        <v>6404</v>
      </c>
      <c r="H71" s="53">
        <v>8290</v>
      </c>
      <c r="I71" s="53">
        <v>11971</v>
      </c>
      <c r="J71" s="53">
        <v>6633</v>
      </c>
      <c r="K71" s="53">
        <v>7918</v>
      </c>
      <c r="L71" s="59">
        <v>7613</v>
      </c>
      <c r="M71" s="59"/>
      <c r="N71" s="59"/>
      <c r="O71" s="59"/>
      <c r="P71" s="59"/>
      <c r="Q71" s="59"/>
      <c r="R71" s="59"/>
      <c r="S71" s="59"/>
      <c r="T71" s="59"/>
      <c r="U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</row>
    <row r="72" spans="1:42">
      <c r="A72" s="53" t="s">
        <v>159</v>
      </c>
      <c r="E72" s="59">
        <f>E70+E71</f>
        <v>53146</v>
      </c>
      <c r="F72" s="59">
        <f>F70+F71</f>
        <v>47379</v>
      </c>
      <c r="G72" s="59">
        <f t="shared" ref="G72:H72" si="140">G70+G71</f>
        <v>56699</v>
      </c>
      <c r="H72" s="59">
        <f t="shared" si="140"/>
        <v>57272</v>
      </c>
      <c r="I72" s="59">
        <f>I70+I71</f>
        <v>53229</v>
      </c>
      <c r="J72" s="59">
        <f>J70+J71</f>
        <v>39208</v>
      </c>
      <c r="K72" s="59">
        <f>K70+K71</f>
        <v>41041</v>
      </c>
      <c r="L72" s="59">
        <f>L70+L71</f>
        <v>49624</v>
      </c>
      <c r="M72" s="59"/>
      <c r="N72" s="59"/>
      <c r="O72" s="59"/>
      <c r="P72" s="59"/>
      <c r="Q72" s="59"/>
      <c r="R72" s="59"/>
      <c r="S72" s="59"/>
      <c r="T72" s="59"/>
      <c r="U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</row>
    <row r="73" spans="1:42">
      <c r="A73" s="53" t="s">
        <v>160</v>
      </c>
      <c r="L73" s="59">
        <v>28488</v>
      </c>
      <c r="M73" s="59">
        <f>L73</f>
        <v>28488</v>
      </c>
      <c r="N73" s="59">
        <f>M73</f>
        <v>28488</v>
      </c>
      <c r="O73" s="59">
        <f t="shared" ref="O73:U73" si="141">N73</f>
        <v>28488</v>
      </c>
      <c r="P73" s="59">
        <f t="shared" si="141"/>
        <v>28488</v>
      </c>
      <c r="Q73" s="59">
        <f t="shared" si="141"/>
        <v>28488</v>
      </c>
      <c r="R73" s="59">
        <f t="shared" si="141"/>
        <v>28488</v>
      </c>
      <c r="S73" s="59">
        <f t="shared" si="141"/>
        <v>28488</v>
      </c>
      <c r="T73" s="59">
        <f t="shared" si="141"/>
        <v>28488</v>
      </c>
      <c r="U73" s="59">
        <f t="shared" si="141"/>
        <v>28488</v>
      </c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</row>
    <row r="74" spans="1:42">
      <c r="A74" s="53" t="s">
        <v>161</v>
      </c>
      <c r="E74" s="53">
        <v>9409</v>
      </c>
      <c r="F74" s="53">
        <v>9189</v>
      </c>
      <c r="G74" s="53">
        <v>9758</v>
      </c>
      <c r="H74" s="53">
        <v>11065</v>
      </c>
      <c r="I74" s="53">
        <v>10766</v>
      </c>
      <c r="J74" s="53">
        <v>5590</v>
      </c>
      <c r="K74" s="53">
        <v>4946</v>
      </c>
      <c r="L74" s="59">
        <v>4965</v>
      </c>
      <c r="M74" s="59"/>
      <c r="N74" s="59"/>
      <c r="O74" s="59"/>
      <c r="P74" s="59"/>
      <c r="Q74" s="59"/>
      <c r="R74" s="59"/>
      <c r="S74" s="59"/>
      <c r="T74" s="59"/>
      <c r="U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</row>
    <row r="75" spans="1:42" s="55" customFormat="1">
      <c r="A75" s="55" t="s">
        <v>162</v>
      </c>
      <c r="E75" s="65">
        <f>E72+E73+E74</f>
        <v>62555</v>
      </c>
      <c r="F75" s="65">
        <f>F72+F73+F74</f>
        <v>56568</v>
      </c>
      <c r="G75" s="65">
        <f t="shared" ref="G75:H75" si="142">G72+G73+G74</f>
        <v>66457</v>
      </c>
      <c r="H75" s="65">
        <f t="shared" si="142"/>
        <v>68337</v>
      </c>
      <c r="I75" s="65">
        <f>I72+I73+I74</f>
        <v>63995</v>
      </c>
      <c r="J75" s="65">
        <f>J72+J73+J74</f>
        <v>44798</v>
      </c>
      <c r="K75" s="65">
        <f>K72+K73+K74</f>
        <v>45987</v>
      </c>
      <c r="L75" s="65">
        <f>L72+L73+L74</f>
        <v>83077</v>
      </c>
      <c r="M75" s="65"/>
      <c r="N75" s="65"/>
      <c r="O75" s="65"/>
      <c r="P75" s="65"/>
      <c r="Q75" s="65"/>
      <c r="R75" s="65"/>
      <c r="S75" s="65"/>
      <c r="T75" s="65"/>
      <c r="U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</row>
    <row r="77" spans="1:42">
      <c r="A77" s="53" t="s">
        <v>163</v>
      </c>
      <c r="E77" s="53">
        <v>146</v>
      </c>
      <c r="F77" s="53">
        <v>154</v>
      </c>
      <c r="G77" s="53">
        <v>164</v>
      </c>
      <c r="H77" s="53">
        <v>164</v>
      </c>
      <c r="I77" s="53">
        <v>165</v>
      </c>
      <c r="J77" s="53">
        <v>179</v>
      </c>
      <c r="K77" s="53">
        <v>185</v>
      </c>
      <c r="L77" s="53">
        <v>203</v>
      </c>
    </row>
    <row r="78" spans="1:42">
      <c r="A78" s="53" t="s">
        <v>164</v>
      </c>
      <c r="E78" s="53">
        <v>1021221</v>
      </c>
      <c r="F78" s="53">
        <v>1046784</v>
      </c>
      <c r="G78" s="53">
        <v>1082875</v>
      </c>
      <c r="H78" s="53">
        <v>1086989</v>
      </c>
      <c r="I78" s="53">
        <v>1094353</v>
      </c>
      <c r="J78" s="53">
        <v>1117350</v>
      </c>
      <c r="K78" s="53">
        <v>1124625</v>
      </c>
      <c r="L78" s="53">
        <v>1148996</v>
      </c>
    </row>
    <row r="79" spans="1:42">
      <c r="A79" s="53" t="s">
        <v>165</v>
      </c>
      <c r="E79" s="53">
        <v>-1829</v>
      </c>
      <c r="F79" s="53">
        <v>-3507</v>
      </c>
      <c r="G79" s="53">
        <v>-3327</v>
      </c>
      <c r="H79" s="53">
        <v>-3481</v>
      </c>
      <c r="I79" s="53">
        <v>-3042</v>
      </c>
      <c r="J79" s="53">
        <v>-2908</v>
      </c>
      <c r="K79" s="53">
        <v>-2955</v>
      </c>
      <c r="L79" s="53">
        <v>-3009</v>
      </c>
    </row>
    <row r="80" spans="1:42">
      <c r="A80" s="53" t="s">
        <v>166</v>
      </c>
      <c r="E80" s="53">
        <v>-885295</v>
      </c>
      <c r="F80" s="53">
        <v>-920992</v>
      </c>
      <c r="G80" s="59">
        <f>F80+G48</f>
        <v>-971124</v>
      </c>
      <c r="H80" s="59">
        <f t="shared" ref="H80:L80" si="143">G80+H48</f>
        <v>-1004208</v>
      </c>
      <c r="I80" s="59">
        <f t="shared" si="143"/>
        <v>-1043922</v>
      </c>
      <c r="J80" s="59">
        <f t="shared" si="143"/>
        <v>-1059364</v>
      </c>
      <c r="K80" s="59">
        <f t="shared" si="143"/>
        <v>-1088412</v>
      </c>
      <c r="L80" s="59">
        <f t="shared" si="143"/>
        <v>-1110337</v>
      </c>
    </row>
    <row r="81" spans="1:12">
      <c r="A81" s="53" t="s">
        <v>167</v>
      </c>
      <c r="E81" s="53">
        <f>E77+E78+E79+E80</f>
        <v>134243</v>
      </c>
      <c r="F81" s="53">
        <f>F77+F78+F79+F80</f>
        <v>122439</v>
      </c>
      <c r="G81" s="53">
        <f t="shared" ref="G81:H81" si="144">G77+G78+G79+G80</f>
        <v>108588</v>
      </c>
      <c r="H81" s="53">
        <f t="shared" si="144"/>
        <v>79464</v>
      </c>
      <c r="I81" s="53">
        <f>I77+I78+I79+I80</f>
        <v>47554</v>
      </c>
      <c r="J81" s="53">
        <f>J77+J78+J79+J80</f>
        <v>55257</v>
      </c>
      <c r="K81" s="53">
        <f>K77+K78+K79+K80</f>
        <v>33443</v>
      </c>
      <c r="L81" s="53">
        <f>L77+L78+L79+L80</f>
        <v>35853</v>
      </c>
    </row>
    <row r="82" spans="1:12">
      <c r="A82" s="53" t="s">
        <v>168</v>
      </c>
      <c r="E82" s="59">
        <f>E81+E75</f>
        <v>196798</v>
      </c>
      <c r="F82" s="59">
        <f>F81+F75</f>
        <v>179007</v>
      </c>
      <c r="G82" s="59">
        <f t="shared" ref="G82:H82" si="145">G81+G75</f>
        <v>175045</v>
      </c>
      <c r="H82" s="59">
        <f t="shared" si="145"/>
        <v>147801</v>
      </c>
      <c r="I82" s="59">
        <f>I81+I75</f>
        <v>111549</v>
      </c>
      <c r="J82" s="59">
        <f>J81+J75</f>
        <v>100055</v>
      </c>
      <c r="K82" s="59">
        <f>K81+K75</f>
        <v>79430</v>
      </c>
      <c r="L82" s="59">
        <f>L81+L75</f>
        <v>118930</v>
      </c>
    </row>
    <row r="84" spans="1:12">
      <c r="A84" s="53" t="s">
        <v>169</v>
      </c>
      <c r="E84" s="59">
        <f>E68-E82</f>
        <v>0</v>
      </c>
      <c r="F84" s="59">
        <f>F68-F82</f>
        <v>0</v>
      </c>
      <c r="G84" s="59">
        <f t="shared" ref="G84:H84" si="146">G68-G82</f>
        <v>0</v>
      </c>
      <c r="H84" s="59">
        <f t="shared" si="146"/>
        <v>0</v>
      </c>
      <c r="I84" s="59">
        <f>I68-I82</f>
        <v>-1</v>
      </c>
      <c r="J84" s="59">
        <f>J68-J82</f>
        <v>-1</v>
      </c>
      <c r="K84" s="59">
        <f>K68-K82</f>
        <v>-1</v>
      </c>
      <c r="L84" s="59">
        <f>L68-L82</f>
        <v>-1</v>
      </c>
    </row>
    <row r="86" spans="1:12">
      <c r="A86" s="53" t="s">
        <v>10</v>
      </c>
      <c r="E86" s="53">
        <v>146083110</v>
      </c>
      <c r="F86" s="53">
        <v>153728336</v>
      </c>
      <c r="G86" s="53">
        <v>164106060</v>
      </c>
      <c r="H86" s="53">
        <v>163957900</v>
      </c>
    </row>
    <row r="87" spans="1:12" s="70" customFormat="1">
      <c r="A87" s="70" t="s">
        <v>170</v>
      </c>
    </row>
    <row r="89" spans="1:12">
      <c r="A89" s="53" t="s">
        <v>68</v>
      </c>
      <c r="F89" s="59">
        <f>F48</f>
        <v>-35697</v>
      </c>
      <c r="G89" s="59">
        <f t="shared" ref="G89:I89" si="147">G48</f>
        <v>-50132</v>
      </c>
      <c r="H89" s="59">
        <f t="shared" si="147"/>
        <v>-33084</v>
      </c>
      <c r="I89" s="59">
        <f t="shared" si="147"/>
        <v>-39714</v>
      </c>
      <c r="J89" s="59">
        <f>J48</f>
        <v>-15442</v>
      </c>
      <c r="K89" s="59">
        <f t="shared" ref="K89:L89" si="148">K48</f>
        <v>-29048</v>
      </c>
      <c r="L89" s="59">
        <f t="shared" si="148"/>
        <v>-21925</v>
      </c>
    </row>
    <row r="90" spans="1:12">
      <c r="A90" s="53" t="s">
        <v>144</v>
      </c>
      <c r="F90" s="53">
        <v>65</v>
      </c>
      <c r="G90" s="53">
        <f>138-F90</f>
        <v>73</v>
      </c>
      <c r="H90" s="53">
        <f>212-G90-F90</f>
        <v>74</v>
      </c>
      <c r="J90" s="53">
        <v>73</v>
      </c>
      <c r="K90" s="53">
        <f>147-J90</f>
        <v>74</v>
      </c>
      <c r="L90" s="53">
        <f>200-K90-J90</f>
        <v>53</v>
      </c>
    </row>
    <row r="91" spans="1:12">
      <c r="A91" s="53" t="s">
        <v>188</v>
      </c>
      <c r="L91" s="53">
        <v>17</v>
      </c>
    </row>
    <row r="92" spans="1:12">
      <c r="A92" s="53" t="s">
        <v>145</v>
      </c>
      <c r="F92" s="53">
        <v>4212</v>
      </c>
      <c r="G92" s="53">
        <f>8572-F92</f>
        <v>4360</v>
      </c>
      <c r="H92" s="53">
        <f>12686-G92-F92</f>
        <v>4114</v>
      </c>
      <c r="J92" s="53">
        <v>3011</v>
      </c>
      <c r="K92" s="53">
        <f>5088-J92</f>
        <v>2077</v>
      </c>
      <c r="L92" s="53">
        <f>7635-K92-J92</f>
        <v>2547</v>
      </c>
    </row>
    <row r="93" spans="1:12">
      <c r="A93" s="53" t="s">
        <v>208</v>
      </c>
      <c r="H93" s="53">
        <v>3057</v>
      </c>
    </row>
    <row r="94" spans="1:12">
      <c r="A94" s="53" t="s">
        <v>171</v>
      </c>
      <c r="F94" s="53">
        <v>401</v>
      </c>
      <c r="G94" s="53">
        <f>766-F94</f>
        <v>365</v>
      </c>
      <c r="H94" s="53">
        <f>1151-G94-F94</f>
        <v>385</v>
      </c>
      <c r="J94" s="53">
        <v>358</v>
      </c>
      <c r="K94" s="53">
        <f>724-J94</f>
        <v>366</v>
      </c>
      <c r="L94" s="53">
        <f>539-K94-J94</f>
        <v>-185</v>
      </c>
    </row>
    <row r="95" spans="1:12">
      <c r="A95" s="53" t="s">
        <v>172</v>
      </c>
      <c r="F95" s="53">
        <v>68</v>
      </c>
      <c r="G95" s="53">
        <f>188-F95</f>
        <v>120</v>
      </c>
      <c r="H95" s="53">
        <f>281-G95-F95</f>
        <v>93</v>
      </c>
      <c r="J95" s="53">
        <v>462</v>
      </c>
      <c r="K95" s="53">
        <f>183-J95</f>
        <v>-279</v>
      </c>
      <c r="L95" s="53">
        <f>88-K95-J95</f>
        <v>-95</v>
      </c>
    </row>
    <row r="96" spans="1:12">
      <c r="A96" s="53" t="s">
        <v>173</v>
      </c>
      <c r="J96" s="53">
        <v>3</v>
      </c>
      <c r="K96" s="53">
        <f>4-J96</f>
        <v>1</v>
      </c>
      <c r="L96" s="53">
        <f>2-K96-J96</f>
        <v>-2</v>
      </c>
    </row>
    <row r="97" spans="1:12">
      <c r="A97" s="53" t="s">
        <v>174</v>
      </c>
      <c r="F97" s="53">
        <v>-2856</v>
      </c>
      <c r="G97" s="53">
        <f>-4121-F97</f>
        <v>-1265</v>
      </c>
      <c r="H97" s="53">
        <f>-4580-G97-F97</f>
        <v>-459</v>
      </c>
      <c r="J97" s="53">
        <v>-645</v>
      </c>
      <c r="K97" s="53">
        <f>-1390-J97</f>
        <v>-745</v>
      </c>
      <c r="L97" s="53">
        <f>1094-K97-J97</f>
        <v>2484</v>
      </c>
    </row>
    <row r="98" spans="1:12">
      <c r="A98" s="53" t="s">
        <v>175</v>
      </c>
      <c r="F98" s="53">
        <v>4999</v>
      </c>
      <c r="G98" s="53">
        <f>12387-F98</f>
        <v>7388</v>
      </c>
      <c r="H98" s="53">
        <f>12816-G98-F98</f>
        <v>429</v>
      </c>
      <c r="J98" s="53">
        <v>1538</v>
      </c>
      <c r="K98" s="53">
        <f>5488-J98</f>
        <v>3950</v>
      </c>
      <c r="L98" s="53">
        <f>3352-K98-J98</f>
        <v>-2136</v>
      </c>
    </row>
    <row r="100" spans="1:12">
      <c r="A100" s="53" t="s">
        <v>207</v>
      </c>
      <c r="G100" s="53">
        <v>68</v>
      </c>
      <c r="H100" s="53">
        <v>66</v>
      </c>
    </row>
    <row r="101" spans="1:12">
      <c r="A101" s="53" t="s">
        <v>176</v>
      </c>
      <c r="F101" s="53">
        <v>-324</v>
      </c>
      <c r="G101" s="53">
        <f>-1063-F101</f>
        <v>-739</v>
      </c>
      <c r="J101" s="53">
        <v>387</v>
      </c>
      <c r="K101" s="53">
        <f>414-J101</f>
        <v>27</v>
      </c>
      <c r="L101" s="53">
        <f>431-K101-J101</f>
        <v>17</v>
      </c>
    </row>
    <row r="102" spans="1:12">
      <c r="A102" s="53" t="s">
        <v>150</v>
      </c>
      <c r="L102" s="53">
        <v>-9373</v>
      </c>
    </row>
    <row r="103" spans="1:12">
      <c r="A103" s="53" t="s">
        <v>151</v>
      </c>
      <c r="F103" s="53">
        <v>670</v>
      </c>
      <c r="G103" s="53">
        <f>804-F103</f>
        <v>134</v>
      </c>
      <c r="J103" s="53">
        <v>-1051</v>
      </c>
      <c r="K103" s="53">
        <f>-2735-J103</f>
        <v>-1684</v>
      </c>
      <c r="L103" s="53">
        <f>-617-K103-J103</f>
        <v>2118</v>
      </c>
    </row>
    <row r="104" spans="1:12">
      <c r="A104" s="53" t="s">
        <v>155</v>
      </c>
      <c r="F104" s="53">
        <v>-36</v>
      </c>
      <c r="G104" s="53">
        <f>-1-F104</f>
        <v>35</v>
      </c>
      <c r="J104" s="53">
        <v>288</v>
      </c>
      <c r="K104" s="53">
        <f>834-J104</f>
        <v>546</v>
      </c>
      <c r="L104" s="53">
        <f>976-K104-J104</f>
        <v>142</v>
      </c>
    </row>
    <row r="105" spans="1:12">
      <c r="A105" s="53" t="s">
        <v>186</v>
      </c>
      <c r="F105" s="53">
        <v>-1681</v>
      </c>
      <c r="G105" s="53">
        <f>5933-F105</f>
        <v>7614</v>
      </c>
      <c r="J105" s="53">
        <v>-9944</v>
      </c>
      <c r="K105" s="53">
        <f>-8362-J105</f>
        <v>1582</v>
      </c>
      <c r="L105" s="53">
        <f>389-K105-J105</f>
        <v>8751</v>
      </c>
    </row>
    <row r="106" spans="1:12">
      <c r="A106" s="53" t="s">
        <v>158</v>
      </c>
      <c r="F106" s="53">
        <v>-4408</v>
      </c>
      <c r="G106" s="53">
        <f>--2971-F106</f>
        <v>7379</v>
      </c>
      <c r="J106" s="53">
        <v>-5338</v>
      </c>
      <c r="K106" s="53">
        <f>-4053-J106</f>
        <v>1285</v>
      </c>
      <c r="L106" s="53">
        <f>-4360-K106-J106</f>
        <v>-307</v>
      </c>
    </row>
    <row r="107" spans="1:12">
      <c r="A107" s="53" t="s">
        <v>161</v>
      </c>
      <c r="F107" s="53">
        <v>96</v>
      </c>
      <c r="G107" s="53">
        <f>988-F107</f>
        <v>892</v>
      </c>
      <c r="J107" s="53">
        <v>-3996</v>
      </c>
      <c r="K107" s="53">
        <f>-5594-J107</f>
        <v>-1598</v>
      </c>
      <c r="L107" s="53">
        <f>-5609-K107-J107</f>
        <v>-15</v>
      </c>
    </row>
    <row r="108" spans="1:12">
      <c r="A108" s="53" t="s">
        <v>177</v>
      </c>
      <c r="F108" s="59">
        <f>F89+SUM(F90:F107)</f>
        <v>-34491</v>
      </c>
      <c r="G108" s="59">
        <f>G89+SUM(G90:G107)</f>
        <v>-23708</v>
      </c>
      <c r="J108" s="59">
        <f>J89+SUM(J90:J107)</f>
        <v>-30296</v>
      </c>
      <c r="K108" s="59">
        <f t="shared" ref="K108:L108" si="149">K89+SUM(K90:K107)</f>
        <v>-23446</v>
      </c>
      <c r="L108" s="59">
        <f t="shared" si="149"/>
        <v>-17909</v>
      </c>
    </row>
    <row r="110" spans="1:12">
      <c r="A110" s="53" t="s">
        <v>178</v>
      </c>
      <c r="F110" s="53">
        <v>49823</v>
      </c>
      <c r="J110" s="53">
        <v>805</v>
      </c>
      <c r="K110" s="53">
        <f>2695-J110</f>
        <v>1890</v>
      </c>
      <c r="L110" s="53">
        <f>2799-K110-J110</f>
        <v>104</v>
      </c>
    </row>
    <row r="111" spans="1:12">
      <c r="A111" s="53" t="s">
        <v>179</v>
      </c>
      <c r="F111" s="53">
        <v>2858</v>
      </c>
      <c r="J111" s="53">
        <v>287</v>
      </c>
      <c r="K111" s="53">
        <f>985-J111</f>
        <v>698</v>
      </c>
      <c r="L111" s="53">
        <f>2028-K111-J111</f>
        <v>1043</v>
      </c>
    </row>
    <row r="112" spans="1:12">
      <c r="A112" s="53" t="s">
        <v>180</v>
      </c>
      <c r="F112" s="53">
        <v>-15964</v>
      </c>
      <c r="J112" s="53">
        <v>-625</v>
      </c>
      <c r="K112" s="53">
        <f>-38108-J112</f>
        <v>-37483</v>
      </c>
      <c r="L112" s="53">
        <f>-41023-K112-J112</f>
        <v>-2915</v>
      </c>
    </row>
    <row r="113" spans="1:12">
      <c r="A113" s="53" t="s">
        <v>181</v>
      </c>
      <c r="F113" s="53">
        <v>-73</v>
      </c>
      <c r="J113" s="53">
        <v>-39</v>
      </c>
      <c r="K113" s="53">
        <f>-45-J113</f>
        <v>-6</v>
      </c>
    </row>
    <row r="114" spans="1:12">
      <c r="A114" s="53" t="s">
        <v>182</v>
      </c>
      <c r="F114" s="53">
        <f>F110+F111+F112+F113</f>
        <v>36644</v>
      </c>
      <c r="J114" s="53">
        <f>J110+J111+J112+J113</f>
        <v>428</v>
      </c>
      <c r="K114" s="53">
        <f>K110+K111+K112+K113</f>
        <v>-34901</v>
      </c>
      <c r="L114" s="53">
        <f t="shared" ref="L114" si="150">L110+L112+L111+L113</f>
        <v>-1768</v>
      </c>
    </row>
    <row r="116" spans="1:12">
      <c r="A116" s="53" t="s">
        <v>183</v>
      </c>
      <c r="J116" s="53">
        <v>20000</v>
      </c>
    </row>
    <row r="117" spans="1:12">
      <c r="A117" s="53" t="s">
        <v>189</v>
      </c>
      <c r="L117" s="53">
        <v>28852</v>
      </c>
    </row>
    <row r="118" spans="1:12">
      <c r="A118" s="53" t="s">
        <v>209</v>
      </c>
      <c r="F118" s="53">
        <v>21357</v>
      </c>
      <c r="K118" s="53">
        <v>4947</v>
      </c>
      <c r="L118" s="53">
        <f>26560-K118-J118</f>
        <v>21613</v>
      </c>
    </row>
    <row r="119" spans="1:12">
      <c r="A119" s="53" t="s">
        <v>187</v>
      </c>
      <c r="K119" s="53">
        <v>257</v>
      </c>
    </row>
    <row r="120" spans="1:12">
      <c r="A120" s="53" t="s">
        <v>184</v>
      </c>
      <c r="F120" s="53">
        <f>F116+F118+F119</f>
        <v>21357</v>
      </c>
      <c r="J120" s="53">
        <f>J116+J118+J119</f>
        <v>20000</v>
      </c>
      <c r="K120" s="53">
        <f>K116+K118+K119</f>
        <v>5204</v>
      </c>
      <c r="L120" s="53">
        <f>L116+L118+L119+L117</f>
        <v>50465</v>
      </c>
    </row>
    <row r="122" spans="1:12">
      <c r="A122" s="53" t="s">
        <v>185</v>
      </c>
      <c r="F122" s="53">
        <v>2</v>
      </c>
      <c r="J122" s="53">
        <v>8</v>
      </c>
      <c r="K122" s="53">
        <f>-16-J122</f>
        <v>-24</v>
      </c>
      <c r="L122" s="53">
        <f>-61-K122-J122</f>
        <v>-45</v>
      </c>
    </row>
    <row r="124" spans="1:12" s="55" customFormat="1">
      <c r="A124" s="55" t="s">
        <v>7</v>
      </c>
      <c r="F124" s="65">
        <f>F120+F114+F108+F122</f>
        <v>23512</v>
      </c>
      <c r="G124" s="65">
        <f t="shared" ref="G124:I124" si="151">G120+G114+G108+G122</f>
        <v>-23708</v>
      </c>
      <c r="H124" s="65">
        <f t="shared" si="151"/>
        <v>0</v>
      </c>
      <c r="I124" s="65">
        <f t="shared" si="151"/>
        <v>0</v>
      </c>
      <c r="J124" s="65">
        <f>J120+J114+J108+J122</f>
        <v>-9860</v>
      </c>
      <c r="K124" s="65">
        <f t="shared" ref="K124:L124" si="152">K120+K114+K108+K122</f>
        <v>-53167</v>
      </c>
      <c r="L124" s="65">
        <f t="shared" si="152"/>
        <v>30743</v>
      </c>
    </row>
    <row r="125" spans="1:12">
      <c r="A125" s="53" t="s">
        <v>8</v>
      </c>
      <c r="F125" s="59">
        <f>E58</f>
        <v>46009</v>
      </c>
      <c r="G125" s="53">
        <f>F126</f>
        <v>69521</v>
      </c>
      <c r="H125" s="53">
        <f t="shared" ref="H125:I125" si="153">G126</f>
        <v>45813</v>
      </c>
      <c r="I125" s="53">
        <f t="shared" si="153"/>
        <v>45813</v>
      </c>
      <c r="J125" s="53">
        <v>88539</v>
      </c>
      <c r="K125" s="53">
        <f>J126</f>
        <v>78679</v>
      </c>
      <c r="L125" s="53">
        <f>K126</f>
        <v>25512</v>
      </c>
    </row>
    <row r="126" spans="1:12" s="55" customFormat="1">
      <c r="A126" s="55" t="s">
        <v>9</v>
      </c>
      <c r="F126" s="55">
        <f>F124+F125</f>
        <v>69521</v>
      </c>
      <c r="G126" s="55">
        <f>G124+G125</f>
        <v>45813</v>
      </c>
      <c r="H126" s="55">
        <f t="shared" ref="H126:I126" si="154">H124+H125</f>
        <v>45813</v>
      </c>
      <c r="I126" s="55">
        <f t="shared" si="154"/>
        <v>45813</v>
      </c>
      <c r="J126" s="55">
        <f>J124+J125</f>
        <v>78679</v>
      </c>
      <c r="K126" s="55">
        <f>K124+K125</f>
        <v>25512</v>
      </c>
      <c r="L126" s="55">
        <f>L124+L125</f>
        <v>56255</v>
      </c>
    </row>
  </sheetData>
  <hyperlinks>
    <hyperlink ref="A5" location="Main!A1" display="Main" xr:uid="{77FEB5F4-5422-CA46-BEAB-FAE029F57EAD}"/>
    <hyperlink ref="A6" location="'rNPV &amp; DCF Valuation'!A1" display="rNPV &amp; DCF Valuation" xr:uid="{D145BBC0-77F4-6B40-8C9F-EA46F020257A}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171A-3C96-BE48-8123-D3D37DE0D459}">
  <dimension ref="A3:A16"/>
  <sheetViews>
    <sheetView topLeftCell="A2" workbookViewId="0">
      <selection activeCell="B11" sqref="B11"/>
    </sheetView>
  </sheetViews>
  <sheetFormatPr baseColWidth="10" defaultRowHeight="16"/>
  <sheetData>
    <row r="3" spans="1:1">
      <c r="A3" t="s">
        <v>77</v>
      </c>
    </row>
    <row r="4" spans="1:1">
      <c r="A4" t="s">
        <v>203</v>
      </c>
    </row>
    <row r="5" spans="1:1">
      <c r="A5" t="s">
        <v>148</v>
      </c>
    </row>
    <row r="11" spans="1:1">
      <c r="A11" t="s">
        <v>78</v>
      </c>
    </row>
    <row r="13" spans="1:1">
      <c r="A13" t="s">
        <v>204</v>
      </c>
    </row>
    <row r="15" spans="1:1">
      <c r="A15" s="101" t="s">
        <v>206</v>
      </c>
    </row>
    <row r="16" spans="1:1">
      <c r="A16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62CA-43C1-D64B-986F-BEEDC840D6C6}">
  <dimension ref="A1:Q22"/>
  <sheetViews>
    <sheetView tabSelected="1" zoomScale="131" workbookViewId="0">
      <selection activeCell="H27" sqref="H27"/>
    </sheetView>
  </sheetViews>
  <sheetFormatPr baseColWidth="10" defaultRowHeight="14"/>
  <cols>
    <col min="1" max="1" width="10.83203125" style="80"/>
    <col min="2" max="2" width="15.33203125" style="80" customWidth="1"/>
    <col min="3" max="3" width="13.33203125" style="80" bestFit="1" customWidth="1"/>
    <col min="4" max="16384" width="10.83203125" style="80"/>
  </cols>
  <sheetData>
    <row r="1" spans="1:17" ht="36" customHeight="1">
      <c r="A1" s="79"/>
    </row>
    <row r="2" spans="1:17" ht="19">
      <c r="A2" s="81" t="s">
        <v>45</v>
      </c>
    </row>
    <row r="3" spans="1:17">
      <c r="A3" s="80" t="s">
        <v>53</v>
      </c>
    </row>
    <row r="5" spans="1:17" ht="16">
      <c r="A5" s="51" t="s">
        <v>87</v>
      </c>
    </row>
    <row r="6" spans="1:17" ht="16">
      <c r="A6" s="51" t="s">
        <v>66</v>
      </c>
    </row>
    <row r="8" spans="1:17">
      <c r="C8" s="82" t="s">
        <v>15</v>
      </c>
      <c r="D8" s="83" t="s">
        <v>24</v>
      </c>
      <c r="E8" s="84" t="s">
        <v>25</v>
      </c>
      <c r="F8" s="84" t="s">
        <v>26</v>
      </c>
      <c r="G8" s="84" t="s">
        <v>27</v>
      </c>
      <c r="H8" s="84" t="s">
        <v>28</v>
      </c>
      <c r="I8" s="84" t="s">
        <v>29</v>
      </c>
      <c r="J8" s="84" t="s">
        <v>30</v>
      </c>
      <c r="K8" s="84" t="s">
        <v>31</v>
      </c>
      <c r="L8" s="84" t="s">
        <v>32</v>
      </c>
      <c r="M8" s="84" t="s">
        <v>33</v>
      </c>
      <c r="N8" s="84" t="s">
        <v>34</v>
      </c>
      <c r="O8" s="84" t="s">
        <v>36</v>
      </c>
      <c r="P8" s="84" t="s">
        <v>35</v>
      </c>
      <c r="Q8" s="82" t="s">
        <v>60</v>
      </c>
    </row>
    <row r="9" spans="1:17">
      <c r="C9" s="85">
        <v>44926</v>
      </c>
      <c r="D9" s="86">
        <v>2023</v>
      </c>
      <c r="E9" s="87">
        <f t="shared" ref="E9:Q9" si="0">D9+1</f>
        <v>2024</v>
      </c>
      <c r="F9" s="87">
        <f t="shared" si="0"/>
        <v>2025</v>
      </c>
      <c r="G9" s="87">
        <f t="shared" si="0"/>
        <v>2026</v>
      </c>
      <c r="H9" s="87">
        <f t="shared" si="0"/>
        <v>2027</v>
      </c>
      <c r="I9" s="87">
        <f t="shared" si="0"/>
        <v>2028</v>
      </c>
      <c r="J9" s="87">
        <f t="shared" si="0"/>
        <v>2029</v>
      </c>
      <c r="K9" s="87">
        <f t="shared" si="0"/>
        <v>2030</v>
      </c>
      <c r="L9" s="87">
        <f t="shared" si="0"/>
        <v>2031</v>
      </c>
      <c r="M9" s="87">
        <f t="shared" si="0"/>
        <v>2032</v>
      </c>
      <c r="N9" s="87">
        <f t="shared" si="0"/>
        <v>2033</v>
      </c>
      <c r="O9" s="87">
        <f t="shared" si="0"/>
        <v>2034</v>
      </c>
      <c r="P9" s="87">
        <f t="shared" si="0"/>
        <v>2035</v>
      </c>
      <c r="Q9" s="88">
        <f t="shared" si="0"/>
        <v>2036</v>
      </c>
    </row>
    <row r="10" spans="1:17">
      <c r="B10" s="89" t="s">
        <v>80</v>
      </c>
      <c r="C10" s="59">
        <f>Model!M48</f>
        <v>-8987</v>
      </c>
      <c r="D10" s="59">
        <f>Model!AC48</f>
        <v>7169.7796571211047</v>
      </c>
      <c r="E10" s="59">
        <f>Model!AD48</f>
        <v>18053.590490743449</v>
      </c>
      <c r="F10" s="59">
        <f>Model!AE48</f>
        <v>5892.0082269497525</v>
      </c>
      <c r="G10" s="59">
        <f>Model!AF48</f>
        <v>14913.605870165742</v>
      </c>
      <c r="H10" s="59">
        <f>Model!AG48</f>
        <v>19962.277034470644</v>
      </c>
      <c r="I10" s="59">
        <f>Model!AH48</f>
        <v>19511.960482242703</v>
      </c>
      <c r="J10" s="59">
        <f>Model!AI48</f>
        <v>19036.114066434551</v>
      </c>
      <c r="K10" s="59">
        <f>Model!AJ48</f>
        <v>18953.321234289899</v>
      </c>
      <c r="L10" s="59">
        <f>Model!AK48</f>
        <v>18706.101401626343</v>
      </c>
      <c r="M10" s="59">
        <f>Model!AL48</f>
        <v>18364.078221291733</v>
      </c>
      <c r="N10" s="59">
        <f>Model!AM48</f>
        <v>18037.008289591664</v>
      </c>
      <c r="O10" s="59">
        <f>Model!AN48</f>
        <v>17731.782607184006</v>
      </c>
      <c r="P10" s="59">
        <f>Model!AO48</f>
        <v>17385.303678766319</v>
      </c>
      <c r="Q10" s="59">
        <f>Model!AP48</f>
        <v>17018.518363679574</v>
      </c>
    </row>
    <row r="11" spans="1:17">
      <c r="B11" s="8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</row>
    <row r="12" spans="1:17">
      <c r="B12" s="8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</row>
    <row r="13" spans="1:17"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</row>
    <row r="17" spans="2:3">
      <c r="B17" s="90" t="s">
        <v>74</v>
      </c>
      <c r="C17" s="91"/>
    </row>
    <row r="18" spans="2:3">
      <c r="B18" s="92" t="s">
        <v>81</v>
      </c>
      <c r="C18" s="93">
        <v>0.12</v>
      </c>
    </row>
    <row r="19" spans="2:3">
      <c r="B19" s="94" t="s">
        <v>82</v>
      </c>
      <c r="C19" s="95">
        <v>-0.99</v>
      </c>
    </row>
    <row r="20" spans="2:3">
      <c r="B20" s="94" t="s">
        <v>83</v>
      </c>
      <c r="C20" s="96">
        <f>NPV(C18,C10:Q10)+Q10/(C18-C19)</f>
        <v>98205.511456056483</v>
      </c>
    </row>
    <row r="21" spans="2:3">
      <c r="B21" s="94" t="s">
        <v>84</v>
      </c>
      <c r="C21" s="96">
        <f>C20+Main!P17-Main!P18</f>
        <v>169457.5114560565</v>
      </c>
    </row>
    <row r="22" spans="2:3">
      <c r="B22" s="97" t="s">
        <v>86</v>
      </c>
      <c r="C22" s="98">
        <f>C21/Main!P15/1000</f>
        <v>0.9652027203307999</v>
      </c>
    </row>
  </sheetData>
  <hyperlinks>
    <hyperlink ref="A5" location="Main!A1" display="Main" xr:uid="{B3D890D1-5152-F443-94D3-4C2FDF7BFFF2}"/>
    <hyperlink ref="A6" location="Model!A1" display="Model" xr:uid="{79E38381-8E08-424F-9B07-83116D3264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Main</vt:lpstr>
      <vt:lpstr>Model</vt:lpstr>
      <vt:lpstr>Schedule</vt:lpstr>
      <vt:lpstr>rNPV &amp; DCF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</dc:creator>
  <cp:lastModifiedBy>evan domingos - 2023</cp:lastModifiedBy>
  <dcterms:created xsi:type="dcterms:W3CDTF">2022-09-07T00:47:04Z</dcterms:created>
  <dcterms:modified xsi:type="dcterms:W3CDTF">2023-03-23T21:52:47Z</dcterms:modified>
</cp:coreProperties>
</file>