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esktop/WhiteSky/Models/"/>
    </mc:Choice>
  </mc:AlternateContent>
  <xr:revisionPtr revIDLastSave="0" documentId="13_ncr:1_{57F60843-32AD-8649-B5E2-75B1EF843E82}" xr6:coauthVersionLast="47" xr6:coauthVersionMax="47" xr10:uidLastSave="{00000000-0000-0000-0000-000000000000}"/>
  <bookViews>
    <workbookView xWindow="31240" yWindow="4320" windowWidth="30240" windowHeight="18880" xr2:uid="{2482CFD2-3389-9F40-8719-30315FC1B2AD}"/>
  </bookViews>
  <sheets>
    <sheet name="Cover" sheetId="5" r:id="rId1"/>
    <sheet name="Main" sheetId="2" r:id="rId2"/>
    <sheet name="Model" sheetId="1" r:id="rId3"/>
    <sheet name="rNPV &amp; DC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6" i="1" l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Y16" i="1"/>
  <c r="Q16" i="1"/>
  <c r="P16" i="1"/>
  <c r="O16" i="1"/>
  <c r="M16" i="1"/>
  <c r="N16" i="1"/>
  <c r="X15" i="1"/>
  <c r="W15" i="1"/>
  <c r="T9" i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J9" i="1"/>
  <c r="N9" i="1" s="1"/>
  <c r="K9" i="1"/>
  <c r="O9" i="1" s="1"/>
  <c r="L9" i="1"/>
  <c r="P9" i="1" s="1"/>
  <c r="I9" i="1"/>
  <c r="M9" i="1" s="1"/>
  <c r="Q9" i="1" s="1"/>
  <c r="C30" i="4"/>
  <c r="F7" i="4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C22" i="4"/>
  <c r="C8" i="4"/>
  <c r="U23" i="1"/>
  <c r="V23" i="1"/>
  <c r="X50" i="1"/>
  <c r="W50" i="1"/>
  <c r="V50" i="1"/>
  <c r="V12" i="1"/>
  <c r="T19" i="1"/>
  <c r="T23" i="1" s="1"/>
  <c r="T28" i="1"/>
  <c r="U28" i="1"/>
  <c r="S28" i="1"/>
  <c r="S29" i="1" s="1"/>
  <c r="J31" i="1"/>
  <c r="N31" i="1" s="1"/>
  <c r="K31" i="1"/>
  <c r="O31" i="1" s="1"/>
  <c r="H31" i="1"/>
  <c r="L31" i="1" s="1"/>
  <c r="P31" i="1" s="1"/>
  <c r="H27" i="1"/>
  <c r="I27" i="1" s="1"/>
  <c r="J27" i="1" s="1"/>
  <c r="K27" i="1" s="1"/>
  <c r="L27" i="1" s="1"/>
  <c r="M27" i="1" s="1"/>
  <c r="N27" i="1" s="1"/>
  <c r="O27" i="1" s="1"/>
  <c r="P27" i="1" s="1"/>
  <c r="Q27" i="1" s="1"/>
  <c r="H26" i="1"/>
  <c r="T29" i="1" l="1"/>
  <c r="T37" i="1" s="1"/>
  <c r="H28" i="1"/>
  <c r="H29" i="1" s="1"/>
  <c r="V27" i="1"/>
  <c r="W27" i="1"/>
  <c r="X27" i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U29" i="1"/>
  <c r="U37" i="1" s="1"/>
  <c r="U51" i="1" s="1"/>
  <c r="S37" i="1"/>
  <c r="I26" i="1"/>
  <c r="V26" i="1" s="1"/>
  <c r="V28" i="1" l="1"/>
  <c r="V29" i="1" s="1"/>
  <c r="C10" i="4" s="1"/>
  <c r="J26" i="1"/>
  <c r="I28" i="1"/>
  <c r="I29" i="1" s="1"/>
  <c r="K26" i="1" l="1"/>
  <c r="J28" i="1"/>
  <c r="J29" i="1" s="1"/>
  <c r="L26" i="1" l="1"/>
  <c r="K28" i="1"/>
  <c r="K29" i="1" s="1"/>
  <c r="M26" i="1" l="1"/>
  <c r="W26" i="1" s="1"/>
  <c r="W28" i="1" s="1"/>
  <c r="L28" i="1"/>
  <c r="L29" i="1" s="1"/>
  <c r="M28" i="1" l="1"/>
  <c r="N26" i="1"/>
  <c r="O26" i="1" l="1"/>
  <c r="N28" i="1"/>
  <c r="P26" i="1" l="1"/>
  <c r="O28" i="1"/>
  <c r="Q26" i="1" l="1"/>
  <c r="P28" i="1"/>
  <c r="Q28" i="1" l="1"/>
  <c r="X26" i="1"/>
  <c r="Y26" i="1" l="1"/>
  <c r="X28" i="1"/>
  <c r="Y28" i="1" l="1"/>
  <c r="Z26" i="1"/>
  <c r="AA26" i="1" l="1"/>
  <c r="Z28" i="1"/>
  <c r="AB26" i="1" l="1"/>
  <c r="AA28" i="1"/>
  <c r="AC26" i="1" l="1"/>
  <c r="AB28" i="1"/>
  <c r="AD26" i="1" l="1"/>
  <c r="AC28" i="1"/>
  <c r="AE26" i="1" l="1"/>
  <c r="AD28" i="1"/>
  <c r="AE28" i="1" l="1"/>
  <c r="AF26" i="1"/>
  <c r="AF28" i="1" l="1"/>
  <c r="AG26" i="1"/>
  <c r="AG28" i="1" l="1"/>
  <c r="AH26" i="1"/>
  <c r="AI26" i="1" l="1"/>
  <c r="AH28" i="1"/>
  <c r="AJ26" i="1" l="1"/>
  <c r="AI28" i="1"/>
  <c r="AK26" i="1" l="1"/>
  <c r="AJ28" i="1"/>
  <c r="AL26" i="1" l="1"/>
  <c r="AK28" i="1"/>
  <c r="AM26" i="1" l="1"/>
  <c r="AL28" i="1"/>
  <c r="AM28" i="1" l="1"/>
  <c r="AN26" i="1"/>
  <c r="AN28" i="1" s="1"/>
  <c r="H10" i="1" l="1"/>
  <c r="I10" i="1" s="1"/>
  <c r="C28" i="1"/>
  <c r="C29" i="1" s="1"/>
  <c r="C37" i="1" s="1"/>
  <c r="D28" i="1"/>
  <c r="D29" i="1" s="1"/>
  <c r="D37" i="1" s="1"/>
  <c r="F28" i="1"/>
  <c r="F29" i="1" s="1"/>
  <c r="F37" i="1" s="1"/>
  <c r="G28" i="1"/>
  <c r="G29" i="1" s="1"/>
  <c r="G37" i="1" s="1"/>
  <c r="B28" i="1"/>
  <c r="B29" i="1" s="1"/>
  <c r="B37" i="1" s="1"/>
  <c r="V63" i="1"/>
  <c r="U63" i="1"/>
  <c r="E38" i="1"/>
  <c r="E33" i="1"/>
  <c r="E32" i="1"/>
  <c r="E31" i="1"/>
  <c r="I31" i="1" s="1"/>
  <c r="V31" i="1" s="1"/>
  <c r="E27" i="1"/>
  <c r="E26" i="1"/>
  <c r="U64" i="1"/>
  <c r="G60" i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G59" i="1"/>
  <c r="G56" i="1"/>
  <c r="G55" i="1"/>
  <c r="G53" i="1"/>
  <c r="F57" i="1"/>
  <c r="F64" i="1" s="1"/>
  <c r="G63" i="1" s="1"/>
  <c r="C60" i="1"/>
  <c r="D60" i="1" s="1"/>
  <c r="C59" i="1"/>
  <c r="D59" i="1" s="1"/>
  <c r="C56" i="1"/>
  <c r="D56" i="1" s="1"/>
  <c r="C55" i="1"/>
  <c r="D55" i="1" s="1"/>
  <c r="C53" i="1"/>
  <c r="B57" i="1"/>
  <c r="B64" i="1" s="1"/>
  <c r="C63" i="1" s="1"/>
  <c r="Q12" i="2"/>
  <c r="Q13" i="2" s="1"/>
  <c r="T57" i="1"/>
  <c r="U57" i="1"/>
  <c r="S57" i="1"/>
  <c r="S43" i="1"/>
  <c r="S48" i="1"/>
  <c r="U43" i="1"/>
  <c r="T43" i="1"/>
  <c r="U48" i="1"/>
  <c r="T48" i="1"/>
  <c r="B54" i="1" l="1"/>
  <c r="B61" i="1"/>
  <c r="G61" i="1"/>
  <c r="D61" i="1"/>
  <c r="C61" i="1"/>
  <c r="F54" i="1"/>
  <c r="F61" i="1"/>
  <c r="H59" i="1"/>
  <c r="I59" i="1" s="1"/>
  <c r="J59" i="1" s="1"/>
  <c r="K59" i="1" s="1"/>
  <c r="L59" i="1" s="1"/>
  <c r="M59" i="1" s="1"/>
  <c r="N59" i="1" s="1"/>
  <c r="O59" i="1" s="1"/>
  <c r="P59" i="1" s="1"/>
  <c r="Q59" i="1" s="1"/>
  <c r="E56" i="1"/>
  <c r="H56" i="1" s="1"/>
  <c r="G54" i="1"/>
  <c r="D53" i="1"/>
  <c r="D57" i="1" s="1"/>
  <c r="C54" i="1"/>
  <c r="D51" i="1"/>
  <c r="C51" i="1"/>
  <c r="B51" i="1"/>
  <c r="G51" i="1"/>
  <c r="F51" i="1"/>
  <c r="J10" i="1"/>
  <c r="K10" i="1" s="1"/>
  <c r="L10" i="1" s="1"/>
  <c r="M10" i="1" s="1"/>
  <c r="V10" i="1"/>
  <c r="M31" i="1"/>
  <c r="H32" i="1"/>
  <c r="H33" i="1"/>
  <c r="E28" i="1"/>
  <c r="E29" i="1" s="1"/>
  <c r="E37" i="1" s="1"/>
  <c r="E55" i="1"/>
  <c r="H55" i="1" s="1"/>
  <c r="G57" i="1"/>
  <c r="G64" i="1" s="1"/>
  <c r="C57" i="1"/>
  <c r="C64" i="1" s="1"/>
  <c r="D63" i="1" s="1"/>
  <c r="Q14" i="2" l="1"/>
  <c r="Q16" i="2" s="1"/>
  <c r="H63" i="1"/>
  <c r="V59" i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I55" i="1"/>
  <c r="V55" i="1" s="1"/>
  <c r="E53" i="1"/>
  <c r="E54" i="1" s="1"/>
  <c r="D54" i="1"/>
  <c r="I56" i="1"/>
  <c r="V56" i="1" s="1"/>
  <c r="E51" i="1"/>
  <c r="Q31" i="1"/>
  <c r="X31" i="1" s="1"/>
  <c r="W31" i="1"/>
  <c r="I33" i="1"/>
  <c r="J33" i="1" s="1"/>
  <c r="M11" i="1"/>
  <c r="W10" i="1"/>
  <c r="H37" i="1"/>
  <c r="H61" i="1" s="1"/>
  <c r="I32" i="1"/>
  <c r="V32" i="1" s="1"/>
  <c r="D64" i="1"/>
  <c r="E63" i="1" s="1"/>
  <c r="H54" i="1" l="1"/>
  <c r="I54" i="1" s="1"/>
  <c r="V33" i="1"/>
  <c r="E57" i="1"/>
  <c r="E64" i="1" s="1"/>
  <c r="V37" i="1"/>
  <c r="J55" i="1"/>
  <c r="H51" i="1"/>
  <c r="H53" i="1"/>
  <c r="J56" i="1"/>
  <c r="K33" i="1"/>
  <c r="L33" i="1" s="1"/>
  <c r="Y31" i="1"/>
  <c r="Z31" i="1"/>
  <c r="W11" i="1"/>
  <c r="M12" i="1"/>
  <c r="W16" i="1"/>
  <c r="W12" i="1"/>
  <c r="N10" i="1"/>
  <c r="J32" i="1"/>
  <c r="I37" i="1"/>
  <c r="I61" i="1" s="1"/>
  <c r="V61" i="1" s="1"/>
  <c r="C14" i="4" s="1"/>
  <c r="K55" i="1" l="1"/>
  <c r="L55" i="1" s="1"/>
  <c r="M55" i="1" s="1"/>
  <c r="N55" i="1" s="1"/>
  <c r="H57" i="1"/>
  <c r="H64" i="1" s="1"/>
  <c r="I63" i="1" s="1"/>
  <c r="I51" i="1"/>
  <c r="I53" i="1"/>
  <c r="I57" i="1" s="1"/>
  <c r="C12" i="4"/>
  <c r="V51" i="1"/>
  <c r="K56" i="1"/>
  <c r="L56" i="1" s="1"/>
  <c r="J54" i="1"/>
  <c r="AA31" i="1"/>
  <c r="M33" i="1"/>
  <c r="W33" i="1" s="1"/>
  <c r="N11" i="1"/>
  <c r="M22" i="1"/>
  <c r="M23" i="1" s="1"/>
  <c r="M19" i="1"/>
  <c r="J37" i="1"/>
  <c r="J61" i="1" s="1"/>
  <c r="K32" i="1"/>
  <c r="W55" i="1" l="1"/>
  <c r="K54" i="1"/>
  <c r="V53" i="1"/>
  <c r="I64" i="1"/>
  <c r="L54" i="1"/>
  <c r="M56" i="1"/>
  <c r="N56" i="1" s="1"/>
  <c r="J53" i="1"/>
  <c r="O55" i="1"/>
  <c r="P55" i="1" s="1"/>
  <c r="Q55" i="1" s="1"/>
  <c r="J51" i="1"/>
  <c r="AB31" i="1"/>
  <c r="M24" i="1"/>
  <c r="W22" i="1"/>
  <c r="M29" i="1"/>
  <c r="W19" i="1"/>
  <c r="D8" i="4" s="1"/>
  <c r="O10" i="1"/>
  <c r="O11" i="1" s="1"/>
  <c r="N12" i="1"/>
  <c r="N33" i="1"/>
  <c r="K37" i="1"/>
  <c r="K61" i="1" s="1"/>
  <c r="L32" i="1"/>
  <c r="M32" i="1" s="1"/>
  <c r="V57" i="1" l="1"/>
  <c r="V54" i="1"/>
  <c r="X55" i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W56" i="1"/>
  <c r="J63" i="1"/>
  <c r="V64" i="1"/>
  <c r="W63" i="1" s="1"/>
  <c r="J57" i="1"/>
  <c r="O56" i="1"/>
  <c r="P56" i="1" s="1"/>
  <c r="Q56" i="1" s="1"/>
  <c r="K51" i="1"/>
  <c r="K53" i="1"/>
  <c r="K57" i="1" s="1"/>
  <c r="M54" i="1"/>
  <c r="P10" i="1"/>
  <c r="P11" i="1" s="1"/>
  <c r="O19" i="1"/>
  <c r="O29" i="1" s="1"/>
  <c r="M34" i="1"/>
  <c r="AC31" i="1"/>
  <c r="AD31" i="1" s="1"/>
  <c r="M37" i="1"/>
  <c r="M61" i="1" s="1"/>
  <c r="W23" i="1"/>
  <c r="W32" i="1"/>
  <c r="O12" i="1"/>
  <c r="N22" i="1"/>
  <c r="N19" i="1"/>
  <c r="O33" i="1"/>
  <c r="P33" i="1" s="1"/>
  <c r="Q33" i="1" s="1"/>
  <c r="N32" i="1"/>
  <c r="L37" i="1"/>
  <c r="L61" i="1" s="1"/>
  <c r="AE31" i="1" l="1"/>
  <c r="AF31" i="1" s="1"/>
  <c r="N54" i="1"/>
  <c r="O54" i="1" s="1"/>
  <c r="P54" i="1" s="1"/>
  <c r="Q54" i="1" s="1"/>
  <c r="J64" i="1"/>
  <c r="K63" i="1" s="1"/>
  <c r="K64" i="1" s="1"/>
  <c r="L63" i="1" s="1"/>
  <c r="X56" i="1"/>
  <c r="O22" i="1"/>
  <c r="O24" i="1" s="1"/>
  <c r="P12" i="1"/>
  <c r="M51" i="1"/>
  <c r="M53" i="1"/>
  <c r="M57" i="1" s="1"/>
  <c r="L51" i="1"/>
  <c r="L53" i="1"/>
  <c r="Q10" i="1"/>
  <c r="Q11" i="1" s="1"/>
  <c r="W37" i="1"/>
  <c r="W61" i="1" s="1"/>
  <c r="D14" i="4" s="1"/>
  <c r="W29" i="1"/>
  <c r="D10" i="4" s="1"/>
  <c r="N29" i="1"/>
  <c r="N24" i="1"/>
  <c r="X33" i="1"/>
  <c r="P19" i="1"/>
  <c r="N23" i="1"/>
  <c r="O32" i="1"/>
  <c r="O34" i="1" s="1"/>
  <c r="Y56" i="1" l="1"/>
  <c r="Z56" i="1" s="1"/>
  <c r="L57" i="1"/>
  <c r="L64" i="1" s="1"/>
  <c r="M63" i="1" s="1"/>
  <c r="M64" i="1" s="1"/>
  <c r="W53" i="1"/>
  <c r="Q12" i="1"/>
  <c r="O23" i="1"/>
  <c r="Y33" i="1"/>
  <c r="Z33" i="1" s="1"/>
  <c r="D12" i="4"/>
  <c r="W51" i="1"/>
  <c r="X10" i="1"/>
  <c r="Y10" i="1" s="1"/>
  <c r="Y11" i="1" s="1"/>
  <c r="O35" i="1"/>
  <c r="O37" i="1" s="1"/>
  <c r="O61" i="1" s="1"/>
  <c r="N34" i="1"/>
  <c r="P29" i="1"/>
  <c r="P22" i="1"/>
  <c r="P23" i="1" s="1"/>
  <c r="AG31" i="1"/>
  <c r="X11" i="1"/>
  <c r="X12" i="1" s="1"/>
  <c r="X16" i="1"/>
  <c r="P32" i="1"/>
  <c r="AA56" i="1" l="1"/>
  <c r="AB56" i="1" s="1"/>
  <c r="W57" i="1"/>
  <c r="W54" i="1"/>
  <c r="N63" i="1"/>
  <c r="W64" i="1"/>
  <c r="X63" i="1" s="1"/>
  <c r="O51" i="1"/>
  <c r="O53" i="1"/>
  <c r="O57" i="1" s="1"/>
  <c r="AA33" i="1"/>
  <c r="N35" i="1"/>
  <c r="N37" i="1" s="1"/>
  <c r="Q19" i="1"/>
  <c r="Q22" i="1"/>
  <c r="Q24" i="1" s="1"/>
  <c r="P34" i="1"/>
  <c r="P24" i="1"/>
  <c r="AH31" i="1"/>
  <c r="AI31" i="1" s="1"/>
  <c r="Y12" i="1"/>
  <c r="Y19" i="1" s="1"/>
  <c r="Z10" i="1"/>
  <c r="Q32" i="1"/>
  <c r="Q29" i="1" l="1"/>
  <c r="Q20" i="1"/>
  <c r="F8" i="4"/>
  <c r="AC56" i="1"/>
  <c r="Q23" i="1"/>
  <c r="AJ31" i="1"/>
  <c r="AK31" i="1" s="1"/>
  <c r="AL31" i="1" s="1"/>
  <c r="Q34" i="1"/>
  <c r="Q35" i="1" s="1"/>
  <c r="Q37" i="1" s="1"/>
  <c r="Q61" i="1" s="1"/>
  <c r="N53" i="1"/>
  <c r="N61" i="1"/>
  <c r="X22" i="1"/>
  <c r="X19" i="1"/>
  <c r="X20" i="1" s="1"/>
  <c r="AB33" i="1"/>
  <c r="AC33" i="1" s="1"/>
  <c r="N51" i="1"/>
  <c r="P35" i="1"/>
  <c r="P37" i="1" s="1"/>
  <c r="Y22" i="1"/>
  <c r="Y23" i="1" s="1"/>
  <c r="X32" i="1"/>
  <c r="Z11" i="1"/>
  <c r="Z12" i="1" s="1"/>
  <c r="Z19" i="1" s="1"/>
  <c r="Y20" i="1" l="1"/>
  <c r="G8" i="4"/>
  <c r="Z20" i="1"/>
  <c r="X23" i="1"/>
  <c r="AD56" i="1"/>
  <c r="N57" i="1"/>
  <c r="N64" i="1" s="1"/>
  <c r="O63" i="1" s="1"/>
  <c r="O64" i="1" s="1"/>
  <c r="P63" i="1" s="1"/>
  <c r="E8" i="4"/>
  <c r="P53" i="1"/>
  <c r="P57" i="1" s="1"/>
  <c r="P61" i="1"/>
  <c r="Y32" i="1"/>
  <c r="Z32" i="1" s="1"/>
  <c r="AD33" i="1"/>
  <c r="Q51" i="1"/>
  <c r="Q53" i="1"/>
  <c r="Q57" i="1" s="1"/>
  <c r="P51" i="1"/>
  <c r="X37" i="1"/>
  <c r="X61" i="1" s="1"/>
  <c r="E14" i="4" s="1"/>
  <c r="X29" i="1"/>
  <c r="E10" i="4" s="1"/>
  <c r="AM31" i="1"/>
  <c r="AN31" i="1" s="1"/>
  <c r="Y29" i="1"/>
  <c r="Z22" i="1"/>
  <c r="Z23" i="1" s="1"/>
  <c r="AA10" i="1"/>
  <c r="AE56" i="1" l="1"/>
  <c r="X53" i="1"/>
  <c r="P64" i="1"/>
  <c r="Q63" i="1" s="1"/>
  <c r="Q64" i="1" s="1"/>
  <c r="X64" i="1" s="1"/>
  <c r="Y63" i="1" s="1"/>
  <c r="AA32" i="1"/>
  <c r="AB32" i="1" s="1"/>
  <c r="AE33" i="1"/>
  <c r="E12" i="4"/>
  <c r="X51" i="1"/>
  <c r="Y34" i="1"/>
  <c r="F10" i="4"/>
  <c r="Z29" i="1"/>
  <c r="AA11" i="1"/>
  <c r="AA12" i="1" s="1"/>
  <c r="AA19" i="1" s="1"/>
  <c r="H8" i="4" l="1"/>
  <c r="AA20" i="1"/>
  <c r="X57" i="1"/>
  <c r="X54" i="1"/>
  <c r="Y54" i="1" s="1"/>
  <c r="Z54" i="1" s="1"/>
  <c r="AA54" i="1" s="1"/>
  <c r="AB54" i="1" s="1"/>
  <c r="AC54" i="1" s="1"/>
  <c r="AD54" i="1" s="1"/>
  <c r="AE54" i="1" s="1"/>
  <c r="AF54" i="1" s="1"/>
  <c r="AF56" i="1"/>
  <c r="AC32" i="1"/>
  <c r="AD32" i="1" s="1"/>
  <c r="AE32" i="1" s="1"/>
  <c r="AF33" i="1"/>
  <c r="G10" i="4"/>
  <c r="Z34" i="1"/>
  <c r="Z35" i="1" s="1"/>
  <c r="Z37" i="1" s="1"/>
  <c r="Y35" i="1"/>
  <c r="Y37" i="1" s="1"/>
  <c r="AA22" i="1"/>
  <c r="AA23" i="1" s="1"/>
  <c r="AB10" i="1"/>
  <c r="Z61" i="1" l="1"/>
  <c r="G14" i="4" s="1"/>
  <c r="Z53" i="1"/>
  <c r="Z57" i="1" s="1"/>
  <c r="AG56" i="1"/>
  <c r="AG54" i="1"/>
  <c r="AH54" i="1" s="1"/>
  <c r="AI54" i="1" s="1"/>
  <c r="AJ54" i="1" s="1"/>
  <c r="AK54" i="1" s="1"/>
  <c r="AL54" i="1" s="1"/>
  <c r="AM54" i="1" s="1"/>
  <c r="AN54" i="1" s="1"/>
  <c r="Y61" i="1"/>
  <c r="F14" i="4" s="1"/>
  <c r="Y53" i="1"/>
  <c r="Y57" i="1" s="1"/>
  <c r="AF32" i="1"/>
  <c r="AG32" i="1" s="1"/>
  <c r="F12" i="4"/>
  <c r="Y51" i="1"/>
  <c r="AG33" i="1"/>
  <c r="AH33" i="1" s="1"/>
  <c r="G12" i="4"/>
  <c r="Z51" i="1"/>
  <c r="AA29" i="1"/>
  <c r="AB11" i="1"/>
  <c r="AB12" i="1" s="1"/>
  <c r="AI33" i="1" l="1"/>
  <c r="AC10" i="1"/>
  <c r="AC11" i="1" s="1"/>
  <c r="AC12" i="1" s="1"/>
  <c r="AC19" i="1" s="1"/>
  <c r="AH56" i="1"/>
  <c r="AJ33" i="1"/>
  <c r="AK33" i="1" s="1"/>
  <c r="AL33" i="1" s="1"/>
  <c r="AH32" i="1"/>
  <c r="H10" i="4"/>
  <c r="AA34" i="1"/>
  <c r="AA35" i="1" s="1"/>
  <c r="AA37" i="1" s="1"/>
  <c r="AB19" i="1"/>
  <c r="AB20" i="1" s="1"/>
  <c r="AC20" i="1" l="1"/>
  <c r="AD10" i="1"/>
  <c r="AD11" i="1" s="1"/>
  <c r="AD12" i="1" s="1"/>
  <c r="AD19" i="1" s="1"/>
  <c r="AD20" i="1" s="1"/>
  <c r="AA53" i="1"/>
  <c r="AA57" i="1" s="1"/>
  <c r="AA61" i="1"/>
  <c r="H14" i="4" s="1"/>
  <c r="AI56" i="1"/>
  <c r="AI32" i="1"/>
  <c r="H12" i="4"/>
  <c r="AA51" i="1"/>
  <c r="AM33" i="1"/>
  <c r="AN33" i="1" s="1"/>
  <c r="AC22" i="1"/>
  <c r="AC23" i="1" s="1"/>
  <c r="J8" i="4"/>
  <c r="AB22" i="1"/>
  <c r="AB23" i="1" s="1"/>
  <c r="I8" i="4"/>
  <c r="AE10" i="1"/>
  <c r="AE11" i="1" s="1"/>
  <c r="AJ56" i="1" l="1"/>
  <c r="AB29" i="1"/>
  <c r="I10" i="4" s="1"/>
  <c r="AJ32" i="1"/>
  <c r="AC29" i="1"/>
  <c r="J10" i="4" s="1"/>
  <c r="AD22" i="1"/>
  <c r="AD23" i="1" s="1"/>
  <c r="AD29" i="1" s="1"/>
  <c r="K8" i="4"/>
  <c r="AF10" i="1"/>
  <c r="AF11" i="1" s="1"/>
  <c r="AE12" i="1"/>
  <c r="AE19" i="1" s="1"/>
  <c r="AE20" i="1" s="1"/>
  <c r="AK56" i="1" l="1"/>
  <c r="AB34" i="1"/>
  <c r="AB35" i="1" s="1"/>
  <c r="AB37" i="1" s="1"/>
  <c r="AK32" i="1"/>
  <c r="AL32" i="1" s="1"/>
  <c r="AM32" i="1" s="1"/>
  <c r="AN32" i="1" s="1"/>
  <c r="AC34" i="1"/>
  <c r="AC35" i="1" s="1"/>
  <c r="AC37" i="1" s="1"/>
  <c r="AE22" i="1"/>
  <c r="AE23" i="1" s="1"/>
  <c r="AE29" i="1" s="1"/>
  <c r="L8" i="4"/>
  <c r="K10" i="4"/>
  <c r="AD34" i="1"/>
  <c r="AD35" i="1" s="1"/>
  <c r="AD37" i="1" s="1"/>
  <c r="AG10" i="1"/>
  <c r="AF12" i="1"/>
  <c r="AF19" i="1" s="1"/>
  <c r="AF20" i="1" s="1"/>
  <c r="AC53" i="1" l="1"/>
  <c r="AC57" i="1" s="1"/>
  <c r="AC61" i="1"/>
  <c r="J14" i="4" s="1"/>
  <c r="I12" i="4"/>
  <c r="AB53" i="1"/>
  <c r="AB57" i="1" s="1"/>
  <c r="AB61" i="1"/>
  <c r="I14" i="4" s="1"/>
  <c r="AM56" i="1"/>
  <c r="AD53" i="1"/>
  <c r="AD57" i="1" s="1"/>
  <c r="AD61" i="1"/>
  <c r="K14" i="4" s="1"/>
  <c r="AL56" i="1"/>
  <c r="AB51" i="1"/>
  <c r="K12" i="4"/>
  <c r="AD51" i="1"/>
  <c r="AF22" i="1"/>
  <c r="AF23" i="1" s="1"/>
  <c r="AF29" i="1" s="1"/>
  <c r="M8" i="4"/>
  <c r="J12" i="4"/>
  <c r="AC51" i="1"/>
  <c r="L10" i="4"/>
  <c r="AE34" i="1"/>
  <c r="AG11" i="1"/>
  <c r="AG12" i="1" s="1"/>
  <c r="AG19" i="1" s="1"/>
  <c r="AH10" i="1"/>
  <c r="AH11" i="1" s="1"/>
  <c r="N8" i="4" l="1"/>
  <c r="AG20" i="1"/>
  <c r="AN56" i="1"/>
  <c r="AE35" i="1"/>
  <c r="AE37" i="1" s="1"/>
  <c r="AF34" i="1"/>
  <c r="AF35" i="1" s="1"/>
  <c r="AF37" i="1" s="1"/>
  <c r="M10" i="4"/>
  <c r="AG22" i="1"/>
  <c r="AG23" i="1" s="1"/>
  <c r="AI10" i="1"/>
  <c r="AH12" i="1"/>
  <c r="AH19" i="1" s="1"/>
  <c r="O8" i="4" l="1"/>
  <c r="AH20" i="1"/>
  <c r="AF61" i="1"/>
  <c r="M14" i="4" s="1"/>
  <c r="AF53" i="1"/>
  <c r="AF57" i="1" s="1"/>
  <c r="AE53" i="1"/>
  <c r="AE57" i="1" s="1"/>
  <c r="AE61" i="1"/>
  <c r="L14" i="4" s="1"/>
  <c r="M12" i="4"/>
  <c r="AF51" i="1"/>
  <c r="L12" i="4"/>
  <c r="AE51" i="1"/>
  <c r="AH22" i="1"/>
  <c r="AH23" i="1" s="1"/>
  <c r="AG29" i="1"/>
  <c r="AI11" i="1"/>
  <c r="AI12" i="1" s="1"/>
  <c r="AI19" i="1" s="1"/>
  <c r="P8" i="4" l="1"/>
  <c r="AI20" i="1"/>
  <c r="AJ10" i="1"/>
  <c r="AJ11" i="1" s="1"/>
  <c r="AJ12" i="1" s="1"/>
  <c r="AJ19" i="1" s="1"/>
  <c r="N10" i="4"/>
  <c r="AG34" i="1"/>
  <c r="AH29" i="1"/>
  <c r="AI22" i="1"/>
  <c r="AI23" i="1" s="1"/>
  <c r="Q8" i="4" l="1"/>
  <c r="AJ20" i="1"/>
  <c r="AG35" i="1"/>
  <c r="AG37" i="1" s="1"/>
  <c r="O10" i="4"/>
  <c r="AH34" i="1"/>
  <c r="AH35" i="1" s="1"/>
  <c r="AH37" i="1" s="1"/>
  <c r="AK10" i="1"/>
  <c r="AK11" i="1" s="1"/>
  <c r="AK12" i="1" s="1"/>
  <c r="AK19" i="1" s="1"/>
  <c r="AK20" i="1" s="1"/>
  <c r="AJ22" i="1"/>
  <c r="AJ23" i="1" s="1"/>
  <c r="AI29" i="1"/>
  <c r="AH61" i="1" l="1"/>
  <c r="O14" i="4" s="1"/>
  <c r="AH53" i="1"/>
  <c r="AH57" i="1" s="1"/>
  <c r="AG61" i="1"/>
  <c r="N14" i="4" s="1"/>
  <c r="AG53" i="1"/>
  <c r="AG57" i="1" s="1"/>
  <c r="AK22" i="1"/>
  <c r="AK23" i="1" s="1"/>
  <c r="R8" i="4"/>
  <c r="O12" i="4"/>
  <c r="AH51" i="1"/>
  <c r="N12" i="4"/>
  <c r="AG51" i="1"/>
  <c r="P10" i="4"/>
  <c r="AI34" i="1"/>
  <c r="AL10" i="1"/>
  <c r="AL11" i="1" s="1"/>
  <c r="AL12" i="1" s="1"/>
  <c r="AL19" i="1" s="1"/>
  <c r="AL20" i="1" s="1"/>
  <c r="AJ29" i="1"/>
  <c r="AL22" i="1" l="1"/>
  <c r="AL23" i="1" s="1"/>
  <c r="S8" i="4"/>
  <c r="AK29" i="1"/>
  <c r="R10" i="4" s="1"/>
  <c r="Q10" i="4"/>
  <c r="AJ34" i="1"/>
  <c r="AJ35" i="1" s="1"/>
  <c r="AJ37" i="1" s="1"/>
  <c r="AI35" i="1"/>
  <c r="AI37" i="1" s="1"/>
  <c r="AM10" i="1"/>
  <c r="AM11" i="1" s="1"/>
  <c r="AM12" i="1" s="1"/>
  <c r="AM19" i="1" s="1"/>
  <c r="AM20" i="1" s="1"/>
  <c r="AK34" i="1" l="1"/>
  <c r="AK35" i="1" s="1"/>
  <c r="AK37" i="1" s="1"/>
  <c r="AK61" i="1" s="1"/>
  <c r="R14" i="4" s="1"/>
  <c r="AI61" i="1"/>
  <c r="P14" i="4" s="1"/>
  <c r="AI53" i="1"/>
  <c r="AI57" i="1" s="1"/>
  <c r="AJ61" i="1"/>
  <c r="Q14" i="4" s="1"/>
  <c r="AJ53" i="1"/>
  <c r="AJ57" i="1" s="1"/>
  <c r="AN10" i="1"/>
  <c r="AN11" i="1" s="1"/>
  <c r="AN12" i="1" s="1"/>
  <c r="AN19" i="1" s="1"/>
  <c r="P12" i="4"/>
  <c r="AI51" i="1"/>
  <c r="AM22" i="1"/>
  <c r="AM23" i="1" s="1"/>
  <c r="AM29" i="1" s="1"/>
  <c r="T8" i="4"/>
  <c r="AL29" i="1"/>
  <c r="S10" i="4" s="1"/>
  <c r="Q12" i="4"/>
  <c r="AJ51" i="1"/>
  <c r="AN22" i="1" l="1"/>
  <c r="AN23" i="1" s="1"/>
  <c r="AN29" i="1" s="1"/>
  <c r="AN34" i="1" s="1"/>
  <c r="AN35" i="1" s="1"/>
  <c r="AN37" i="1" s="1"/>
  <c r="AN20" i="1"/>
  <c r="AK51" i="1"/>
  <c r="R12" i="4"/>
  <c r="AK53" i="1"/>
  <c r="AK57" i="1" s="1"/>
  <c r="AL34" i="1"/>
  <c r="AL35" i="1" s="1"/>
  <c r="AL37" i="1" s="1"/>
  <c r="U8" i="4"/>
  <c r="T10" i="4"/>
  <c r="AM34" i="1"/>
  <c r="AM35" i="1" s="1"/>
  <c r="AM37" i="1" s="1"/>
  <c r="AM61" i="1" l="1"/>
  <c r="T14" i="4" s="1"/>
  <c r="AM53" i="1"/>
  <c r="AM57" i="1" s="1"/>
  <c r="AN61" i="1"/>
  <c r="U14" i="4" s="1"/>
  <c r="AN53" i="1"/>
  <c r="AN57" i="1" s="1"/>
  <c r="S12" i="4"/>
  <c r="AL61" i="1"/>
  <c r="S14" i="4" s="1"/>
  <c r="AL53" i="1"/>
  <c r="AL57" i="1" s="1"/>
  <c r="AL51" i="1"/>
  <c r="U10" i="4"/>
  <c r="U12" i="4"/>
  <c r="AN51" i="1"/>
  <c r="T12" i="4"/>
  <c r="AM51" i="1"/>
  <c r="C28" i="4" l="1"/>
  <c r="C29" i="4" s="1"/>
  <c r="C31" i="4" s="1"/>
  <c r="C20" i="4"/>
  <c r="C21" i="4" s="1"/>
  <c r="C23" i="4" s="1"/>
</calcChain>
</file>

<file path=xl/sharedStrings.xml><?xml version="1.0" encoding="utf-8"?>
<sst xmlns="http://schemas.openxmlformats.org/spreadsheetml/2006/main" count="195" uniqueCount="150">
  <si>
    <t>Springworks Therapeutics Inc.</t>
  </si>
  <si>
    <t>FY22</t>
  </si>
  <si>
    <t>FY21</t>
  </si>
  <si>
    <t>FY20</t>
  </si>
  <si>
    <t>Compound</t>
  </si>
  <si>
    <t>Indication</t>
  </si>
  <si>
    <t>Development Approach</t>
  </si>
  <si>
    <t>Preclinical</t>
  </si>
  <si>
    <t>Phase 1</t>
  </si>
  <si>
    <t>Phase 2</t>
  </si>
  <si>
    <t>Phase 3</t>
  </si>
  <si>
    <t>Collaborators</t>
  </si>
  <si>
    <t>Monotherapy (Adult)</t>
  </si>
  <si>
    <t>Monotherapy (Pediatric)</t>
  </si>
  <si>
    <t>Desmoid Tumors</t>
  </si>
  <si>
    <t>+BLENREP (belantamab mafodotin) (ADC)</t>
  </si>
  <si>
    <t>+ALLO-715 (CAR-T)</t>
  </si>
  <si>
    <t>+Teclistamab (Bispecific)</t>
  </si>
  <si>
    <t>Nirogacestat Gamma Secretase Inhibitor</t>
  </si>
  <si>
    <t>Multiple Myeloma (BCMA Combinations)</t>
  </si>
  <si>
    <t>Mirdamentinib                  (MEX Inhibitor)</t>
  </si>
  <si>
    <t>BGB-3245</t>
  </si>
  <si>
    <t>TEAD Inhibitor Program</t>
  </si>
  <si>
    <t>EGFR Inhibitor Program</t>
  </si>
  <si>
    <t>RAF Mutant Solid Tumors</t>
  </si>
  <si>
    <t>Hippo Mutant Tumors</t>
  </si>
  <si>
    <t>EGFR Mutant Tumors</t>
  </si>
  <si>
    <t>Monotherapy &amp; Combination</t>
  </si>
  <si>
    <t>Licensing Revenue</t>
  </si>
  <si>
    <t>R&amp;D</t>
  </si>
  <si>
    <t>G&amp;A</t>
  </si>
  <si>
    <t>Last</t>
  </si>
  <si>
    <t>Shares</t>
  </si>
  <si>
    <t>Market Cap</t>
  </si>
  <si>
    <t>Cash</t>
  </si>
  <si>
    <t>Debt</t>
  </si>
  <si>
    <t>EV</t>
  </si>
  <si>
    <t>Fundamentals</t>
  </si>
  <si>
    <t>EBIT</t>
  </si>
  <si>
    <t>Interest Income</t>
  </si>
  <si>
    <t>Equity Investment</t>
  </si>
  <si>
    <t>Reported Net Income</t>
  </si>
  <si>
    <t>Other Income</t>
  </si>
  <si>
    <t>Personnel</t>
  </si>
  <si>
    <t>Facility Related &amp; Other</t>
  </si>
  <si>
    <t>Licensing, Trial &amp; Drug Manufacturing</t>
  </si>
  <si>
    <t>Professional &amp; Consulting Fees</t>
  </si>
  <si>
    <t>FY19</t>
  </si>
  <si>
    <t>Total G&amp;A</t>
  </si>
  <si>
    <t>Total  R&amp;D</t>
  </si>
  <si>
    <t>CFFO</t>
  </si>
  <si>
    <t>CFFI</t>
  </si>
  <si>
    <t>CFFF</t>
  </si>
  <si>
    <t>Net Cash</t>
  </si>
  <si>
    <t>FCF</t>
  </si>
  <si>
    <t>2Q22</t>
  </si>
  <si>
    <t>1Q22</t>
  </si>
  <si>
    <t>4Q21</t>
  </si>
  <si>
    <t>3Q21</t>
  </si>
  <si>
    <t>1Q21</t>
  </si>
  <si>
    <t>2Q21</t>
  </si>
  <si>
    <t>Cash End</t>
  </si>
  <si>
    <t>Cash Beginning</t>
  </si>
  <si>
    <t>Capex</t>
  </si>
  <si>
    <t>DA</t>
  </si>
  <si>
    <t>Total Operating Expenses</t>
  </si>
  <si>
    <t>Cost of Goods Sold</t>
  </si>
  <si>
    <t>3Q22</t>
  </si>
  <si>
    <t>4Q22</t>
  </si>
  <si>
    <t>1Q23</t>
  </si>
  <si>
    <t>2Q23</t>
  </si>
  <si>
    <t>3Q23</t>
  </si>
  <si>
    <t>4Q23</t>
  </si>
  <si>
    <t>FY24</t>
  </si>
  <si>
    <t>FY23</t>
  </si>
  <si>
    <t>FY25</t>
  </si>
  <si>
    <t>Accrued Deficit</t>
  </si>
  <si>
    <t>New Patients</t>
  </si>
  <si>
    <t>Nirogacestat Revenue</t>
  </si>
  <si>
    <t>Untreated Patients</t>
  </si>
  <si>
    <t>1Q24</t>
  </si>
  <si>
    <t>2Q24</t>
  </si>
  <si>
    <t>3Q24</t>
  </si>
  <si>
    <t>4Q24</t>
  </si>
  <si>
    <t>Average Monthly Cost</t>
  </si>
  <si>
    <t>FY27</t>
  </si>
  <si>
    <t>FY28</t>
  </si>
  <si>
    <t>FY29</t>
  </si>
  <si>
    <t>FY30</t>
  </si>
  <si>
    <t>FY31</t>
  </si>
  <si>
    <t>FY32</t>
  </si>
  <si>
    <t>FY33</t>
  </si>
  <si>
    <t>Gross Margin</t>
  </si>
  <si>
    <t>Gross Profit</t>
  </si>
  <si>
    <t>Total Revenue</t>
  </si>
  <si>
    <t>Net Income</t>
  </si>
  <si>
    <t>Current Patients</t>
  </si>
  <si>
    <t>FY34</t>
  </si>
  <si>
    <t>FY35</t>
  </si>
  <si>
    <t>FY36</t>
  </si>
  <si>
    <t>FY37</t>
  </si>
  <si>
    <t>FY38</t>
  </si>
  <si>
    <t>FY39</t>
  </si>
  <si>
    <t>FY40</t>
  </si>
  <si>
    <t>EBT</t>
  </si>
  <si>
    <t>FY26</t>
  </si>
  <si>
    <t>Total Revenues</t>
  </si>
  <si>
    <t>Discount</t>
  </si>
  <si>
    <t>Terminal</t>
  </si>
  <si>
    <t>Enterprise Value</t>
  </si>
  <si>
    <t>Equity Value</t>
  </si>
  <si>
    <t>NPV Per Share</t>
  </si>
  <si>
    <t>FY22 E</t>
  </si>
  <si>
    <t>FY23 E</t>
  </si>
  <si>
    <t>EPS</t>
  </si>
  <si>
    <t>Free Cash Flow</t>
  </si>
  <si>
    <t>DCF Valuation</t>
  </si>
  <si>
    <t>NPV of Earnings</t>
  </si>
  <si>
    <t>Childrens Oncology Group</t>
  </si>
  <si>
    <t>gsk</t>
  </si>
  <si>
    <t>Allogene</t>
  </si>
  <si>
    <t>Janssen</t>
  </si>
  <si>
    <t>Precision Biosciences</t>
  </si>
  <si>
    <t>Pfizer</t>
  </si>
  <si>
    <t>Seagen</t>
  </si>
  <si>
    <t>abbvie</t>
  </si>
  <si>
    <t>ReNeu</t>
  </si>
  <si>
    <t>DeFi</t>
  </si>
  <si>
    <t>+PBCAR269A (CAR-T)</t>
  </si>
  <si>
    <t>+Elranatamab (Bispecific)</t>
  </si>
  <si>
    <t>+SEA-BCMA (mAb)</t>
  </si>
  <si>
    <t>+ABBV-383</t>
  </si>
  <si>
    <t>Monotherapy</t>
  </si>
  <si>
    <t>+Lifirafenib (Pan-RAF inhibitor)</t>
  </si>
  <si>
    <t>+Fulvestrant (SERD)</t>
  </si>
  <si>
    <t>MEK 1/2 Mutant Solid Tumors</t>
  </si>
  <si>
    <t>ER + Metastic Breast Cancer</t>
  </si>
  <si>
    <t>Pediatric Low-Grade Gliomas</t>
  </si>
  <si>
    <t>MAPK Mutant Solid Tumors</t>
  </si>
  <si>
    <t>NF1-Associated Plexiform Neurofibromas</t>
  </si>
  <si>
    <t>BeiGene</t>
  </si>
  <si>
    <t>St. Jude Children's Hospital</t>
  </si>
  <si>
    <t>Tax Provision</t>
  </si>
  <si>
    <t>NASDAQ: (SWTX)</t>
  </si>
  <si>
    <t>$ in Thousands</t>
  </si>
  <si>
    <t>Model</t>
  </si>
  <si>
    <t>Main</t>
  </si>
  <si>
    <t>US: Pharmaceutical</t>
  </si>
  <si>
    <t>NPV &amp; DCF Valuation</t>
  </si>
  <si>
    <t>r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</si>
</sst>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Helvetica Light"/>
    </font>
    <font>
      <sz val="10"/>
      <color theme="1"/>
      <name val="Helvetica Light"/>
    </font>
    <font>
      <sz val="12"/>
      <color theme="1"/>
      <name val="Helvetica Light"/>
    </font>
    <font>
      <b/>
      <sz val="12"/>
      <color theme="1"/>
      <name val="Helvetica Light"/>
    </font>
    <font>
      <b/>
      <sz val="10"/>
      <color theme="1"/>
      <name val="Helvetica Light"/>
    </font>
    <font>
      <u/>
      <sz val="12"/>
      <color theme="10"/>
      <name val="Calibri"/>
      <family val="2"/>
      <scheme val="minor"/>
    </font>
    <font>
      <b/>
      <i/>
      <sz val="14"/>
      <color theme="1"/>
      <name val="Helvetica Light"/>
    </font>
    <font>
      <b/>
      <u/>
      <sz val="10"/>
      <color theme="1"/>
      <name val="Helvetica Light"/>
    </font>
    <font>
      <b/>
      <i/>
      <sz val="22"/>
      <color theme="1"/>
      <name val="Helvetica Light"/>
    </font>
    <font>
      <sz val="10"/>
      <color rgb="FF00B0F0"/>
      <name val="Helvetica Ligh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FFC000"/>
      </left>
      <right/>
      <top/>
      <bottom/>
      <diagonal/>
    </border>
    <border>
      <left style="thin">
        <color rgb="FFFFC000"/>
      </left>
      <right/>
      <top style="thin">
        <color indexed="64"/>
      </top>
      <bottom/>
      <diagonal/>
    </border>
    <border>
      <left style="thin">
        <color rgb="FFFFC000"/>
      </left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14" xfId="0" applyFont="1" applyFill="1" applyBorder="1"/>
    <xf numFmtId="0" fontId="3" fillId="2" borderId="0" xfId="0" applyFont="1" applyFill="1"/>
    <xf numFmtId="0" fontId="3" fillId="2" borderId="11" xfId="0" applyFont="1" applyFill="1" applyBorder="1"/>
    <xf numFmtId="0" fontId="3" fillId="2" borderId="12" xfId="0" applyFont="1" applyFill="1" applyBorder="1"/>
    <xf numFmtId="0" fontId="3" fillId="3" borderId="0" xfId="0" applyFont="1" applyFill="1"/>
    <xf numFmtId="1" fontId="4" fillId="0" borderId="0" xfId="0" applyNumberFormat="1" applyFont="1"/>
    <xf numFmtId="0" fontId="4" fillId="2" borderId="0" xfId="0" applyFont="1" applyFill="1"/>
    <xf numFmtId="0" fontId="5" fillId="2" borderId="8" xfId="0" applyFont="1" applyFill="1" applyBorder="1"/>
    <xf numFmtId="0" fontId="5" fillId="2" borderId="10" xfId="0" applyFont="1" applyFill="1" applyBorder="1"/>
    <xf numFmtId="0" fontId="5" fillId="2" borderId="14" xfId="0" applyFont="1" applyFill="1" applyBorder="1"/>
    <xf numFmtId="0" fontId="5" fillId="2" borderId="15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1" fontId="4" fillId="2" borderId="0" xfId="0" applyNumberFormat="1" applyFont="1" applyFill="1"/>
    <xf numFmtId="0" fontId="4" fillId="2" borderId="9" xfId="0" applyFont="1" applyFill="1" applyBorder="1"/>
    <xf numFmtId="9" fontId="4" fillId="2" borderId="11" xfId="0" applyNumberFormat="1" applyFont="1" applyFill="1" applyBorder="1"/>
    <xf numFmtId="8" fontId="4" fillId="2" borderId="11" xfId="0" applyNumberFormat="1" applyFont="1" applyFill="1" applyBorder="1"/>
    <xf numFmtId="1" fontId="4" fillId="2" borderId="11" xfId="0" applyNumberFormat="1" applyFont="1" applyFill="1" applyBorder="1"/>
    <xf numFmtId="8" fontId="4" fillId="2" borderId="13" xfId="0" applyNumberFormat="1" applyFont="1" applyFill="1" applyBorder="1"/>
    <xf numFmtId="0" fontId="4" fillId="2" borderId="4" xfId="0" applyFont="1" applyFill="1" applyBorder="1"/>
    <xf numFmtId="0" fontId="5" fillId="2" borderId="2" xfId="0" applyFont="1" applyFill="1" applyBorder="1"/>
    <xf numFmtId="0" fontId="5" fillId="2" borderId="4" xfId="0" applyFont="1" applyFill="1" applyBorder="1"/>
    <xf numFmtId="0" fontId="3" fillId="3" borderId="0" xfId="0" applyFont="1" applyFill="1" applyAlignment="1">
      <alignment horizontal="center" vertical="center"/>
    </xf>
    <xf numFmtId="0" fontId="3" fillId="0" borderId="16" xfId="0" applyFont="1" applyBorder="1"/>
    <xf numFmtId="0" fontId="6" fillId="0" borderId="0" xfId="0" applyFont="1"/>
    <xf numFmtId="1" fontId="3" fillId="0" borderId="16" xfId="0" applyNumberFormat="1" applyFont="1" applyBorder="1"/>
    <xf numFmtId="1" fontId="3" fillId="0" borderId="0" xfId="0" applyNumberFormat="1" applyFont="1"/>
    <xf numFmtId="0" fontId="6" fillId="0" borderId="16" xfId="0" applyFont="1" applyBorder="1"/>
    <xf numFmtId="1" fontId="6" fillId="0" borderId="0" xfId="0" applyNumberFormat="1" applyFont="1"/>
    <xf numFmtId="9" fontId="6" fillId="0" borderId="0" xfId="1" applyFont="1"/>
    <xf numFmtId="1" fontId="3" fillId="0" borderId="0" xfId="1" applyNumberFormat="1" applyFont="1"/>
    <xf numFmtId="9" fontId="3" fillId="0" borderId="0" xfId="1" applyFont="1"/>
    <xf numFmtId="9" fontId="3" fillId="0" borderId="0" xfId="0" applyNumberFormat="1" applyFont="1"/>
    <xf numFmtId="1" fontId="6" fillId="0" borderId="16" xfId="0" applyNumberFormat="1" applyFont="1" applyBorder="1"/>
    <xf numFmtId="2" fontId="3" fillId="0" borderId="0" xfId="0" applyNumberFormat="1" applyFont="1"/>
    <xf numFmtId="2" fontId="3" fillId="0" borderId="16" xfId="0" applyNumberFormat="1" applyFont="1" applyBorder="1"/>
    <xf numFmtId="0" fontId="2" fillId="2" borderId="0" xfId="0" applyFont="1" applyFill="1"/>
    <xf numFmtId="0" fontId="3" fillId="2" borderId="2" xfId="0" applyFont="1" applyFill="1" applyBorder="1"/>
    <xf numFmtId="0" fontId="3" fillId="2" borderId="3" xfId="0" applyFont="1" applyFill="1" applyBorder="1"/>
    <xf numFmtId="0" fontId="6" fillId="2" borderId="2" xfId="0" applyFont="1" applyFill="1" applyBorder="1"/>
    <xf numFmtId="0" fontId="6" fillId="2" borderId="4" xfId="0" applyFont="1" applyFill="1" applyBorder="1"/>
    <xf numFmtId="0" fontId="3" fillId="2" borderId="8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164" fontId="3" fillId="2" borderId="11" xfId="0" applyNumberFormat="1" applyFont="1" applyFill="1" applyBorder="1"/>
    <xf numFmtId="0" fontId="3" fillId="2" borderId="11" xfId="0" quotePrefix="1" applyFont="1" applyFill="1" applyBorder="1" applyAlignment="1">
      <alignment horizontal="center" vertical="center" wrapText="1"/>
    </xf>
    <xf numFmtId="1" fontId="3" fillId="2" borderId="11" xfId="0" applyNumberFormat="1" applyFont="1" applyFill="1" applyBorder="1"/>
    <xf numFmtId="0" fontId="3" fillId="2" borderId="15" xfId="0" applyFont="1" applyFill="1" applyBorder="1"/>
    <xf numFmtId="1" fontId="3" fillId="2" borderId="13" xfId="0" applyNumberFormat="1" applyFont="1" applyFill="1" applyBorder="1"/>
    <xf numFmtId="0" fontId="3" fillId="2" borderId="15" xfId="0" applyFont="1" applyFill="1" applyBorder="1" applyAlignment="1">
      <alignment horizontal="center" vertical="center" wrapText="1"/>
    </xf>
    <xf numFmtId="0" fontId="3" fillId="2" borderId="13" xfId="0" quotePrefix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9" fontId="4" fillId="2" borderId="0" xfId="0" applyNumberFormat="1" applyFont="1" applyFill="1"/>
    <xf numFmtId="9" fontId="4" fillId="2" borderId="0" xfId="1" applyFont="1" applyFill="1"/>
    <xf numFmtId="0" fontId="3" fillId="2" borderId="16" xfId="0" applyFont="1" applyFill="1" applyBorder="1"/>
    <xf numFmtId="0" fontId="8" fillId="2" borderId="0" xfId="0" applyFont="1" applyFill="1"/>
    <xf numFmtId="0" fontId="9" fillId="2" borderId="0" xfId="2" applyFont="1" applyFill="1"/>
    <xf numFmtId="0" fontId="6" fillId="2" borderId="0" xfId="0" applyFont="1" applyFill="1"/>
    <xf numFmtId="0" fontId="6" fillId="2" borderId="8" xfId="0" applyFont="1" applyFill="1" applyBorder="1"/>
    <xf numFmtId="0" fontId="6" fillId="2" borderId="10" xfId="0" applyFont="1" applyFill="1" applyBorder="1"/>
    <xf numFmtId="0" fontId="6" fillId="2" borderId="17" xfId="0" applyFont="1" applyFill="1" applyBorder="1"/>
    <xf numFmtId="0" fontId="6" fillId="2" borderId="14" xfId="0" applyFont="1" applyFill="1" applyBorder="1"/>
    <xf numFmtId="14" fontId="6" fillId="2" borderId="15" xfId="0" applyNumberFormat="1" applyFont="1" applyFill="1" applyBorder="1"/>
    <xf numFmtId="14" fontId="6" fillId="2" borderId="12" xfId="0" applyNumberFormat="1" applyFont="1" applyFill="1" applyBorder="1"/>
    <xf numFmtId="14" fontId="6" fillId="2" borderId="18" xfId="0" applyNumberFormat="1" applyFont="1" applyFill="1" applyBorder="1"/>
    <xf numFmtId="14" fontId="6" fillId="2" borderId="13" xfId="0" applyNumberFormat="1" applyFont="1" applyFill="1" applyBorder="1"/>
    <xf numFmtId="0" fontId="6" fillId="2" borderId="15" xfId="0" applyFont="1" applyFill="1" applyBorder="1"/>
    <xf numFmtId="0" fontId="6" fillId="2" borderId="12" xfId="0" applyFont="1" applyFill="1" applyBorder="1"/>
    <xf numFmtId="0" fontId="6" fillId="2" borderId="18" xfId="0" applyFont="1" applyFill="1" applyBorder="1"/>
    <xf numFmtId="0" fontId="6" fillId="2" borderId="13" xfId="0" applyFont="1" applyFill="1" applyBorder="1"/>
    <xf numFmtId="1" fontId="3" fillId="2" borderId="0" xfId="0" applyNumberFormat="1" applyFont="1" applyFill="1"/>
    <xf numFmtId="0" fontId="7" fillId="2" borderId="0" xfId="2" applyFill="1"/>
    <xf numFmtId="0" fontId="10" fillId="2" borderId="0" xfId="0" applyFont="1" applyFill="1"/>
    <xf numFmtId="0" fontId="11" fillId="3" borderId="9" xfId="0" applyFont="1" applyFill="1" applyBorder="1"/>
    <xf numFmtId="0" fontId="11" fillId="3" borderId="0" xfId="0" applyFont="1" applyFill="1"/>
    <xf numFmtId="0" fontId="3" fillId="2" borderId="19" xfId="0" applyFont="1" applyFill="1" applyBorder="1"/>
    <xf numFmtId="0" fontId="3" fillId="2" borderId="20" xfId="0" applyFont="1" applyFill="1" applyBorder="1"/>
    <xf numFmtId="0" fontId="3" fillId="3" borderId="0" xfId="0" applyFont="1" applyFill="1" applyAlignment="1">
      <alignment horizontal="center"/>
    </xf>
    <xf numFmtId="0" fontId="3" fillId="2" borderId="21" xfId="0" applyFont="1" applyFill="1" applyBorder="1"/>
    <xf numFmtId="0" fontId="3" fillId="2" borderId="22" xfId="0" applyFont="1" applyFill="1" applyBorder="1"/>
    <xf numFmtId="0" fontId="3" fillId="2" borderId="23" xfId="0" applyFont="1" applyFill="1" applyBorder="1"/>
    <xf numFmtId="0" fontId="3" fillId="3" borderId="9" xfId="0" applyFont="1" applyFill="1" applyBorder="1"/>
    <xf numFmtId="0" fontId="3" fillId="3" borderId="15" xfId="0" applyFont="1" applyFill="1" applyBorder="1"/>
    <xf numFmtId="0" fontId="3" fillId="3" borderId="12" xfId="0" applyFont="1" applyFill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61C9-8B78-B549-A831-48AC082FB86C}">
  <dimension ref="B3:B5"/>
  <sheetViews>
    <sheetView tabSelected="1" workbookViewId="0">
      <selection activeCell="B4" sqref="B4"/>
    </sheetView>
  </sheetViews>
  <sheetFormatPr baseColWidth="10" defaultRowHeight="16"/>
  <cols>
    <col min="1" max="16384" width="10.83203125" style="9"/>
  </cols>
  <sheetData>
    <row r="3" spans="2:2" ht="28">
      <c r="B3" s="80" t="s">
        <v>0</v>
      </c>
    </row>
    <row r="4" spans="2:2">
      <c r="B4" s="4" t="s">
        <v>143</v>
      </c>
    </row>
    <row r="5" spans="2:2">
      <c r="B5" s="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B826-4C96-0246-AE56-ACFEDEAAD190}">
  <dimension ref="B2:Q40"/>
  <sheetViews>
    <sheetView workbookViewId="0">
      <selection activeCell="O24" sqref="O24"/>
    </sheetView>
  </sheetViews>
  <sheetFormatPr baseColWidth="10" defaultRowHeight="13"/>
  <cols>
    <col min="1" max="1" width="10.83203125" style="4"/>
    <col min="2" max="2" width="23.6640625" style="4" customWidth="1"/>
    <col min="3" max="3" width="27.1640625" style="4" customWidth="1"/>
    <col min="4" max="4" width="33.33203125" style="4" customWidth="1"/>
    <col min="5" max="12" width="7" style="4" customWidth="1"/>
    <col min="13" max="13" width="21.5" style="4" customWidth="1"/>
    <col min="14" max="16384" width="10.83203125" style="4"/>
  </cols>
  <sheetData>
    <row r="2" spans="2:17" ht="23">
      <c r="B2" s="39" t="s">
        <v>0</v>
      </c>
    </row>
    <row r="3" spans="2:17">
      <c r="B3" s="4" t="s">
        <v>143</v>
      </c>
    </row>
    <row r="4" spans="2:17">
      <c r="B4" s="4" t="s">
        <v>147</v>
      </c>
    </row>
    <row r="5" spans="2:17" ht="16">
      <c r="B5" s="9"/>
    </row>
    <row r="10" spans="2:17">
      <c r="B10" s="40" t="s">
        <v>4</v>
      </c>
      <c r="C10" s="41" t="s">
        <v>5</v>
      </c>
      <c r="D10" s="41" t="s">
        <v>6</v>
      </c>
      <c r="E10" s="83" t="s">
        <v>7</v>
      </c>
      <c r="F10" s="84"/>
      <c r="G10" s="83" t="s">
        <v>8</v>
      </c>
      <c r="H10" s="84"/>
      <c r="I10" s="83" t="s">
        <v>9</v>
      </c>
      <c r="J10" s="84"/>
      <c r="K10" s="83" t="s">
        <v>10</v>
      </c>
      <c r="L10" s="84"/>
      <c r="M10" s="3" t="s">
        <v>11</v>
      </c>
      <c r="P10" s="42" t="s">
        <v>37</v>
      </c>
      <c r="Q10" s="43"/>
    </row>
    <row r="11" spans="2:17" ht="16" customHeight="1">
      <c r="B11" s="92" t="s">
        <v>18</v>
      </c>
      <c r="C11" s="95" t="s">
        <v>14</v>
      </c>
      <c r="D11" s="45" t="s">
        <v>12</v>
      </c>
      <c r="E11" s="81"/>
      <c r="F11" s="82"/>
      <c r="G11" s="85" t="s">
        <v>127</v>
      </c>
      <c r="H11" s="85"/>
      <c r="I11" s="7"/>
      <c r="J11" s="7"/>
      <c r="K11" s="7"/>
      <c r="M11" s="86"/>
      <c r="P11" s="46" t="s">
        <v>31</v>
      </c>
      <c r="Q11" s="5">
        <v>27.04</v>
      </c>
    </row>
    <row r="12" spans="2:17" ht="14">
      <c r="B12" s="93"/>
      <c r="C12" s="96"/>
      <c r="D12" s="48" t="s">
        <v>13</v>
      </c>
      <c r="E12" s="81"/>
      <c r="F12" s="82"/>
      <c r="G12" s="7"/>
      <c r="H12" s="7"/>
      <c r="I12" s="7"/>
      <c r="M12" s="87" t="s">
        <v>118</v>
      </c>
      <c r="P12" s="46" t="s">
        <v>32</v>
      </c>
      <c r="Q12" s="49">
        <f>Model!G50</f>
        <v>49.436171999999999</v>
      </c>
    </row>
    <row r="13" spans="2:17" ht="16" customHeight="1">
      <c r="B13" s="93"/>
      <c r="C13" s="96" t="s">
        <v>19</v>
      </c>
      <c r="D13" s="50" t="s">
        <v>15</v>
      </c>
      <c r="E13" s="81"/>
      <c r="F13" s="82"/>
      <c r="G13" s="7"/>
      <c r="H13" s="7"/>
      <c r="I13" s="7"/>
      <c r="M13" s="87" t="s">
        <v>119</v>
      </c>
      <c r="P13" s="46" t="s">
        <v>33</v>
      </c>
      <c r="Q13" s="51">
        <f>Q11*Q12</f>
        <v>1336.7540908799999</v>
      </c>
    </row>
    <row r="14" spans="2:17" ht="14">
      <c r="B14" s="93"/>
      <c r="C14" s="96"/>
      <c r="D14" s="50" t="s">
        <v>16</v>
      </c>
      <c r="E14" s="81"/>
      <c r="F14" s="82"/>
      <c r="G14" s="7"/>
      <c r="M14" s="87" t="s">
        <v>120</v>
      </c>
      <c r="P14" s="46" t="s">
        <v>34</v>
      </c>
      <c r="Q14" s="5">
        <f>Model!G64</f>
        <v>70121</v>
      </c>
    </row>
    <row r="15" spans="2:17" ht="14">
      <c r="B15" s="93"/>
      <c r="C15" s="96"/>
      <c r="D15" s="50" t="s">
        <v>17</v>
      </c>
      <c r="E15" s="81"/>
      <c r="F15" s="82"/>
      <c r="G15" s="7"/>
      <c r="M15" s="87" t="s">
        <v>121</v>
      </c>
      <c r="P15" s="46" t="s">
        <v>35</v>
      </c>
      <c r="Q15" s="5">
        <v>0</v>
      </c>
    </row>
    <row r="16" spans="2:17" ht="14">
      <c r="B16" s="93"/>
      <c r="C16" s="96"/>
      <c r="D16" s="50" t="s">
        <v>128</v>
      </c>
      <c r="E16" s="81"/>
      <c r="F16" s="82"/>
      <c r="G16" s="7"/>
      <c r="M16" s="87" t="s">
        <v>122</v>
      </c>
      <c r="P16" s="52" t="s">
        <v>36</v>
      </c>
      <c r="Q16" s="53">
        <f>Q13-Q14/1000</f>
        <v>1266.6330908799998</v>
      </c>
    </row>
    <row r="17" spans="2:13" ht="14">
      <c r="B17" s="93"/>
      <c r="C17" s="96"/>
      <c r="D17" s="50" t="s">
        <v>129</v>
      </c>
      <c r="E17" s="81"/>
      <c r="F17" s="82"/>
      <c r="G17" s="7"/>
      <c r="M17" s="87" t="s">
        <v>123</v>
      </c>
    </row>
    <row r="18" spans="2:13" ht="14">
      <c r="B18" s="93"/>
      <c r="C18" s="96"/>
      <c r="D18" s="50" t="s">
        <v>130</v>
      </c>
      <c r="E18" s="81"/>
      <c r="F18" s="82"/>
      <c r="G18" s="7"/>
      <c r="M18" s="87" t="s">
        <v>124</v>
      </c>
    </row>
    <row r="19" spans="2:13" ht="14">
      <c r="B19" s="94"/>
      <c r="C19" s="97"/>
      <c r="D19" s="55" t="s">
        <v>131</v>
      </c>
      <c r="E19" s="81"/>
      <c r="F19" s="82"/>
      <c r="G19" s="7"/>
      <c r="M19" s="87" t="s">
        <v>125</v>
      </c>
    </row>
    <row r="20" spans="2:13" ht="24" customHeight="1">
      <c r="B20" s="92" t="s">
        <v>20</v>
      </c>
      <c r="C20" s="44" t="s">
        <v>139</v>
      </c>
      <c r="D20" s="45" t="s">
        <v>132</v>
      </c>
      <c r="E20" s="81"/>
      <c r="F20" s="82"/>
      <c r="G20" s="25" t="s">
        <v>126</v>
      </c>
      <c r="H20" s="25"/>
      <c r="I20" s="7"/>
      <c r="M20" s="87"/>
    </row>
    <row r="21" spans="2:13" ht="14">
      <c r="B21" s="93"/>
      <c r="C21" s="47" t="s">
        <v>138</v>
      </c>
      <c r="D21" s="50" t="s">
        <v>133</v>
      </c>
      <c r="E21" s="81"/>
      <c r="F21" s="82"/>
      <c r="G21" s="7"/>
      <c r="M21" s="87" t="s">
        <v>140</v>
      </c>
    </row>
    <row r="22" spans="2:13" ht="14">
      <c r="B22" s="93"/>
      <c r="C22" s="47" t="s">
        <v>137</v>
      </c>
      <c r="D22" s="48" t="s">
        <v>132</v>
      </c>
      <c r="E22" s="81"/>
      <c r="F22" s="82"/>
      <c r="G22" s="7"/>
      <c r="M22" s="87" t="s">
        <v>141</v>
      </c>
    </row>
    <row r="23" spans="2:13" ht="14">
      <c r="B23" s="93"/>
      <c r="C23" s="47" t="s">
        <v>136</v>
      </c>
      <c r="D23" s="50" t="s">
        <v>134</v>
      </c>
      <c r="E23" s="81"/>
      <c r="F23" s="82"/>
      <c r="G23" s="7"/>
      <c r="M23" s="87"/>
    </row>
    <row r="24" spans="2:13" ht="14">
      <c r="B24" s="94"/>
      <c r="C24" s="54" t="s">
        <v>135</v>
      </c>
      <c r="D24" s="56" t="s">
        <v>132</v>
      </c>
      <c r="E24" s="81"/>
      <c r="F24" s="82"/>
      <c r="G24" s="7"/>
      <c r="M24" s="87"/>
    </row>
    <row r="25" spans="2:13" ht="14">
      <c r="B25" s="57" t="s">
        <v>21</v>
      </c>
      <c r="C25" s="44" t="s">
        <v>24</v>
      </c>
      <c r="D25" s="45" t="s">
        <v>27</v>
      </c>
      <c r="E25" s="81"/>
      <c r="F25" s="82"/>
      <c r="G25" s="7"/>
      <c r="M25" s="87" t="s">
        <v>140</v>
      </c>
    </row>
    <row r="26" spans="2:13" ht="14">
      <c r="B26" s="57" t="s">
        <v>22</v>
      </c>
      <c r="C26" s="58" t="s">
        <v>25</v>
      </c>
      <c r="D26" s="59" t="s">
        <v>27</v>
      </c>
      <c r="E26" s="89"/>
      <c r="F26" s="7"/>
      <c r="M26" s="87"/>
    </row>
    <row r="27" spans="2:13" ht="14">
      <c r="B27" s="57" t="s">
        <v>23</v>
      </c>
      <c r="C27" s="54" t="s">
        <v>26</v>
      </c>
      <c r="D27" s="56" t="s">
        <v>27</v>
      </c>
      <c r="E27" s="90"/>
      <c r="F27" s="91"/>
      <c r="G27" s="6"/>
      <c r="H27" s="6"/>
      <c r="I27" s="6"/>
      <c r="J27" s="6"/>
      <c r="K27" s="6"/>
      <c r="L27" s="6"/>
      <c r="M27" s="88"/>
    </row>
    <row r="33" spans="2:4" ht="16">
      <c r="B33" s="9"/>
      <c r="C33" s="9"/>
      <c r="D33" s="9"/>
    </row>
    <row r="34" spans="2:4" ht="16">
      <c r="B34" s="9"/>
      <c r="C34" s="60"/>
      <c r="D34" s="60"/>
    </row>
    <row r="35" spans="2:4" ht="16">
      <c r="B35" s="9"/>
      <c r="C35" s="9"/>
      <c r="D35" s="9"/>
    </row>
    <row r="36" spans="2:4" ht="16">
      <c r="B36" s="9"/>
      <c r="C36" s="9"/>
      <c r="D36" s="9"/>
    </row>
    <row r="37" spans="2:4" ht="16">
      <c r="B37" s="9"/>
      <c r="C37" s="61"/>
      <c r="D37" s="60"/>
    </row>
    <row r="38" spans="2:4" ht="16">
      <c r="B38" s="9"/>
      <c r="C38" s="61"/>
      <c r="D38" s="9"/>
    </row>
    <row r="39" spans="2:4" ht="16">
      <c r="B39" s="9"/>
      <c r="C39" s="16"/>
      <c r="D39" s="9"/>
    </row>
    <row r="40" spans="2:4" ht="16">
      <c r="B40" s="9"/>
      <c r="C40" s="9"/>
      <c r="D40" s="9"/>
    </row>
  </sheetData>
  <mergeCells count="4">
    <mergeCell ref="B11:B19"/>
    <mergeCell ref="C11:C12"/>
    <mergeCell ref="C13:C19"/>
    <mergeCell ref="B20:B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24A4-88DF-5340-B011-04695B0BA298}">
  <dimension ref="A1:AP66"/>
  <sheetViews>
    <sheetView workbookViewId="0">
      <pane xSplit="1" ySplit="9" topLeftCell="B22" activePane="bottomRight" state="frozen"/>
      <selection pane="topRight" activeCell="B1" sqref="B1"/>
      <selection pane="bottomLeft" activeCell="A5" sqref="A5"/>
      <selection pane="bottomRight" activeCell="X16" sqref="W16:X16"/>
    </sheetView>
  </sheetViews>
  <sheetFormatPr baseColWidth="10" defaultRowHeight="13" outlineLevelRow="1"/>
  <cols>
    <col min="1" max="1" width="32.1640625" style="4" customWidth="1"/>
    <col min="2" max="7" width="10.83203125" style="1"/>
    <col min="8" max="8" width="10.83203125" style="26"/>
    <col min="9" max="21" width="10.83203125" style="1"/>
    <col min="22" max="22" width="10.83203125" style="26"/>
    <col min="23" max="16384" width="10.83203125" style="1"/>
  </cols>
  <sheetData>
    <row r="1" spans="1:42" s="4" customFormat="1">
      <c r="H1" s="62"/>
      <c r="V1" s="62"/>
    </row>
    <row r="2" spans="1:42" s="4" customFormat="1" ht="18">
      <c r="A2" s="63" t="s">
        <v>0</v>
      </c>
      <c r="H2" s="62"/>
      <c r="V2" s="62"/>
    </row>
    <row r="3" spans="1:42" s="4" customFormat="1">
      <c r="A3" s="4" t="s">
        <v>143</v>
      </c>
      <c r="H3" s="62"/>
      <c r="V3" s="62"/>
    </row>
    <row r="4" spans="1:42" s="4" customFormat="1">
      <c r="H4" s="62"/>
      <c r="V4" s="62"/>
    </row>
    <row r="5" spans="1:42" s="4" customFormat="1">
      <c r="A5" s="64" t="s">
        <v>146</v>
      </c>
      <c r="H5" s="62"/>
      <c r="V5" s="62"/>
    </row>
    <row r="6" spans="1:42" s="4" customFormat="1" ht="16">
      <c r="A6" s="79" t="s">
        <v>148</v>
      </c>
      <c r="H6" s="62"/>
      <c r="V6" s="62"/>
    </row>
    <row r="7" spans="1:42" s="4" customFormat="1">
      <c r="H7" s="62"/>
      <c r="V7" s="62"/>
    </row>
    <row r="8" spans="1:42" s="4" customFormat="1">
      <c r="A8" s="65" t="s">
        <v>145</v>
      </c>
      <c r="B8" s="66" t="s">
        <v>59</v>
      </c>
      <c r="C8" s="67" t="s">
        <v>60</v>
      </c>
      <c r="D8" s="67" t="s">
        <v>58</v>
      </c>
      <c r="E8" s="67" t="s">
        <v>57</v>
      </c>
      <c r="F8" s="67" t="s">
        <v>56</v>
      </c>
      <c r="G8" s="67" t="s">
        <v>55</v>
      </c>
      <c r="H8" s="68" t="s">
        <v>67</v>
      </c>
      <c r="I8" s="67" t="s">
        <v>68</v>
      </c>
      <c r="J8" s="67" t="s">
        <v>69</v>
      </c>
      <c r="K8" s="67" t="s">
        <v>70</v>
      </c>
      <c r="L8" s="67" t="s">
        <v>71</v>
      </c>
      <c r="M8" s="67" t="s">
        <v>72</v>
      </c>
      <c r="N8" s="67" t="s">
        <v>80</v>
      </c>
      <c r="O8" s="67" t="s">
        <v>81</v>
      </c>
      <c r="P8" s="67" t="s">
        <v>82</v>
      </c>
      <c r="Q8" s="69" t="s">
        <v>83</v>
      </c>
      <c r="S8" s="66" t="s">
        <v>47</v>
      </c>
      <c r="T8" s="67" t="s">
        <v>3</v>
      </c>
      <c r="U8" s="67" t="s">
        <v>2</v>
      </c>
      <c r="V8" s="68" t="s">
        <v>1</v>
      </c>
      <c r="W8" s="67" t="s">
        <v>74</v>
      </c>
      <c r="X8" s="67" t="s">
        <v>73</v>
      </c>
      <c r="Y8" s="67" t="s">
        <v>75</v>
      </c>
      <c r="Z8" s="67" t="s">
        <v>105</v>
      </c>
      <c r="AA8" s="67" t="s">
        <v>85</v>
      </c>
      <c r="AB8" s="67" t="s">
        <v>86</v>
      </c>
      <c r="AC8" s="67" t="s">
        <v>87</v>
      </c>
      <c r="AD8" s="67" t="s">
        <v>88</v>
      </c>
      <c r="AE8" s="67" t="s">
        <v>89</v>
      </c>
      <c r="AF8" s="67" t="s">
        <v>90</v>
      </c>
      <c r="AG8" s="67" t="s">
        <v>91</v>
      </c>
      <c r="AH8" s="67" t="s">
        <v>97</v>
      </c>
      <c r="AI8" s="67" t="s">
        <v>98</v>
      </c>
      <c r="AJ8" s="67" t="s">
        <v>99</v>
      </c>
      <c r="AK8" s="67" t="s">
        <v>100</v>
      </c>
      <c r="AL8" s="67" t="s">
        <v>101</v>
      </c>
      <c r="AM8" s="67" t="s">
        <v>102</v>
      </c>
      <c r="AN8" s="69" t="s">
        <v>103</v>
      </c>
    </row>
    <row r="9" spans="1:42" s="4" customFormat="1">
      <c r="A9" s="4" t="s">
        <v>144</v>
      </c>
      <c r="B9" s="70">
        <v>44286</v>
      </c>
      <c r="C9" s="71">
        <v>44377</v>
      </c>
      <c r="D9" s="71">
        <v>44469</v>
      </c>
      <c r="E9" s="71">
        <v>44561</v>
      </c>
      <c r="F9" s="71">
        <v>44651</v>
      </c>
      <c r="G9" s="71">
        <v>44742</v>
      </c>
      <c r="H9" s="72">
        <v>44834</v>
      </c>
      <c r="I9" s="71">
        <f>E9+365</f>
        <v>44926</v>
      </c>
      <c r="J9" s="71">
        <f t="shared" ref="J9:M9" si="0">F9+365</f>
        <v>45016</v>
      </c>
      <c r="K9" s="71">
        <f t="shared" si="0"/>
        <v>45107</v>
      </c>
      <c r="L9" s="71">
        <f t="shared" si="0"/>
        <v>45199</v>
      </c>
      <c r="M9" s="71">
        <f t="shared" si="0"/>
        <v>45291</v>
      </c>
      <c r="N9" s="71">
        <f>J9+366</f>
        <v>45382</v>
      </c>
      <c r="O9" s="71">
        <f t="shared" ref="O9:Q9" si="1">K9+366</f>
        <v>45473</v>
      </c>
      <c r="P9" s="71">
        <f t="shared" si="1"/>
        <v>45565</v>
      </c>
      <c r="Q9" s="73">
        <f t="shared" si="1"/>
        <v>45657</v>
      </c>
      <c r="S9" s="74">
        <v>2019</v>
      </c>
      <c r="T9" s="75">
        <f>S9+1</f>
        <v>2020</v>
      </c>
      <c r="U9" s="75">
        <f t="shared" ref="U9:AN9" si="2">T9+1</f>
        <v>2021</v>
      </c>
      <c r="V9" s="76">
        <f t="shared" si="2"/>
        <v>2022</v>
      </c>
      <c r="W9" s="75">
        <f t="shared" si="2"/>
        <v>2023</v>
      </c>
      <c r="X9" s="75">
        <f t="shared" si="2"/>
        <v>2024</v>
      </c>
      <c r="Y9" s="75">
        <f t="shared" si="2"/>
        <v>2025</v>
      </c>
      <c r="Z9" s="75">
        <f t="shared" si="2"/>
        <v>2026</v>
      </c>
      <c r="AA9" s="75">
        <f t="shared" si="2"/>
        <v>2027</v>
      </c>
      <c r="AB9" s="75">
        <f t="shared" si="2"/>
        <v>2028</v>
      </c>
      <c r="AC9" s="75">
        <f t="shared" si="2"/>
        <v>2029</v>
      </c>
      <c r="AD9" s="75">
        <f t="shared" si="2"/>
        <v>2030</v>
      </c>
      <c r="AE9" s="75">
        <f t="shared" si="2"/>
        <v>2031</v>
      </c>
      <c r="AF9" s="75">
        <f t="shared" si="2"/>
        <v>2032</v>
      </c>
      <c r="AG9" s="75">
        <f t="shared" si="2"/>
        <v>2033</v>
      </c>
      <c r="AH9" s="75">
        <f t="shared" si="2"/>
        <v>2034</v>
      </c>
      <c r="AI9" s="75">
        <f t="shared" si="2"/>
        <v>2035</v>
      </c>
      <c r="AJ9" s="75">
        <f t="shared" si="2"/>
        <v>2036</v>
      </c>
      <c r="AK9" s="75">
        <f t="shared" si="2"/>
        <v>2037</v>
      </c>
      <c r="AL9" s="75">
        <f t="shared" si="2"/>
        <v>2038</v>
      </c>
      <c r="AM9" s="75">
        <f t="shared" si="2"/>
        <v>2039</v>
      </c>
      <c r="AN9" s="77">
        <f t="shared" si="2"/>
        <v>2040</v>
      </c>
    </row>
    <row r="10" spans="1:42">
      <c r="A10" s="4" t="s">
        <v>79</v>
      </c>
      <c r="G10" s="1">
        <v>5500</v>
      </c>
      <c r="H10" s="28">
        <f>G10*0.99+375</f>
        <v>5820</v>
      </c>
      <c r="I10" s="29">
        <f t="shared" ref="I10:M10" si="3">H10*0.99+375</f>
        <v>6136.8</v>
      </c>
      <c r="J10" s="29">
        <f t="shared" si="3"/>
        <v>6450.4319999999998</v>
      </c>
      <c r="K10" s="29">
        <f t="shared" si="3"/>
        <v>6760.9276799999998</v>
      </c>
      <c r="L10" s="29">
        <f t="shared" si="3"/>
        <v>7068.3184031999999</v>
      </c>
      <c r="M10" s="29">
        <f t="shared" si="3"/>
        <v>7372.6352191679998</v>
      </c>
      <c r="N10" s="29">
        <f>M10-M11+375</f>
        <v>4798.5811315007995</v>
      </c>
      <c r="O10" s="29">
        <f>N10-N11+375</f>
        <v>3254.1486789004794</v>
      </c>
      <c r="P10" s="29">
        <f>O10-O11+375</f>
        <v>2327.4892073402875</v>
      </c>
      <c r="Q10" s="29">
        <f>P10-P11+375</f>
        <v>1771.4935244041726</v>
      </c>
      <c r="V10" s="28">
        <f>I10</f>
        <v>6136.8</v>
      </c>
      <c r="W10" s="29">
        <f>M10</f>
        <v>7372.6352191679998</v>
      </c>
      <c r="X10" s="29">
        <f>Q10</f>
        <v>1771.4935244041726</v>
      </c>
      <c r="Y10" s="29">
        <f>X10+1500</f>
        <v>3271.4935244041726</v>
      </c>
      <c r="Z10" s="29">
        <f>Y10-Y11+1500</f>
        <v>3462.8961146425036</v>
      </c>
      <c r="AA10" s="29">
        <f t="shared" ref="AA10:AG10" si="4">Z10-Z11+1500</f>
        <v>3577.7376687855021</v>
      </c>
      <c r="AB10" s="29">
        <f t="shared" si="4"/>
        <v>3646.6426012713009</v>
      </c>
      <c r="AC10" s="29">
        <f t="shared" si="4"/>
        <v>3687.9855607627806</v>
      </c>
      <c r="AD10" s="29">
        <f t="shared" si="4"/>
        <v>3712.791336457668</v>
      </c>
      <c r="AE10" s="29">
        <f t="shared" si="4"/>
        <v>3727.6748018746007</v>
      </c>
      <c r="AF10" s="29">
        <f t="shared" si="4"/>
        <v>3736.6048811247601</v>
      </c>
      <c r="AG10" s="29">
        <f t="shared" si="4"/>
        <v>3741.9629286748559</v>
      </c>
      <c r="AH10" s="29">
        <f t="shared" ref="AH10:AN10" si="5">AG10-AG11+1500</f>
        <v>3745.1777572049132</v>
      </c>
      <c r="AI10" s="29">
        <f t="shared" si="5"/>
        <v>3747.1066543229481</v>
      </c>
      <c r="AJ10" s="29">
        <f t="shared" si="5"/>
        <v>3748.2639925937688</v>
      </c>
      <c r="AK10" s="29">
        <f t="shared" si="5"/>
        <v>3748.9583955562612</v>
      </c>
      <c r="AL10" s="29">
        <f t="shared" si="5"/>
        <v>3749.3750373337566</v>
      </c>
      <c r="AM10" s="29">
        <f t="shared" si="5"/>
        <v>3749.6250224002538</v>
      </c>
      <c r="AN10" s="29">
        <f t="shared" si="5"/>
        <v>3749.7750134401522</v>
      </c>
      <c r="AO10" s="29"/>
      <c r="AP10" s="29"/>
    </row>
    <row r="11" spans="1:42">
      <c r="A11" s="4" t="s">
        <v>77</v>
      </c>
      <c r="H11" s="28"/>
      <c r="I11" s="29"/>
      <c r="J11" s="29"/>
      <c r="K11" s="29"/>
      <c r="L11" s="29"/>
      <c r="M11" s="29">
        <f>M10*0.4</f>
        <v>2949.0540876672003</v>
      </c>
      <c r="N11" s="29">
        <f>N10*0.4</f>
        <v>1919.4324526003199</v>
      </c>
      <c r="O11" s="29">
        <f>O10*0.4</f>
        <v>1301.6594715601918</v>
      </c>
      <c r="P11" s="29">
        <f>P10*0.4</f>
        <v>930.99568293611503</v>
      </c>
      <c r="Q11" s="29">
        <f>Q10*0.4</f>
        <v>708.59740976166904</v>
      </c>
      <c r="V11" s="28"/>
      <c r="W11" s="29">
        <f>M11</f>
        <v>2949.0540876672003</v>
      </c>
      <c r="X11" s="29">
        <f>SUM(N11:Q11)</f>
        <v>4860.685016858296</v>
      </c>
      <c r="Y11" s="29">
        <f>Y10*0.4</f>
        <v>1308.597409761669</v>
      </c>
      <c r="Z11" s="29">
        <f>Z10*0.4</f>
        <v>1385.1584458570014</v>
      </c>
      <c r="AA11" s="29">
        <f t="shared" ref="AA11:AG11" si="6">AA10*0.4</f>
        <v>1431.095067514201</v>
      </c>
      <c r="AB11" s="29">
        <f t="shared" si="6"/>
        <v>1458.6570405085204</v>
      </c>
      <c r="AC11" s="29">
        <f t="shared" si="6"/>
        <v>1475.1942243051124</v>
      </c>
      <c r="AD11" s="29">
        <f t="shared" si="6"/>
        <v>1485.1165345830673</v>
      </c>
      <c r="AE11" s="29">
        <f t="shared" si="6"/>
        <v>1491.0699207498403</v>
      </c>
      <c r="AF11" s="29">
        <f t="shared" si="6"/>
        <v>1494.6419524499042</v>
      </c>
      <c r="AG11" s="29">
        <f t="shared" si="6"/>
        <v>1496.7851714699425</v>
      </c>
      <c r="AH11" s="29">
        <f t="shared" ref="AH11" si="7">AH10*0.4</f>
        <v>1498.0711028819653</v>
      </c>
      <c r="AI11" s="29">
        <f t="shared" ref="AI11" si="8">AI10*0.4</f>
        <v>1498.8426617291793</v>
      </c>
      <c r="AJ11" s="29">
        <f t="shared" ref="AJ11" si="9">AJ10*0.4</f>
        <v>1499.3055970375076</v>
      </c>
      <c r="AK11" s="29">
        <f t="shared" ref="AK11" si="10">AK10*0.4</f>
        <v>1499.5833582225046</v>
      </c>
      <c r="AL11" s="29">
        <f t="shared" ref="AL11" si="11">AL10*0.4</f>
        <v>1499.7500149335028</v>
      </c>
      <c r="AM11" s="29">
        <f t="shared" ref="AM11" si="12">AM10*0.4</f>
        <v>1499.8500089601016</v>
      </c>
      <c r="AN11" s="29">
        <f t="shared" ref="AN11" si="13">AN10*0.4</f>
        <v>1499.910005376061</v>
      </c>
      <c r="AO11" s="29"/>
      <c r="AP11" s="29"/>
    </row>
    <row r="12" spans="1:42">
      <c r="A12" s="4" t="s">
        <v>96</v>
      </c>
      <c r="M12" s="29">
        <f>M11</f>
        <v>2949.0540876672003</v>
      </c>
      <c r="N12" s="29">
        <f>N11+M12</f>
        <v>4868.4865402675205</v>
      </c>
      <c r="O12" s="29">
        <f>O11+N12</f>
        <v>6170.1460118277118</v>
      </c>
      <c r="P12" s="29">
        <f>P11+O12</f>
        <v>7101.1416947638272</v>
      </c>
      <c r="Q12" s="29">
        <f>Q11+P12</f>
        <v>7809.7391045254963</v>
      </c>
      <c r="V12" s="26">
        <f>I12</f>
        <v>0</v>
      </c>
      <c r="W12" s="29">
        <f>M11</f>
        <v>2949.0540876672003</v>
      </c>
      <c r="X12" s="29">
        <f>X11+W12</f>
        <v>7809.7391045254963</v>
      </c>
      <c r="Y12" s="29">
        <f>Y11+X12</f>
        <v>9118.3365142871662</v>
      </c>
      <c r="Z12" s="29">
        <f t="shared" ref="Z12" si="14">Z11+Y12</f>
        <v>10503.494960144168</v>
      </c>
      <c r="AA12" s="29">
        <f>AA11+Z12-W12</f>
        <v>8985.5359399911686</v>
      </c>
      <c r="AB12" s="29">
        <f>AB11+AA12-X12</f>
        <v>2634.4538759741927</v>
      </c>
      <c r="AC12" s="29">
        <f>AC11</f>
        <v>1475.1942243051124</v>
      </c>
      <c r="AD12" s="29">
        <f t="shared" ref="AD12:AG12" si="15">AD11</f>
        <v>1485.1165345830673</v>
      </c>
      <c r="AE12" s="29">
        <f t="shared" si="15"/>
        <v>1491.0699207498403</v>
      </c>
      <c r="AF12" s="29">
        <f t="shared" si="15"/>
        <v>1494.6419524499042</v>
      </c>
      <c r="AG12" s="29">
        <f t="shared" si="15"/>
        <v>1496.7851714699425</v>
      </c>
      <c r="AH12" s="29">
        <f t="shared" ref="AH12" si="16">AH11</f>
        <v>1498.0711028819653</v>
      </c>
      <c r="AI12" s="29">
        <f t="shared" ref="AI12" si="17">AI11</f>
        <v>1498.8426617291793</v>
      </c>
      <c r="AJ12" s="29">
        <f t="shared" ref="AJ12" si="18">AJ11</f>
        <v>1499.3055970375076</v>
      </c>
      <c r="AK12" s="29">
        <f t="shared" ref="AK12" si="19">AK11</f>
        <v>1499.5833582225046</v>
      </c>
      <c r="AL12" s="29">
        <f t="shared" ref="AL12" si="20">AL11</f>
        <v>1499.7500149335028</v>
      </c>
      <c r="AM12" s="29">
        <f t="shared" ref="AM12" si="21">AM11</f>
        <v>1499.8500089601016</v>
      </c>
      <c r="AN12" s="29">
        <f t="shared" ref="AN12" si="22">AN11</f>
        <v>1499.910005376061</v>
      </c>
      <c r="AO12" s="29"/>
      <c r="AP12" s="29"/>
    </row>
    <row r="14" spans="1:42">
      <c r="A14" s="4" t="s">
        <v>84</v>
      </c>
      <c r="M14" s="1">
        <v>15</v>
      </c>
      <c r="N14" s="1">
        <v>15</v>
      </c>
      <c r="O14" s="1">
        <v>15</v>
      </c>
      <c r="P14" s="1">
        <v>15</v>
      </c>
      <c r="Q14" s="1">
        <v>15</v>
      </c>
      <c r="W14" s="1">
        <v>20</v>
      </c>
      <c r="X14" s="1">
        <v>20</v>
      </c>
      <c r="Y14" s="1">
        <v>20</v>
      </c>
      <c r="Z14" s="1">
        <v>20</v>
      </c>
      <c r="AA14" s="1">
        <v>20</v>
      </c>
      <c r="AB14" s="1">
        <v>20</v>
      </c>
      <c r="AC14" s="1">
        <v>20</v>
      </c>
      <c r="AD14" s="1">
        <v>20</v>
      </c>
      <c r="AE14" s="1">
        <v>20</v>
      </c>
      <c r="AF14" s="1">
        <v>20</v>
      </c>
      <c r="AG14" s="1">
        <v>20</v>
      </c>
      <c r="AH14" s="1">
        <v>20</v>
      </c>
      <c r="AI14" s="1">
        <v>20</v>
      </c>
      <c r="AJ14" s="1">
        <v>20</v>
      </c>
      <c r="AK14" s="1">
        <v>20</v>
      </c>
      <c r="AL14" s="1">
        <v>20</v>
      </c>
      <c r="AM14" s="1">
        <v>20</v>
      </c>
      <c r="AN14" s="1">
        <v>1</v>
      </c>
    </row>
    <row r="15" spans="1:42">
      <c r="A15" s="4" t="s">
        <v>149</v>
      </c>
      <c r="M15" s="35">
        <v>0.1</v>
      </c>
      <c r="N15" s="35">
        <v>0.1</v>
      </c>
      <c r="O15" s="35">
        <v>0.1</v>
      </c>
      <c r="P15" s="35">
        <v>0.1</v>
      </c>
      <c r="Q15" s="35">
        <v>0.1</v>
      </c>
      <c r="W15" s="35">
        <f>AVERAGE(J15:M15)</f>
        <v>0.1</v>
      </c>
      <c r="X15" s="35">
        <f>AVERAGE(N15:Q15)</f>
        <v>0.1</v>
      </c>
      <c r="Y15" s="35">
        <v>0.1</v>
      </c>
      <c r="Z15" s="35">
        <v>0.1</v>
      </c>
      <c r="AA15" s="35">
        <v>0.1</v>
      </c>
      <c r="AB15" s="35">
        <v>0.1</v>
      </c>
      <c r="AC15" s="35">
        <v>0.1</v>
      </c>
      <c r="AD15" s="35">
        <v>0.1</v>
      </c>
      <c r="AE15" s="35">
        <v>0.1</v>
      </c>
      <c r="AF15" s="35">
        <v>0.1</v>
      </c>
      <c r="AG15" s="35">
        <v>0.1</v>
      </c>
      <c r="AH15" s="35">
        <v>0.1</v>
      </c>
      <c r="AI15" s="35">
        <v>0.1</v>
      </c>
      <c r="AJ15" s="35">
        <v>0.1</v>
      </c>
      <c r="AK15" s="35">
        <v>0.1</v>
      </c>
      <c r="AL15" s="35">
        <v>0.1</v>
      </c>
      <c r="AM15" s="35">
        <v>0.1</v>
      </c>
      <c r="AN15" s="35">
        <v>0.1</v>
      </c>
    </row>
    <row r="16" spans="1:42" s="27" customFormat="1">
      <c r="A16" s="65" t="s">
        <v>78</v>
      </c>
      <c r="H16" s="30"/>
      <c r="M16" s="31">
        <f>M14*3*M11*(1-M15)</f>
        <v>119436.69055052161</v>
      </c>
      <c r="N16" s="31">
        <f>(M11+N11)*N14*3*(1-N15)</f>
        <v>197173.70488083459</v>
      </c>
      <c r="O16" s="31">
        <f>(N11+O11+M11)*O14*3*(1-O15)</f>
        <v>249890.91347902233</v>
      </c>
      <c r="P16" s="31">
        <f>(O11+P11+N11+M11)*P14*3*(1-P15)</f>
        <v>287596.23863793502</v>
      </c>
      <c r="Q16" s="31">
        <f>(P11+Q11+O11+N11+M11)*Q14*3*(1-Q15)</f>
        <v>316294.43373328261</v>
      </c>
      <c r="V16" s="30"/>
      <c r="W16" s="31">
        <f>SUM(J16:M16)</f>
        <v>119436.69055052161</v>
      </c>
      <c r="X16" s="31">
        <f>SUM(N16:Q16)</f>
        <v>1050955.2907310745</v>
      </c>
      <c r="Y16" s="31">
        <f>Y12*Y14*6*(1-Y15)</f>
        <v>984780.34354301402</v>
      </c>
      <c r="Z16" s="31">
        <f t="shared" ref="Z16:AN16" si="23">Z12*Z14*6*(1-Z15)</f>
        <v>1134377.4556955702</v>
      </c>
      <c r="AA16" s="31">
        <f t="shared" si="23"/>
        <v>970437.88151904615</v>
      </c>
      <c r="AB16" s="31">
        <f t="shared" si="23"/>
        <v>284521.0186052128</v>
      </c>
      <c r="AC16" s="31">
        <f t="shared" si="23"/>
        <v>159320.97622495214</v>
      </c>
      <c r="AD16" s="31">
        <f t="shared" si="23"/>
        <v>160392.58573497128</v>
      </c>
      <c r="AE16" s="31">
        <f t="shared" si="23"/>
        <v>161035.55144098276</v>
      </c>
      <c r="AF16" s="31">
        <f t="shared" si="23"/>
        <v>161421.33086458966</v>
      </c>
      <c r="AG16" s="31">
        <f t="shared" si="23"/>
        <v>161652.79851875379</v>
      </c>
      <c r="AH16" s="31">
        <f t="shared" si="23"/>
        <v>161791.67911125225</v>
      </c>
      <c r="AI16" s="31">
        <f t="shared" si="23"/>
        <v>161875.00746675135</v>
      </c>
      <c r="AJ16" s="31">
        <f t="shared" si="23"/>
        <v>161925.00448005085</v>
      </c>
      <c r="AK16" s="31">
        <f t="shared" si="23"/>
        <v>161955.00268803048</v>
      </c>
      <c r="AL16" s="31">
        <f t="shared" si="23"/>
        <v>161973.00161281831</v>
      </c>
      <c r="AM16" s="31">
        <f t="shared" si="23"/>
        <v>161983.800967691</v>
      </c>
      <c r="AN16" s="31">
        <f t="shared" si="23"/>
        <v>8099.514029030729</v>
      </c>
    </row>
    <row r="17" spans="1:40">
      <c r="A17" s="4" t="s">
        <v>28</v>
      </c>
      <c r="T17" s="1">
        <v>35000</v>
      </c>
    </row>
    <row r="19" spans="1:40" s="27" customFormat="1">
      <c r="A19" s="65" t="s">
        <v>94</v>
      </c>
      <c r="H19" s="30"/>
      <c r="M19" s="31">
        <f>M17+M16</f>
        <v>119436.69055052161</v>
      </c>
      <c r="N19" s="31">
        <f>N17+N16</f>
        <v>197173.70488083459</v>
      </c>
      <c r="O19" s="31">
        <f>O17+O16</f>
        <v>249890.91347902233</v>
      </c>
      <c r="P19" s="31">
        <f>P17+P16</f>
        <v>287596.23863793502</v>
      </c>
      <c r="Q19" s="31">
        <f>Q17+Q16</f>
        <v>316294.43373328261</v>
      </c>
      <c r="S19" s="27">
        <v>0</v>
      </c>
      <c r="T19" s="27">
        <f>T17</f>
        <v>35000</v>
      </c>
      <c r="U19" s="27">
        <v>0</v>
      </c>
      <c r="V19" s="30">
        <v>0</v>
      </c>
      <c r="W19" s="31">
        <f>SUM(J19:M19)</f>
        <v>119436.69055052161</v>
      </c>
      <c r="X19" s="31">
        <f>SUM(N19:Q19)</f>
        <v>1050955.2907310745</v>
      </c>
      <c r="Y19" s="31">
        <f t="shared" ref="Y19:AN19" si="24">Y16+Y17</f>
        <v>984780.34354301402</v>
      </c>
      <c r="Z19" s="31">
        <f t="shared" si="24"/>
        <v>1134377.4556955702</v>
      </c>
      <c r="AA19" s="31">
        <f t="shared" si="24"/>
        <v>970437.88151904615</v>
      </c>
      <c r="AB19" s="31">
        <f t="shared" si="24"/>
        <v>284521.0186052128</v>
      </c>
      <c r="AC19" s="31">
        <f t="shared" si="24"/>
        <v>159320.97622495214</v>
      </c>
      <c r="AD19" s="31">
        <f t="shared" si="24"/>
        <v>160392.58573497128</v>
      </c>
      <c r="AE19" s="31">
        <f t="shared" si="24"/>
        <v>161035.55144098276</v>
      </c>
      <c r="AF19" s="31">
        <f t="shared" si="24"/>
        <v>161421.33086458966</v>
      </c>
      <c r="AG19" s="31">
        <f t="shared" si="24"/>
        <v>161652.79851875379</v>
      </c>
      <c r="AH19" s="31">
        <f t="shared" si="24"/>
        <v>161791.67911125225</v>
      </c>
      <c r="AI19" s="31">
        <f t="shared" si="24"/>
        <v>161875.00746675135</v>
      </c>
      <c r="AJ19" s="31">
        <f t="shared" si="24"/>
        <v>161925.00448005085</v>
      </c>
      <c r="AK19" s="31">
        <f t="shared" si="24"/>
        <v>161955.00268803048</v>
      </c>
      <c r="AL19" s="31">
        <f t="shared" si="24"/>
        <v>161973.00161281831</v>
      </c>
      <c r="AM19" s="31">
        <f t="shared" si="24"/>
        <v>161983.800967691</v>
      </c>
      <c r="AN19" s="31">
        <f t="shared" si="24"/>
        <v>8099.514029030729</v>
      </c>
    </row>
    <row r="20" spans="1:40" s="27" customFormat="1">
      <c r="A20" s="65"/>
      <c r="H20" s="30"/>
      <c r="M20" s="31"/>
      <c r="N20" s="31"/>
      <c r="O20" s="31"/>
      <c r="P20" s="31"/>
      <c r="Q20" s="32">
        <f>Q19/M19-1</f>
        <v>1.6482183345451151</v>
      </c>
      <c r="V20" s="30"/>
      <c r="W20" s="31"/>
      <c r="X20" s="32">
        <f>X19/W19-1</f>
        <v>7.7992666733052296</v>
      </c>
      <c r="Y20" s="32">
        <f t="shared" ref="Y20:AN20" si="25">Y19/X19-1</f>
        <v>-6.2966472286396957E-2</v>
      </c>
      <c r="Z20" s="32">
        <f t="shared" si="25"/>
        <v>0.15190911672174523</v>
      </c>
      <c r="AA20" s="32">
        <f t="shared" si="25"/>
        <v>-0.14451942195554357</v>
      </c>
      <c r="AB20" s="32">
        <f t="shared" si="25"/>
        <v>-0.70681171456348524</v>
      </c>
      <c r="AC20" s="32">
        <f t="shared" si="25"/>
        <v>-0.44003793812499314</v>
      </c>
      <c r="AD20" s="32">
        <f t="shared" si="25"/>
        <v>6.7261043423816336E-3</v>
      </c>
      <c r="AE20" s="32">
        <f t="shared" si="25"/>
        <v>4.0086996731500957E-3</v>
      </c>
      <c r="AF20" s="32">
        <f t="shared" si="25"/>
        <v>2.3956164968224058E-3</v>
      </c>
      <c r="AG20" s="32">
        <f t="shared" si="25"/>
        <v>1.4339347403737879E-3</v>
      </c>
      <c r="AH20" s="32">
        <f t="shared" si="25"/>
        <v>8.591289094346255E-4</v>
      </c>
      <c r="AI20" s="32">
        <f t="shared" si="25"/>
        <v>5.1503486431969669E-4</v>
      </c>
      <c r="AJ20" s="32">
        <f t="shared" si="25"/>
        <v>3.088618439739399E-4</v>
      </c>
      <c r="AK20" s="32">
        <f t="shared" si="25"/>
        <v>1.8525988667383864E-4</v>
      </c>
      <c r="AL20" s="32">
        <f t="shared" si="25"/>
        <v>1.1113534308360151E-4</v>
      </c>
      <c r="AM20" s="32">
        <f t="shared" si="25"/>
        <v>6.6673796034866228E-5</v>
      </c>
      <c r="AN20" s="32">
        <f t="shared" si="25"/>
        <v>-0.94999799991947187</v>
      </c>
    </row>
    <row r="22" spans="1:40">
      <c r="A22" s="4" t="s">
        <v>66</v>
      </c>
      <c r="M22" s="29">
        <f>M16*0.15</f>
        <v>17915.50358257824</v>
      </c>
      <c r="N22" s="29">
        <f>N16*0.15</f>
        <v>29576.055732125187</v>
      </c>
      <c r="O22" s="29">
        <f>O16*0.15</f>
        <v>37483.637021853348</v>
      </c>
      <c r="P22" s="29">
        <f>P16*0.15</f>
        <v>43139.435795690253</v>
      </c>
      <c r="Q22" s="29">
        <f>Q16*0.15</f>
        <v>47444.165059992389</v>
      </c>
      <c r="T22" s="1">
        <v>0</v>
      </c>
      <c r="U22" s="1">
        <v>0</v>
      </c>
      <c r="V22" s="26">
        <v>0</v>
      </c>
      <c r="W22" s="29">
        <f>SUM(J22:M22)</f>
        <v>17915.50358257824</v>
      </c>
      <c r="X22" s="29">
        <f>SUM(N22:Q22)</f>
        <v>157643.29360966117</v>
      </c>
      <c r="Y22" s="29">
        <f>Y19*0.15</f>
        <v>147717.0515314521</v>
      </c>
      <c r="Z22" s="29">
        <f t="shared" ref="Z22:AN22" si="26">Z19*0.15</f>
        <v>170156.61835433551</v>
      </c>
      <c r="AA22" s="29">
        <f t="shared" si="26"/>
        <v>145565.68222785692</v>
      </c>
      <c r="AB22" s="29">
        <f t="shared" si="26"/>
        <v>42678.152790781918</v>
      </c>
      <c r="AC22" s="29">
        <f t="shared" si="26"/>
        <v>23898.146433742822</v>
      </c>
      <c r="AD22" s="29">
        <f t="shared" si="26"/>
        <v>24058.88786024569</v>
      </c>
      <c r="AE22" s="29">
        <f t="shared" si="26"/>
        <v>24155.332716147412</v>
      </c>
      <c r="AF22" s="29">
        <f t="shared" si="26"/>
        <v>24213.19962968845</v>
      </c>
      <c r="AG22" s="29">
        <f t="shared" si="26"/>
        <v>24247.919777813066</v>
      </c>
      <c r="AH22" s="29">
        <f t="shared" si="26"/>
        <v>24268.751866687835</v>
      </c>
      <c r="AI22" s="29">
        <f t="shared" si="26"/>
        <v>24281.251120012701</v>
      </c>
      <c r="AJ22" s="29">
        <f t="shared" si="26"/>
        <v>24288.750672007627</v>
      </c>
      <c r="AK22" s="29">
        <f t="shared" si="26"/>
        <v>24293.250403204573</v>
      </c>
      <c r="AL22" s="29">
        <f t="shared" si="26"/>
        <v>24295.950241922746</v>
      </c>
      <c r="AM22" s="29">
        <f t="shared" si="26"/>
        <v>24297.570145153648</v>
      </c>
      <c r="AN22" s="29">
        <f t="shared" si="26"/>
        <v>1214.9271043546094</v>
      </c>
    </row>
    <row r="23" spans="1:40">
      <c r="A23" s="4" t="s">
        <v>93</v>
      </c>
      <c r="M23" s="33">
        <f>M16-M22</f>
        <v>101521.18696794337</v>
      </c>
      <c r="N23" s="33">
        <f>N16-N22</f>
        <v>167597.6491487094</v>
      </c>
      <c r="O23" s="33">
        <f>O16-O22</f>
        <v>212407.27645716898</v>
      </c>
      <c r="P23" s="33">
        <f>P16-P22</f>
        <v>244456.80284224477</v>
      </c>
      <c r="Q23" s="33">
        <f>Q16-Q22</f>
        <v>268850.26867329021</v>
      </c>
      <c r="T23" s="1">
        <f>T19-T22</f>
        <v>35000</v>
      </c>
      <c r="U23" s="1">
        <f t="shared" ref="U23:X23" si="27">U19-U22</f>
        <v>0</v>
      </c>
      <c r="V23" s="26">
        <f t="shared" si="27"/>
        <v>0</v>
      </c>
      <c r="W23" s="29">
        <f t="shared" si="27"/>
        <v>101521.18696794337</v>
      </c>
      <c r="X23" s="29">
        <f t="shared" si="27"/>
        <v>893311.99712141335</v>
      </c>
      <c r="Y23" s="29">
        <f>Y19-Y22</f>
        <v>837063.29201156192</v>
      </c>
      <c r="Z23" s="29">
        <f t="shared" ref="Z23:AN23" si="28">Z19-Z22</f>
        <v>964220.83734123467</v>
      </c>
      <c r="AA23" s="29">
        <f t="shared" si="28"/>
        <v>824872.1992911892</v>
      </c>
      <c r="AB23" s="29">
        <f t="shared" si="28"/>
        <v>241842.86581443087</v>
      </c>
      <c r="AC23" s="29">
        <f t="shared" si="28"/>
        <v>135422.82979120931</v>
      </c>
      <c r="AD23" s="29">
        <f t="shared" si="28"/>
        <v>136333.69787472559</v>
      </c>
      <c r="AE23" s="29">
        <f t="shared" si="28"/>
        <v>136880.21872483534</v>
      </c>
      <c r="AF23" s="29">
        <f t="shared" si="28"/>
        <v>137208.1312349012</v>
      </c>
      <c r="AG23" s="29">
        <f t="shared" si="28"/>
        <v>137404.87874094071</v>
      </c>
      <c r="AH23" s="29">
        <f t="shared" si="28"/>
        <v>137522.9272445644</v>
      </c>
      <c r="AI23" s="29">
        <f t="shared" si="28"/>
        <v>137593.75634673866</v>
      </c>
      <c r="AJ23" s="29">
        <f t="shared" si="28"/>
        <v>137636.25380804323</v>
      </c>
      <c r="AK23" s="29">
        <f t="shared" si="28"/>
        <v>137661.7522848259</v>
      </c>
      <c r="AL23" s="29">
        <f t="shared" si="28"/>
        <v>137677.05137089556</v>
      </c>
      <c r="AM23" s="29">
        <f t="shared" si="28"/>
        <v>137686.23082253736</v>
      </c>
      <c r="AN23" s="29">
        <f t="shared" si="28"/>
        <v>6884.5869246761195</v>
      </c>
    </row>
    <row r="24" spans="1:40">
      <c r="A24" s="4" t="s">
        <v>92</v>
      </c>
      <c r="M24" s="34">
        <f>M22/M16</f>
        <v>0.15</v>
      </c>
      <c r="N24" s="34">
        <f>N22/N16</f>
        <v>0.15</v>
      </c>
      <c r="O24" s="34">
        <f>O22/O16</f>
        <v>0.15</v>
      </c>
      <c r="P24" s="34">
        <f>P22/P16</f>
        <v>0.15</v>
      </c>
      <c r="Q24" s="34">
        <f>Q22/Q16</f>
        <v>0.15</v>
      </c>
      <c r="S24" s="34"/>
      <c r="T24" s="35">
        <v>1</v>
      </c>
      <c r="W24" s="34">
        <v>0.89</v>
      </c>
      <c r="X24" s="34">
        <v>0.89</v>
      </c>
      <c r="Y24" s="34">
        <v>0.89</v>
      </c>
      <c r="Z24" s="34">
        <v>0.89</v>
      </c>
      <c r="AA24" s="34">
        <v>0.89</v>
      </c>
      <c r="AB24" s="34">
        <v>0.89</v>
      </c>
      <c r="AC24" s="34">
        <v>0.89</v>
      </c>
      <c r="AD24" s="34">
        <v>0.89</v>
      </c>
      <c r="AE24" s="34">
        <v>0.89</v>
      </c>
      <c r="AF24" s="34">
        <v>0.89</v>
      </c>
      <c r="AG24" s="34">
        <v>0.89</v>
      </c>
      <c r="AH24" s="34">
        <v>0.89</v>
      </c>
      <c r="AI24" s="34">
        <v>0.89</v>
      </c>
      <c r="AJ24" s="34">
        <v>0.89</v>
      </c>
      <c r="AK24" s="34">
        <v>0.89</v>
      </c>
      <c r="AL24" s="34">
        <v>0.89</v>
      </c>
      <c r="AM24" s="34">
        <v>0.89</v>
      </c>
      <c r="AN24" s="34">
        <v>0.8</v>
      </c>
    </row>
    <row r="25" spans="1:40">
      <c r="M25" s="34"/>
      <c r="N25" s="34"/>
      <c r="O25" s="34"/>
      <c r="P25" s="34"/>
      <c r="Q25" s="34"/>
      <c r="S25" s="34"/>
      <c r="T25" s="35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>
      <c r="A26" s="4" t="s">
        <v>29</v>
      </c>
      <c r="B26" s="1">
        <v>17375</v>
      </c>
      <c r="C26" s="1">
        <v>32091</v>
      </c>
      <c r="D26" s="1">
        <v>22866</v>
      </c>
      <c r="E26" s="1">
        <f>U26-D26-C26-B26</f>
        <v>29344</v>
      </c>
      <c r="F26" s="1">
        <v>34103</v>
      </c>
      <c r="G26" s="1">
        <v>38024</v>
      </c>
      <c r="H26" s="26">
        <f>G26</f>
        <v>38024</v>
      </c>
      <c r="I26" s="1">
        <f t="shared" ref="I26" si="29">H26</f>
        <v>38024</v>
      </c>
      <c r="J26" s="1">
        <f>I26-500</f>
        <v>37524</v>
      </c>
      <c r="K26" s="1">
        <f t="shared" ref="K26:Q26" si="30">J26-500</f>
        <v>37024</v>
      </c>
      <c r="L26" s="1">
        <f t="shared" si="30"/>
        <v>36524</v>
      </c>
      <c r="M26" s="1">
        <f t="shared" si="30"/>
        <v>36024</v>
      </c>
      <c r="N26" s="1">
        <f t="shared" si="30"/>
        <v>35524</v>
      </c>
      <c r="O26" s="1">
        <f t="shared" si="30"/>
        <v>35024</v>
      </c>
      <c r="P26" s="1">
        <f t="shared" si="30"/>
        <v>34524</v>
      </c>
      <c r="Q26" s="1">
        <f t="shared" si="30"/>
        <v>34024</v>
      </c>
      <c r="S26" s="1">
        <v>42545</v>
      </c>
      <c r="T26" s="1">
        <v>51859</v>
      </c>
      <c r="U26" s="1">
        <v>101676</v>
      </c>
      <c r="V26" s="26">
        <f>SUM(F26:I26)</f>
        <v>148175</v>
      </c>
      <c r="W26" s="29">
        <f>SUM(J26:M26)</f>
        <v>147096</v>
      </c>
      <c r="X26" s="29">
        <f>SUM(N26:Q26)</f>
        <v>139096</v>
      </c>
      <c r="Y26" s="29">
        <f>X26*0.9</f>
        <v>125186.40000000001</v>
      </c>
      <c r="Z26" s="29">
        <f t="shared" ref="Z26:AA26" si="31">Y26*0.9</f>
        <v>112667.76000000001</v>
      </c>
      <c r="AA26" s="29">
        <f t="shared" si="31"/>
        <v>101400.98400000001</v>
      </c>
      <c r="AB26" s="29">
        <f t="shared" ref="AB26:AN26" si="32">AA26*0.95</f>
        <v>96330.934800000003</v>
      </c>
      <c r="AC26" s="29">
        <f t="shared" si="32"/>
        <v>91514.388059999997</v>
      </c>
      <c r="AD26" s="29">
        <f t="shared" si="32"/>
        <v>86938.668656999987</v>
      </c>
      <c r="AE26" s="29">
        <f t="shared" si="32"/>
        <v>82591.73522414999</v>
      </c>
      <c r="AF26" s="29">
        <f t="shared" si="32"/>
        <v>78462.148462942481</v>
      </c>
      <c r="AG26" s="29">
        <f t="shared" si="32"/>
        <v>74539.041039795353</v>
      </c>
      <c r="AH26" s="29">
        <f t="shared" si="32"/>
        <v>70812.088987805575</v>
      </c>
      <c r="AI26" s="29">
        <f t="shared" si="32"/>
        <v>67271.484538415287</v>
      </c>
      <c r="AJ26" s="29">
        <f t="shared" si="32"/>
        <v>63907.910311494517</v>
      </c>
      <c r="AK26" s="29">
        <f t="shared" si="32"/>
        <v>60712.514795919786</v>
      </c>
      <c r="AL26" s="29">
        <f t="shared" si="32"/>
        <v>57676.889056123793</v>
      </c>
      <c r="AM26" s="29">
        <f t="shared" si="32"/>
        <v>54793.044603317598</v>
      </c>
      <c r="AN26" s="29">
        <f t="shared" si="32"/>
        <v>52053.392373151713</v>
      </c>
    </row>
    <row r="27" spans="1:40">
      <c r="A27" s="4" t="s">
        <v>30</v>
      </c>
      <c r="B27" s="1">
        <v>12381</v>
      </c>
      <c r="C27" s="1">
        <v>14930</v>
      </c>
      <c r="D27" s="1">
        <v>18029</v>
      </c>
      <c r="E27" s="1">
        <f>U27-D27-C27-B27</f>
        <v>26452</v>
      </c>
      <c r="F27" s="1">
        <v>27366</v>
      </c>
      <c r="G27" s="1">
        <v>30987</v>
      </c>
      <c r="H27" s="26">
        <f>G27</f>
        <v>30987</v>
      </c>
      <c r="I27" s="1">
        <f t="shared" ref="I27:Q27" si="33">H27</f>
        <v>30987</v>
      </c>
      <c r="J27" s="1">
        <f t="shared" si="33"/>
        <v>30987</v>
      </c>
      <c r="K27" s="1">
        <f t="shared" si="33"/>
        <v>30987</v>
      </c>
      <c r="L27" s="1">
        <f t="shared" si="33"/>
        <v>30987</v>
      </c>
      <c r="M27" s="1">
        <f t="shared" si="33"/>
        <v>30987</v>
      </c>
      <c r="N27" s="1">
        <f t="shared" si="33"/>
        <v>30987</v>
      </c>
      <c r="O27" s="1">
        <f t="shared" si="33"/>
        <v>30987</v>
      </c>
      <c r="P27" s="1">
        <f t="shared" si="33"/>
        <v>30987</v>
      </c>
      <c r="Q27" s="1">
        <f t="shared" si="33"/>
        <v>30987</v>
      </c>
      <c r="S27" s="1">
        <v>16694</v>
      </c>
      <c r="T27" s="1">
        <v>29465</v>
      </c>
      <c r="U27" s="1">
        <v>71792</v>
      </c>
      <c r="V27" s="26">
        <f>SUM(F27:I27)</f>
        <v>120327</v>
      </c>
      <c r="W27" s="29">
        <f>SUM(J27:M27)</f>
        <v>123948</v>
      </c>
      <c r="X27" s="29">
        <f>SUM(N27:Q27)</f>
        <v>123948</v>
      </c>
      <c r="Y27" s="29">
        <f>X27*0.9</f>
        <v>111553.2</v>
      </c>
      <c r="Z27" s="29">
        <f t="shared" ref="Z27:AN27" si="34">Y27*0.9</f>
        <v>100397.88</v>
      </c>
      <c r="AA27" s="29">
        <f t="shared" si="34"/>
        <v>90358.092000000004</v>
      </c>
      <c r="AB27" s="29">
        <f t="shared" si="34"/>
        <v>81322.282800000001</v>
      </c>
      <c r="AC27" s="29">
        <f t="shared" si="34"/>
        <v>73190.054520000005</v>
      </c>
      <c r="AD27" s="29">
        <f t="shared" si="34"/>
        <v>65871.049068000008</v>
      </c>
      <c r="AE27" s="29">
        <f t="shared" si="34"/>
        <v>59283.944161200008</v>
      </c>
      <c r="AF27" s="29">
        <f t="shared" si="34"/>
        <v>53355.54974508001</v>
      </c>
      <c r="AG27" s="29">
        <f t="shared" si="34"/>
        <v>48019.994770572011</v>
      </c>
      <c r="AH27" s="29">
        <f t="shared" si="34"/>
        <v>43217.99529351481</v>
      </c>
      <c r="AI27" s="29">
        <f t="shared" si="34"/>
        <v>38896.195764163327</v>
      </c>
      <c r="AJ27" s="29">
        <f t="shared" si="34"/>
        <v>35006.576187746992</v>
      </c>
      <c r="AK27" s="29">
        <f t="shared" si="34"/>
        <v>31505.918568972294</v>
      </c>
      <c r="AL27" s="29">
        <f t="shared" si="34"/>
        <v>28355.326712075064</v>
      </c>
      <c r="AM27" s="29">
        <f t="shared" si="34"/>
        <v>25519.794040867557</v>
      </c>
      <c r="AN27" s="29">
        <f t="shared" si="34"/>
        <v>22967.8146367808</v>
      </c>
    </row>
    <row r="28" spans="1:40" s="29" customFormat="1">
      <c r="A28" s="78" t="s">
        <v>65</v>
      </c>
      <c r="B28" s="29">
        <f>B26+B27</f>
        <v>29756</v>
      </c>
      <c r="C28" s="29">
        <f t="shared" ref="C28:G28" si="35">C26+C27</f>
        <v>47021</v>
      </c>
      <c r="D28" s="29">
        <f t="shared" si="35"/>
        <v>40895</v>
      </c>
      <c r="E28" s="29">
        <f t="shared" si="35"/>
        <v>55796</v>
      </c>
      <c r="F28" s="29">
        <f t="shared" si="35"/>
        <v>61469</v>
      </c>
      <c r="G28" s="29">
        <f t="shared" si="35"/>
        <v>69011</v>
      </c>
      <c r="H28" s="28">
        <f t="shared" ref="H28" si="36">H26+H27</f>
        <v>69011</v>
      </c>
      <c r="I28" s="29">
        <f t="shared" ref="I28" si="37">I26+I27</f>
        <v>69011</v>
      </c>
      <c r="J28" s="29">
        <f t="shared" ref="J28" si="38">J26+J27</f>
        <v>68511</v>
      </c>
      <c r="K28" s="29">
        <f t="shared" ref="K28" si="39">K26+K27</f>
        <v>68011</v>
      </c>
      <c r="L28" s="29">
        <f t="shared" ref="L28" si="40">L26+L27</f>
        <v>67511</v>
      </c>
      <c r="M28" s="29">
        <f t="shared" ref="M28" si="41">M26+M27</f>
        <v>67011</v>
      </c>
      <c r="N28" s="29">
        <f t="shared" ref="N28" si="42">N26+N27</f>
        <v>66511</v>
      </c>
      <c r="O28" s="29">
        <f t="shared" ref="O28" si="43">O26+O27</f>
        <v>66011</v>
      </c>
      <c r="P28" s="29">
        <f t="shared" ref="P28" si="44">P26+P27</f>
        <v>65511</v>
      </c>
      <c r="Q28" s="29">
        <f t="shared" ref="Q28:S28" si="45">Q26+Q27</f>
        <v>65011</v>
      </c>
      <c r="S28" s="29">
        <f t="shared" si="45"/>
        <v>59239</v>
      </c>
      <c r="T28" s="29">
        <f t="shared" ref="T28" si="46">T26+T27</f>
        <v>81324</v>
      </c>
      <c r="U28" s="29">
        <f t="shared" ref="U28:V28" si="47">U26+U27</f>
        <v>173468</v>
      </c>
      <c r="V28" s="28">
        <f t="shared" si="47"/>
        <v>268502</v>
      </c>
      <c r="W28" s="29">
        <f t="shared" ref="W28" si="48">W26+W27</f>
        <v>271044</v>
      </c>
      <c r="X28" s="29">
        <f t="shared" ref="X28" si="49">X26+X27</f>
        <v>263044</v>
      </c>
      <c r="Y28" s="29">
        <f t="shared" ref="Y28" si="50">Y26+Y27</f>
        <v>236739.6</v>
      </c>
      <c r="Z28" s="29">
        <f t="shared" ref="Z28" si="51">Z26+Z27</f>
        <v>213065.64</v>
      </c>
      <c r="AA28" s="29">
        <f t="shared" ref="AA28" si="52">AA26+AA27</f>
        <v>191759.076</v>
      </c>
      <c r="AB28" s="29">
        <f t="shared" ref="AB28" si="53">AB26+AB27</f>
        <v>177653.2176</v>
      </c>
      <c r="AC28" s="29">
        <f t="shared" ref="AC28" si="54">AC26+AC27</f>
        <v>164704.44258</v>
      </c>
      <c r="AD28" s="29">
        <f t="shared" ref="AD28" si="55">AD26+AD27</f>
        <v>152809.71772499999</v>
      </c>
      <c r="AE28" s="29">
        <f t="shared" ref="AE28" si="56">AE26+AE27</f>
        <v>141875.67938535</v>
      </c>
      <c r="AF28" s="29">
        <f t="shared" ref="AF28" si="57">AF26+AF27</f>
        <v>131817.69820802248</v>
      </c>
      <c r="AG28" s="29">
        <f t="shared" ref="AG28" si="58">AG26+AG27</f>
        <v>122559.03581036736</v>
      </c>
      <c r="AH28" s="29">
        <f t="shared" ref="AH28" si="59">AH26+AH27</f>
        <v>114030.08428132039</v>
      </c>
      <c r="AI28" s="29">
        <f t="shared" ref="AI28" si="60">AI26+AI27</f>
        <v>106167.68030257861</v>
      </c>
      <c r="AJ28" s="29">
        <f t="shared" ref="AJ28" si="61">AJ26+AJ27</f>
        <v>98914.48649924151</v>
      </c>
      <c r="AK28" s="29">
        <f t="shared" ref="AK28" si="62">AK26+AK27</f>
        <v>92218.433364892087</v>
      </c>
      <c r="AL28" s="29">
        <f t="shared" ref="AL28" si="63">AL26+AL27</f>
        <v>86032.215768198861</v>
      </c>
      <c r="AM28" s="29">
        <f t="shared" ref="AM28" si="64">AM26+AM27</f>
        <v>80312.838644185162</v>
      </c>
      <c r="AN28" s="29">
        <f t="shared" ref="AN28" si="65">AN26+AN27</f>
        <v>75021.207009932521</v>
      </c>
    </row>
    <row r="29" spans="1:40">
      <c r="A29" s="4" t="s">
        <v>38</v>
      </c>
      <c r="B29" s="29">
        <f>B19-B28</f>
        <v>-29756</v>
      </c>
      <c r="C29" s="29">
        <f t="shared" ref="C29:Q29" si="66">C19-C28</f>
        <v>-47021</v>
      </c>
      <c r="D29" s="29">
        <f t="shared" si="66"/>
        <v>-40895</v>
      </c>
      <c r="E29" s="29">
        <f t="shared" si="66"/>
        <v>-55796</v>
      </c>
      <c r="F29" s="29">
        <f t="shared" si="66"/>
        <v>-61469</v>
      </c>
      <c r="G29" s="29">
        <f t="shared" si="66"/>
        <v>-69011</v>
      </c>
      <c r="H29" s="28">
        <f t="shared" si="66"/>
        <v>-69011</v>
      </c>
      <c r="I29" s="29">
        <f t="shared" si="66"/>
        <v>-69011</v>
      </c>
      <c r="J29" s="29">
        <f t="shared" si="66"/>
        <v>-68511</v>
      </c>
      <c r="K29" s="29">
        <f t="shared" si="66"/>
        <v>-68011</v>
      </c>
      <c r="L29" s="29">
        <f t="shared" si="66"/>
        <v>-67511</v>
      </c>
      <c r="M29" s="29">
        <f t="shared" si="66"/>
        <v>52425.690550521613</v>
      </c>
      <c r="N29" s="29">
        <f t="shared" si="66"/>
        <v>130662.70488083459</v>
      </c>
      <c r="O29" s="29">
        <f t="shared" si="66"/>
        <v>183879.91347902233</v>
      </c>
      <c r="P29" s="29">
        <f t="shared" si="66"/>
        <v>222085.23863793502</v>
      </c>
      <c r="Q29" s="29">
        <f t="shared" si="66"/>
        <v>251283.43373328261</v>
      </c>
      <c r="S29" s="29">
        <f t="shared" ref="S29:T29" si="67">S23-S28</f>
        <v>-59239</v>
      </c>
      <c r="T29" s="29">
        <f t="shared" si="67"/>
        <v>-46324</v>
      </c>
      <c r="U29" s="29">
        <f>U23-U28</f>
        <v>-173468</v>
      </c>
      <c r="V29" s="28">
        <f>V23-V28</f>
        <v>-268502</v>
      </c>
      <c r="W29" s="29">
        <f t="shared" ref="W29:X29" si="68">W23-W28</f>
        <v>-169522.81303205661</v>
      </c>
      <c r="X29" s="29">
        <f t="shared" si="68"/>
        <v>630267.99712141335</v>
      </c>
      <c r="Y29" s="29">
        <f t="shared" ref="Y29" si="69">Y23-Y28</f>
        <v>600323.69201156194</v>
      </c>
      <c r="Z29" s="29">
        <f t="shared" ref="Z29" si="70">Z23-Z28</f>
        <v>751155.19734123466</v>
      </c>
      <c r="AA29" s="29">
        <f t="shared" ref="AA29" si="71">AA23-AA28</f>
        <v>633113.1232911892</v>
      </c>
      <c r="AB29" s="29">
        <f t="shared" ref="AB29" si="72">AB23-AB28</f>
        <v>64189.648214430868</v>
      </c>
      <c r="AC29" s="29">
        <f t="shared" ref="AC29" si="73">AC23-AC28</f>
        <v>-29281.612788790691</v>
      </c>
      <c r="AD29" s="29">
        <f t="shared" ref="AD29" si="74">AD23-AD28</f>
        <v>-16476.019850274402</v>
      </c>
      <c r="AE29" s="29">
        <f t="shared" ref="AE29" si="75">AE23-AE28</f>
        <v>-4995.4606605146546</v>
      </c>
      <c r="AF29" s="29">
        <f t="shared" ref="AF29" si="76">AF23-AF28</f>
        <v>5390.4330268787162</v>
      </c>
      <c r="AG29" s="29">
        <f t="shared" ref="AG29" si="77">AG23-AG28</f>
        <v>14845.842930573344</v>
      </c>
      <c r="AH29" s="29">
        <f t="shared" ref="AH29" si="78">AH23-AH28</f>
        <v>23492.842963244009</v>
      </c>
      <c r="AI29" s="29">
        <f t="shared" ref="AI29" si="79">AI23-AI28</f>
        <v>31426.076044160058</v>
      </c>
      <c r="AJ29" s="29">
        <f t="shared" ref="AJ29" si="80">AJ23-AJ28</f>
        <v>38721.767308801718</v>
      </c>
      <c r="AK29" s="29">
        <f t="shared" ref="AK29" si="81">AK23-AK28</f>
        <v>45443.318919933809</v>
      </c>
      <c r="AL29" s="29">
        <f t="shared" ref="AL29" si="82">AL23-AL28</f>
        <v>51644.835602696694</v>
      </c>
      <c r="AM29" s="29">
        <f t="shared" ref="AM29" si="83">AM23-AM28</f>
        <v>57373.392178352195</v>
      </c>
      <c r="AN29" s="29">
        <f t="shared" ref="AN29" si="84">AN23-AN28</f>
        <v>-68136.620085256407</v>
      </c>
    </row>
    <row r="30" spans="1:40">
      <c r="B30" s="29"/>
      <c r="C30" s="29"/>
      <c r="D30" s="29"/>
      <c r="E30" s="29"/>
      <c r="F30" s="29"/>
      <c r="G30" s="29"/>
      <c r="H30" s="28"/>
      <c r="I30" s="29"/>
      <c r="J30" s="29"/>
      <c r="K30" s="29"/>
      <c r="L30" s="29"/>
      <c r="M30" s="29"/>
      <c r="N30" s="29"/>
      <c r="O30" s="29"/>
      <c r="P30" s="29"/>
      <c r="Q30" s="29"/>
      <c r="S30" s="29"/>
      <c r="T30" s="29"/>
      <c r="U30" s="29"/>
      <c r="V30" s="28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>
      <c r="A31" s="4" t="s">
        <v>39</v>
      </c>
      <c r="B31" s="1">
        <v>227</v>
      </c>
      <c r="C31" s="1">
        <v>211</v>
      </c>
      <c r="D31" s="1">
        <v>179</v>
      </c>
      <c r="E31" s="1">
        <f>U31-D31-C31-B31</f>
        <v>81</v>
      </c>
      <c r="F31" s="1">
        <v>198</v>
      </c>
      <c r="G31" s="1">
        <v>372</v>
      </c>
      <c r="H31" s="28">
        <f>D31*0.9</f>
        <v>161.1</v>
      </c>
      <c r="I31" s="29">
        <f t="shared" ref="I31:Q31" si="85">E31*0.9</f>
        <v>72.900000000000006</v>
      </c>
      <c r="J31" s="29">
        <f t="shared" si="85"/>
        <v>178.20000000000002</v>
      </c>
      <c r="K31" s="29">
        <f t="shared" si="85"/>
        <v>334.8</v>
      </c>
      <c r="L31" s="29">
        <f t="shared" si="85"/>
        <v>144.99</v>
      </c>
      <c r="M31" s="29">
        <f t="shared" si="85"/>
        <v>65.610000000000014</v>
      </c>
      <c r="N31" s="29">
        <f t="shared" si="85"/>
        <v>160.38000000000002</v>
      </c>
      <c r="O31" s="29">
        <f t="shared" si="85"/>
        <v>301.32</v>
      </c>
      <c r="P31" s="29">
        <f t="shared" si="85"/>
        <v>130.49100000000001</v>
      </c>
      <c r="Q31" s="29">
        <f t="shared" si="85"/>
        <v>59.049000000000014</v>
      </c>
      <c r="S31" s="1">
        <v>0</v>
      </c>
      <c r="T31" s="1">
        <v>1330</v>
      </c>
      <c r="U31" s="1">
        <v>698</v>
      </c>
      <c r="V31" s="26">
        <f>SUM(F31:I31)</f>
        <v>804</v>
      </c>
      <c r="W31" s="29">
        <f>SUM(J31:M31)</f>
        <v>723.6</v>
      </c>
      <c r="X31" s="29">
        <f>SUM(N31:Q31)</f>
        <v>651.24</v>
      </c>
      <c r="Y31" s="29">
        <f>AVERAGE(U31:X31)</f>
        <v>719.21</v>
      </c>
      <c r="Z31" s="29">
        <f t="shared" ref="Z31:AN33" si="86">AVERAGE(V31:Y31)</f>
        <v>724.51250000000005</v>
      </c>
      <c r="AA31" s="29">
        <f t="shared" si="86"/>
        <v>704.640625</v>
      </c>
      <c r="AB31" s="29">
        <f t="shared" si="86"/>
        <v>699.90078125000002</v>
      </c>
      <c r="AC31" s="29">
        <f t="shared" si="86"/>
        <v>712.06597656249994</v>
      </c>
      <c r="AD31" s="29">
        <f t="shared" si="86"/>
        <v>710.27997070312506</v>
      </c>
      <c r="AE31" s="29">
        <f t="shared" si="86"/>
        <v>706.72183837890623</v>
      </c>
      <c r="AF31" s="29">
        <f t="shared" si="86"/>
        <v>707.24214172363281</v>
      </c>
      <c r="AG31" s="29">
        <f t="shared" si="86"/>
        <v>709.07748184204104</v>
      </c>
      <c r="AH31" s="29">
        <f t="shared" si="86"/>
        <v>708.33035816192626</v>
      </c>
      <c r="AI31" s="29">
        <f t="shared" si="86"/>
        <v>707.84295502662656</v>
      </c>
      <c r="AJ31" s="29">
        <f t="shared" si="86"/>
        <v>708.12323418855658</v>
      </c>
      <c r="AK31" s="29">
        <f t="shared" si="86"/>
        <v>708.34350730478764</v>
      </c>
      <c r="AL31" s="29">
        <f t="shared" si="86"/>
        <v>708.1600136704742</v>
      </c>
      <c r="AM31" s="29">
        <f t="shared" si="86"/>
        <v>708.11742754761121</v>
      </c>
      <c r="AN31" s="29">
        <f t="shared" si="86"/>
        <v>708.18604567785746</v>
      </c>
    </row>
    <row r="32" spans="1:40">
      <c r="A32" s="4" t="s">
        <v>42</v>
      </c>
      <c r="B32" s="1">
        <v>3</v>
      </c>
      <c r="C32" s="1">
        <v>-41</v>
      </c>
      <c r="D32" s="1">
        <v>-58</v>
      </c>
      <c r="E32" s="1">
        <f>U32-D32-C32-B32</f>
        <v>-56</v>
      </c>
      <c r="F32" s="1">
        <v>-193</v>
      </c>
      <c r="G32" s="1">
        <v>-24</v>
      </c>
      <c r="H32" s="28">
        <f>AVERAGE(D32:G32)</f>
        <v>-82.75</v>
      </c>
      <c r="I32" s="29">
        <f t="shared" ref="I32:Q32" si="87">AVERAGE(E32:H32)</f>
        <v>-88.9375</v>
      </c>
      <c r="J32" s="29">
        <f t="shared" si="87"/>
        <v>-97.171875</v>
      </c>
      <c r="K32" s="29">
        <f t="shared" si="87"/>
        <v>-73.21484375</v>
      </c>
      <c r="L32" s="29">
        <f t="shared" si="87"/>
        <v>-85.5185546875</v>
      </c>
      <c r="M32" s="29">
        <f t="shared" si="87"/>
        <v>-86.210693359375</v>
      </c>
      <c r="N32" s="29">
        <f t="shared" si="87"/>
        <v>-85.52899169921875</v>
      </c>
      <c r="O32" s="29">
        <f t="shared" si="87"/>
        <v>-82.618270874023438</v>
      </c>
      <c r="P32" s="29">
        <f t="shared" si="87"/>
        <v>-84.969127655029297</v>
      </c>
      <c r="Q32" s="29">
        <f t="shared" si="87"/>
        <v>-84.831770896911621</v>
      </c>
      <c r="S32" s="1">
        <v>3547</v>
      </c>
      <c r="T32" s="1">
        <v>25</v>
      </c>
      <c r="U32" s="1">
        <v>-152</v>
      </c>
      <c r="V32" s="28">
        <f>SUM(F32:I32)</f>
        <v>-388.6875</v>
      </c>
      <c r="W32" s="29">
        <f>SUM(J32:M32)</f>
        <v>-342.115966796875</v>
      </c>
      <c r="X32" s="29">
        <f>SUM(N32:Q32)</f>
        <v>-337.94816112518311</v>
      </c>
      <c r="Y32" s="29">
        <f t="shared" ref="Y32:Y33" si="88">AVERAGE(U32:X32)</f>
        <v>-305.18790698051453</v>
      </c>
      <c r="Z32" s="29">
        <f t="shared" si="86"/>
        <v>-343.48488372564316</v>
      </c>
      <c r="AA32" s="29">
        <f t="shared" si="86"/>
        <v>-332.18422965705395</v>
      </c>
      <c r="AB32" s="29">
        <f t="shared" si="86"/>
        <v>-329.70129537209868</v>
      </c>
      <c r="AC32" s="29">
        <f t="shared" si="86"/>
        <v>-327.63957893382758</v>
      </c>
      <c r="AD32" s="29">
        <f t="shared" si="86"/>
        <v>-333.25249692215584</v>
      </c>
      <c r="AE32" s="29">
        <f t="shared" si="86"/>
        <v>-330.69440022128401</v>
      </c>
      <c r="AF32" s="29">
        <f t="shared" ref="AF32:AF33" si="89">AVERAGE(AB32:AE32)</f>
        <v>-330.32194286234153</v>
      </c>
      <c r="AG32" s="29">
        <f t="shared" ref="AG32:AG33" si="90">AVERAGE(AC32:AF32)</f>
        <v>-330.47710473490224</v>
      </c>
      <c r="AH32" s="29">
        <f t="shared" ref="AH32:AH33" si="91">AVERAGE(AD32:AG32)</f>
        <v>-331.18648618517091</v>
      </c>
      <c r="AI32" s="29">
        <f t="shared" ref="AI32:AI33" si="92">AVERAGE(AE32:AH32)</f>
        <v>-330.66998350092467</v>
      </c>
      <c r="AJ32" s="29">
        <f t="shared" ref="AJ32:AJ33" si="93">AVERAGE(AF32:AI32)</f>
        <v>-330.66387932083484</v>
      </c>
      <c r="AK32" s="29">
        <f t="shared" ref="AK32:AK33" si="94">AVERAGE(AG32:AJ32)</f>
        <v>-330.74936343545818</v>
      </c>
      <c r="AL32" s="29">
        <f t="shared" ref="AL32:AL33" si="95">AVERAGE(AH32:AK32)</f>
        <v>-330.81742811059718</v>
      </c>
      <c r="AM32" s="29">
        <f t="shared" ref="AM32:AM33" si="96">AVERAGE(AI32:AL32)</f>
        <v>-330.72516359195373</v>
      </c>
      <c r="AN32" s="29">
        <f t="shared" ref="AN32:AN33" si="97">AVERAGE(AJ32:AM32)</f>
        <v>-330.73895861471101</v>
      </c>
    </row>
    <row r="33" spans="1:40">
      <c r="A33" s="4" t="s">
        <v>40</v>
      </c>
      <c r="B33" s="1">
        <v>-261</v>
      </c>
      <c r="C33" s="1">
        <v>-159</v>
      </c>
      <c r="D33" s="1">
        <v>-267</v>
      </c>
      <c r="E33" s="1">
        <f>U33-D33-C33-B33</f>
        <v>-301</v>
      </c>
      <c r="F33" s="1">
        <v>-337</v>
      </c>
      <c r="G33" s="1">
        <v>-387</v>
      </c>
      <c r="H33" s="28">
        <f>AVERAGE(D33:G33)</f>
        <v>-323</v>
      </c>
      <c r="I33" s="29">
        <f t="shared" ref="I33:Q33" si="98">AVERAGE(E33:H33)</f>
        <v>-337</v>
      </c>
      <c r="J33" s="29">
        <f t="shared" si="98"/>
        <v>-346</v>
      </c>
      <c r="K33" s="29">
        <f t="shared" si="98"/>
        <v>-348.25</v>
      </c>
      <c r="L33" s="29">
        <f t="shared" si="98"/>
        <v>-338.5625</v>
      </c>
      <c r="M33" s="29">
        <f t="shared" si="98"/>
        <v>-342.453125</v>
      </c>
      <c r="N33" s="29">
        <f t="shared" si="98"/>
        <v>-343.81640625</v>
      </c>
      <c r="O33" s="29">
        <f t="shared" si="98"/>
        <v>-343.2705078125</v>
      </c>
      <c r="P33" s="29">
        <f t="shared" si="98"/>
        <v>-342.025634765625</v>
      </c>
      <c r="Q33" s="29">
        <f t="shared" si="98"/>
        <v>-342.89141845703125</v>
      </c>
      <c r="S33" s="1">
        <v>-2614</v>
      </c>
      <c r="T33" s="1">
        <v>-605</v>
      </c>
      <c r="U33" s="1">
        <v>-988</v>
      </c>
      <c r="V33" s="28">
        <f>SUM(F33:I33)</f>
        <v>-1384</v>
      </c>
      <c r="W33" s="29">
        <f>SUM(J33:M33)</f>
        <v>-1375.265625</v>
      </c>
      <c r="X33" s="29">
        <f>SUM(N33:Q33)</f>
        <v>-1372.0039672851562</v>
      </c>
      <c r="Y33" s="29">
        <f t="shared" si="88"/>
        <v>-1279.8173980712891</v>
      </c>
      <c r="Z33" s="29">
        <f t="shared" si="86"/>
        <v>-1352.7717475891113</v>
      </c>
      <c r="AA33" s="29">
        <f t="shared" si="86"/>
        <v>-1344.9646844863892</v>
      </c>
      <c r="AB33" s="29">
        <f t="shared" si="86"/>
        <v>-1337.3894493579865</v>
      </c>
      <c r="AC33" s="29">
        <f t="shared" si="86"/>
        <v>-1328.735819876194</v>
      </c>
      <c r="AD33" s="29">
        <f t="shared" si="86"/>
        <v>-1340.9654253274202</v>
      </c>
      <c r="AE33" s="29">
        <f t="shared" si="86"/>
        <v>-1338.0138447619975</v>
      </c>
      <c r="AF33" s="29">
        <f t="shared" si="89"/>
        <v>-1336.2761348308995</v>
      </c>
      <c r="AG33" s="29">
        <f t="shared" si="90"/>
        <v>-1335.9978061991278</v>
      </c>
      <c r="AH33" s="29">
        <f t="shared" si="91"/>
        <v>-1337.8133027798613</v>
      </c>
      <c r="AI33" s="29">
        <f t="shared" si="92"/>
        <v>-1337.0252721429715</v>
      </c>
      <c r="AJ33" s="29">
        <f t="shared" si="93"/>
        <v>-1336.778128988215</v>
      </c>
      <c r="AK33" s="29">
        <f t="shared" si="94"/>
        <v>-1336.9036275275439</v>
      </c>
      <c r="AL33" s="29">
        <f t="shared" si="95"/>
        <v>-1337.1300828596479</v>
      </c>
      <c r="AM33" s="29">
        <f t="shared" si="96"/>
        <v>-1336.9592778795945</v>
      </c>
      <c r="AN33" s="29">
        <f t="shared" si="97"/>
        <v>-1336.9427793137502</v>
      </c>
    </row>
    <row r="34" spans="1:40">
      <c r="A34" s="4" t="s">
        <v>104</v>
      </c>
      <c r="B34" s="29"/>
      <c r="H34" s="28"/>
      <c r="I34" s="29"/>
      <c r="J34" s="29"/>
      <c r="K34" s="29"/>
      <c r="L34" s="29"/>
      <c r="M34" s="29">
        <f>M29+M31+M32+M33</f>
        <v>52062.636732162238</v>
      </c>
      <c r="N34" s="29">
        <f t="shared" ref="N34:Q34" si="99">N29+N31+N32+N33</f>
        <v>130393.73948288537</v>
      </c>
      <c r="O34" s="29">
        <f t="shared" si="99"/>
        <v>183755.34470033582</v>
      </c>
      <c r="P34" s="29">
        <f t="shared" si="99"/>
        <v>221788.73487551438</v>
      </c>
      <c r="Q34" s="29">
        <f t="shared" si="99"/>
        <v>250914.75954392867</v>
      </c>
      <c r="V34" s="28"/>
      <c r="W34" s="29"/>
      <c r="X34" s="29"/>
      <c r="Y34" s="29">
        <f t="shared" ref="Y34" si="100">Y29+Y31+Y32+Y33</f>
        <v>599457.8967065101</v>
      </c>
      <c r="Z34" s="29">
        <f t="shared" ref="Z34" si="101">Z29+Z31+Z32+Z33</f>
        <v>750183.45320991985</v>
      </c>
      <c r="AA34" s="29">
        <f t="shared" ref="AA34" si="102">AA29+AA31+AA32+AA33</f>
        <v>632140.61500204576</v>
      </c>
      <c r="AB34" s="29">
        <f t="shared" ref="AB34" si="103">AB29+AB31+AB32+AB33</f>
        <v>63222.458250950782</v>
      </c>
      <c r="AC34" s="29">
        <f t="shared" ref="AC34" si="104">AC29+AC31+AC32+AC33</f>
        <v>-30225.922211038214</v>
      </c>
      <c r="AD34" s="29">
        <f t="shared" ref="AD34:AE34" si="105">AD29+AD31+AD32+AD33</f>
        <v>-17439.957801820856</v>
      </c>
      <c r="AE34" s="29">
        <f t="shared" si="105"/>
        <v>-5957.4470671190302</v>
      </c>
      <c r="AF34" s="29">
        <f t="shared" ref="AF34" si="106">AF29+AF31+AF32+AF33</f>
        <v>4431.0770909091079</v>
      </c>
      <c r="AG34" s="29">
        <f t="shared" ref="AG34" si="107">AG29+AG31+AG32+AG33</f>
        <v>13888.445501481356</v>
      </c>
      <c r="AH34" s="29">
        <f t="shared" ref="AH34" si="108">AH29+AH31+AH32+AH33</f>
        <v>22532.173532440902</v>
      </c>
      <c r="AI34" s="29">
        <f t="shared" ref="AI34" si="109">AI29+AI31+AI32+AI33</f>
        <v>30466.223743542789</v>
      </c>
      <c r="AJ34" s="29">
        <f t="shared" ref="AJ34" si="110">AJ29+AJ31+AJ32+AJ33</f>
        <v>37762.448534681229</v>
      </c>
      <c r="AK34" s="29">
        <f t="shared" ref="AK34" si="111">AK29+AK31+AK32+AK33</f>
        <v>44484.009436275592</v>
      </c>
      <c r="AL34" s="29">
        <f t="shared" ref="AL34" si="112">AL29+AL31+AL32+AL33</f>
        <v>50685.04810539692</v>
      </c>
      <c r="AM34" s="29">
        <f t="shared" ref="AM34" si="113">AM29+AM31+AM32+AM33</f>
        <v>56413.825164428257</v>
      </c>
      <c r="AN34" s="29">
        <f t="shared" ref="AN34" si="114">AN29+AN31+AN32+AN33</f>
        <v>-69096.115777507017</v>
      </c>
    </row>
    <row r="35" spans="1:40">
      <c r="A35" s="4" t="s">
        <v>142</v>
      </c>
      <c r="B35" s="29"/>
      <c r="H35" s="28"/>
      <c r="I35" s="29"/>
      <c r="J35" s="29"/>
      <c r="K35" s="29"/>
      <c r="L35" s="29"/>
      <c r="M35" s="29"/>
      <c r="N35" s="29">
        <f>N34*0.2</f>
        <v>26078.747896577075</v>
      </c>
      <c r="O35" s="29">
        <f t="shared" ref="O35:Q35" si="115">O34*0.2</f>
        <v>36751.068940067162</v>
      </c>
      <c r="P35" s="29">
        <f t="shared" si="115"/>
        <v>44357.746975102877</v>
      </c>
      <c r="Q35" s="29">
        <f t="shared" si="115"/>
        <v>50182.951908785733</v>
      </c>
      <c r="V35" s="28"/>
      <c r="W35" s="29"/>
      <c r="X35" s="29"/>
      <c r="Y35" s="29">
        <f>Y34*0.2</f>
        <v>119891.57934130203</v>
      </c>
      <c r="Z35" s="29">
        <f t="shared" ref="Z35" si="116">Z34*0.2</f>
        <v>150036.69064198397</v>
      </c>
      <c r="AA35" s="29">
        <f t="shared" ref="AA35" si="117">AA34*0.2</f>
        <v>126428.12300040916</v>
      </c>
      <c r="AB35" s="29">
        <f t="shared" ref="AB35" si="118">AB34*0.2</f>
        <v>12644.491650190157</v>
      </c>
      <c r="AC35" s="29">
        <f t="shared" ref="AC35" si="119">AC34*0.2</f>
        <v>-6045.1844422076429</v>
      </c>
      <c r="AD35" s="29">
        <f t="shared" ref="AD35:AE35" si="120">AD34*0.2</f>
        <v>-3487.9915603641712</v>
      </c>
      <c r="AE35" s="29">
        <f t="shared" si="120"/>
        <v>-1191.4894134238061</v>
      </c>
      <c r="AF35" s="29">
        <f t="shared" ref="AF35" si="121">AF34*0.2</f>
        <v>886.21541818182163</v>
      </c>
      <c r="AG35" s="29">
        <f t="shared" ref="AG35" si="122">AG34*0.2</f>
        <v>2777.6891002962711</v>
      </c>
      <c r="AH35" s="29">
        <f t="shared" ref="AH35" si="123">AH34*0.2</f>
        <v>4506.4347064881804</v>
      </c>
      <c r="AI35" s="29">
        <f t="shared" ref="AI35" si="124">AI34*0.2</f>
        <v>6093.2447487085583</v>
      </c>
      <c r="AJ35" s="29">
        <f t="shared" ref="AJ35" si="125">AJ34*0.2</f>
        <v>7552.489706936246</v>
      </c>
      <c r="AK35" s="29">
        <f t="shared" ref="AK35" si="126">AK34*0.2</f>
        <v>8896.8018872551183</v>
      </c>
      <c r="AL35" s="29">
        <f t="shared" ref="AL35" si="127">AL34*0.2</f>
        <v>10137.009621079385</v>
      </c>
      <c r="AM35" s="29">
        <f t="shared" ref="AM35" si="128">AM34*0.2</f>
        <v>11282.765032885653</v>
      </c>
      <c r="AN35" s="29">
        <f t="shared" ref="AN35" si="129">AN34*0.2</f>
        <v>-13819.223155501404</v>
      </c>
    </row>
    <row r="36" spans="1:40">
      <c r="S36" s="29"/>
      <c r="T36" s="29"/>
      <c r="U36" s="29"/>
      <c r="V36" s="28"/>
    </row>
    <row r="37" spans="1:40" s="27" customFormat="1">
      <c r="A37" s="65" t="s">
        <v>95</v>
      </c>
      <c r="B37" s="31">
        <f>B29+B31+B32+B33</f>
        <v>-29787</v>
      </c>
      <c r="C37" s="31">
        <f t="shared" ref="C37:V37" si="130">C29+C31+C32+C33</f>
        <v>-47010</v>
      </c>
      <c r="D37" s="31">
        <f t="shared" si="130"/>
        <v>-41041</v>
      </c>
      <c r="E37" s="31">
        <f t="shared" si="130"/>
        <v>-56072</v>
      </c>
      <c r="F37" s="31">
        <f t="shared" si="130"/>
        <v>-61801</v>
      </c>
      <c r="G37" s="31">
        <f t="shared" si="130"/>
        <v>-69050</v>
      </c>
      <c r="H37" s="36">
        <f t="shared" si="130"/>
        <v>-69255.649999999994</v>
      </c>
      <c r="I37" s="31">
        <f t="shared" si="130"/>
        <v>-69364.037500000006</v>
      </c>
      <c r="J37" s="31">
        <f t="shared" si="130"/>
        <v>-68775.971875000003</v>
      </c>
      <c r="K37" s="31">
        <f t="shared" si="130"/>
        <v>-68097.664843749997</v>
      </c>
      <c r="L37" s="31">
        <f t="shared" si="130"/>
        <v>-67790.091054687495</v>
      </c>
      <c r="M37" s="31">
        <f t="shared" si="130"/>
        <v>52062.636732162238</v>
      </c>
      <c r="N37" s="31">
        <f>N34-N35</f>
        <v>104314.9915863083</v>
      </c>
      <c r="O37" s="31">
        <f t="shared" ref="O37:Q37" si="131">O34-O35</f>
        <v>147004.27576026865</v>
      </c>
      <c r="P37" s="31">
        <f t="shared" si="131"/>
        <v>177430.98790041151</v>
      </c>
      <c r="Q37" s="31">
        <f t="shared" si="131"/>
        <v>200731.80763514293</v>
      </c>
      <c r="S37" s="31">
        <f t="shared" si="130"/>
        <v>-58306</v>
      </c>
      <c r="T37" s="31">
        <f t="shared" si="130"/>
        <v>-45574</v>
      </c>
      <c r="U37" s="31">
        <f t="shared" si="130"/>
        <v>-173910</v>
      </c>
      <c r="V37" s="36">
        <f t="shared" si="130"/>
        <v>-269470.6875</v>
      </c>
      <c r="W37" s="31">
        <f>SUM(J37:M37)</f>
        <v>-152601.09104127527</v>
      </c>
      <c r="X37" s="31">
        <f>SUM(N37:Q37)</f>
        <v>629482.06288213143</v>
      </c>
      <c r="Y37" s="31">
        <f t="shared" ref="Y37:AE37" si="132">Y34-Y35</f>
        <v>479566.31736520806</v>
      </c>
      <c r="Z37" s="31">
        <f t="shared" si="132"/>
        <v>600146.76256793586</v>
      </c>
      <c r="AA37" s="31">
        <f t="shared" si="132"/>
        <v>505712.49200163659</v>
      </c>
      <c r="AB37" s="31">
        <f t="shared" si="132"/>
        <v>50577.966600760628</v>
      </c>
      <c r="AC37" s="31">
        <f t="shared" si="132"/>
        <v>-24180.737768830571</v>
      </c>
      <c r="AD37" s="31">
        <f t="shared" si="132"/>
        <v>-13951.966241456685</v>
      </c>
      <c r="AE37" s="31">
        <f t="shared" si="132"/>
        <v>-4765.9576536952245</v>
      </c>
      <c r="AF37" s="31">
        <f t="shared" ref="AF37:AN37" si="133">AF34-AF35</f>
        <v>3544.8616727272865</v>
      </c>
      <c r="AG37" s="31">
        <f t="shared" si="133"/>
        <v>11110.756401185085</v>
      </c>
      <c r="AH37" s="31">
        <f t="shared" si="133"/>
        <v>18025.738825952722</v>
      </c>
      <c r="AI37" s="31">
        <f t="shared" si="133"/>
        <v>24372.97899483423</v>
      </c>
      <c r="AJ37" s="31">
        <f t="shared" si="133"/>
        <v>30209.958827744984</v>
      </c>
      <c r="AK37" s="31">
        <f t="shared" si="133"/>
        <v>35587.207549020473</v>
      </c>
      <c r="AL37" s="31">
        <f t="shared" si="133"/>
        <v>40548.038484317534</v>
      </c>
      <c r="AM37" s="31">
        <f t="shared" si="133"/>
        <v>45131.060131542603</v>
      </c>
      <c r="AN37" s="31">
        <f t="shared" si="133"/>
        <v>-55276.892622005616</v>
      </c>
    </row>
    <row r="38" spans="1:40" hidden="1">
      <c r="A38" s="4" t="s">
        <v>41</v>
      </c>
      <c r="B38" s="1">
        <v>-29787</v>
      </c>
      <c r="C38" s="1">
        <v>-47010</v>
      </c>
      <c r="D38" s="1">
        <v>-41041</v>
      </c>
      <c r="E38" s="1">
        <f>U38-D38-C38-B38</f>
        <v>-56072</v>
      </c>
      <c r="F38" s="1">
        <v>-61801</v>
      </c>
      <c r="G38" s="1">
        <v>-69050</v>
      </c>
      <c r="S38" s="1">
        <v>-58306</v>
      </c>
      <c r="T38" s="1">
        <v>-45574</v>
      </c>
      <c r="U38" s="1">
        <v>-173910</v>
      </c>
    </row>
    <row r="39" spans="1:40" hidden="1" outlineLevel="1">
      <c r="A39" s="4" t="s">
        <v>29</v>
      </c>
    </row>
    <row r="40" spans="1:40" hidden="1" outlineLevel="1">
      <c r="A40" s="4" t="s">
        <v>43</v>
      </c>
      <c r="S40" s="1">
        <v>9814</v>
      </c>
      <c r="T40" s="1">
        <v>15900</v>
      </c>
      <c r="U40" s="1">
        <v>39102</v>
      </c>
    </row>
    <row r="41" spans="1:40" hidden="1" outlineLevel="1">
      <c r="A41" s="4" t="s">
        <v>45</v>
      </c>
      <c r="S41" s="1">
        <v>29415</v>
      </c>
      <c r="T41" s="1">
        <v>31766</v>
      </c>
      <c r="U41" s="1">
        <v>57181</v>
      </c>
    </row>
    <row r="42" spans="1:40" hidden="1" outlineLevel="1">
      <c r="A42" s="4" t="s">
        <v>44</v>
      </c>
      <c r="S42" s="1">
        <v>3316</v>
      </c>
      <c r="T42" s="1">
        <v>4193</v>
      </c>
      <c r="U42" s="1">
        <v>5393</v>
      </c>
    </row>
    <row r="43" spans="1:40" hidden="1" outlineLevel="1">
      <c r="A43" s="4" t="s">
        <v>49</v>
      </c>
      <c r="S43" s="1">
        <f>S40+S41+S42</f>
        <v>42545</v>
      </c>
      <c r="T43" s="1">
        <f>T40+T41+T42</f>
        <v>51859</v>
      </c>
      <c r="U43" s="1">
        <f>U40+U41+U42</f>
        <v>101676</v>
      </c>
    </row>
    <row r="44" spans="1:40" hidden="1" outlineLevel="1">
      <c r="A44" s="4" t="s">
        <v>30</v>
      </c>
    </row>
    <row r="45" spans="1:40" hidden="1" outlineLevel="1">
      <c r="A45" s="4" t="s">
        <v>43</v>
      </c>
      <c r="S45" s="1">
        <v>8745</v>
      </c>
      <c r="T45" s="1">
        <v>16476</v>
      </c>
      <c r="U45" s="1">
        <v>44861</v>
      </c>
    </row>
    <row r="46" spans="1:40" hidden="1" outlineLevel="1">
      <c r="A46" s="4" t="s">
        <v>46</v>
      </c>
      <c r="S46" s="1">
        <v>6061</v>
      </c>
      <c r="T46" s="1">
        <v>10437</v>
      </c>
      <c r="U46" s="1">
        <v>20923</v>
      </c>
    </row>
    <row r="47" spans="1:40" hidden="1" outlineLevel="1">
      <c r="A47" s="4" t="s">
        <v>44</v>
      </c>
      <c r="S47" s="1">
        <v>1888</v>
      </c>
      <c r="T47" s="1">
        <v>2552</v>
      </c>
      <c r="U47" s="1">
        <v>6008</v>
      </c>
    </row>
    <row r="48" spans="1:40" hidden="1" outlineLevel="1">
      <c r="A48" s="4" t="s">
        <v>48</v>
      </c>
      <c r="S48" s="1">
        <f>S45+S46+S47</f>
        <v>16694</v>
      </c>
      <c r="T48" s="1">
        <f>T45+T46+T47</f>
        <v>29465</v>
      </c>
      <c r="U48" s="1">
        <f>U45+U46+U47</f>
        <v>71792</v>
      </c>
    </row>
    <row r="49" spans="1:42" collapsed="1"/>
    <row r="50" spans="1:42">
      <c r="A50" s="4" t="s">
        <v>32</v>
      </c>
      <c r="B50" s="29">
        <v>48.229539000000003</v>
      </c>
      <c r="C50" s="29">
        <v>49</v>
      </c>
      <c r="D50" s="29">
        <v>49.208424999999998</v>
      </c>
      <c r="E50" s="29">
        <v>49.247985</v>
      </c>
      <c r="F50" s="29">
        <v>49.423827000000003</v>
      </c>
      <c r="G50" s="29">
        <v>49.436171999999999</v>
      </c>
      <c r="H50" s="28">
        <v>50</v>
      </c>
      <c r="I50" s="29">
        <v>50</v>
      </c>
      <c r="J50" s="29">
        <v>50</v>
      </c>
      <c r="K50" s="29">
        <v>51</v>
      </c>
      <c r="L50" s="29">
        <v>51</v>
      </c>
      <c r="M50" s="29">
        <v>52</v>
      </c>
      <c r="N50" s="29">
        <v>52</v>
      </c>
      <c r="O50" s="29">
        <v>52</v>
      </c>
      <c r="P50" s="29">
        <v>52</v>
      </c>
      <c r="Q50" s="29">
        <v>52</v>
      </c>
      <c r="U50" s="29">
        <v>49.247985</v>
      </c>
      <c r="V50" s="28">
        <f>AVERAGE(F50:I50)</f>
        <v>49.714999750000004</v>
      </c>
      <c r="W50" s="29">
        <f>AVERAGE(J50:M50)</f>
        <v>51</v>
      </c>
      <c r="X50" s="29">
        <f>AVERAGE(N50:Q50)</f>
        <v>52</v>
      </c>
      <c r="Y50" s="1">
        <v>52</v>
      </c>
      <c r="Z50" s="1">
        <v>52</v>
      </c>
      <c r="AA50" s="1">
        <v>52</v>
      </c>
      <c r="AB50" s="1">
        <v>52</v>
      </c>
      <c r="AC50" s="1">
        <v>52</v>
      </c>
      <c r="AD50" s="1">
        <v>52</v>
      </c>
      <c r="AE50" s="1">
        <v>52</v>
      </c>
      <c r="AF50" s="1">
        <v>52</v>
      </c>
      <c r="AG50" s="1">
        <v>52</v>
      </c>
      <c r="AH50" s="1">
        <v>52</v>
      </c>
      <c r="AI50" s="1">
        <v>52</v>
      </c>
      <c r="AJ50" s="1">
        <v>52</v>
      </c>
      <c r="AK50" s="1">
        <v>52</v>
      </c>
      <c r="AL50" s="1">
        <v>52</v>
      </c>
      <c r="AM50" s="1">
        <v>52</v>
      </c>
      <c r="AN50" s="1">
        <v>52</v>
      </c>
    </row>
    <row r="51" spans="1:42">
      <c r="A51" s="4" t="s">
        <v>114</v>
      </c>
      <c r="B51" s="37">
        <f t="shared" ref="B51:Q51" si="134">B37/B50/1000</f>
        <v>-0.61760905489890749</v>
      </c>
      <c r="C51" s="37">
        <f t="shared" si="134"/>
        <v>-0.95938775510204088</v>
      </c>
      <c r="D51" s="37">
        <f t="shared" si="134"/>
        <v>-0.83402384855845324</v>
      </c>
      <c r="E51" s="37">
        <f t="shared" si="134"/>
        <v>-1.1385643493840407</v>
      </c>
      <c r="F51" s="37">
        <f t="shared" si="134"/>
        <v>-1.2504292716952088</v>
      </c>
      <c r="G51" s="37">
        <f t="shared" si="134"/>
        <v>-1.3967505412838195</v>
      </c>
      <c r="H51" s="38">
        <f t="shared" si="134"/>
        <v>-1.3851129999999998</v>
      </c>
      <c r="I51" s="37">
        <f t="shared" si="134"/>
        <v>-1.3872807500000002</v>
      </c>
      <c r="J51" s="37">
        <f t="shared" si="134"/>
        <v>-1.3755194375000002</v>
      </c>
      <c r="K51" s="37">
        <f t="shared" si="134"/>
        <v>-1.3352483302696079</v>
      </c>
      <c r="L51" s="37">
        <f t="shared" si="134"/>
        <v>-1.3292174716605392</v>
      </c>
      <c r="M51" s="37">
        <f t="shared" si="134"/>
        <v>1.0012045525415816</v>
      </c>
      <c r="N51" s="37">
        <f t="shared" si="134"/>
        <v>2.0060575305059287</v>
      </c>
      <c r="O51" s="37">
        <f t="shared" si="134"/>
        <v>2.8270053030820894</v>
      </c>
      <c r="P51" s="37">
        <f t="shared" si="134"/>
        <v>3.4121343827002208</v>
      </c>
      <c r="Q51" s="37">
        <f t="shared" si="134"/>
        <v>3.8602270699065948</v>
      </c>
      <c r="U51" s="37">
        <f t="shared" ref="U51:AN51" si="135">U37/U50/1000</f>
        <v>-3.5313119917495102</v>
      </c>
      <c r="V51" s="38">
        <f t="shared" si="135"/>
        <v>-5.4203095414880291</v>
      </c>
      <c r="W51" s="37">
        <f t="shared" si="135"/>
        <v>-2.9921782557112797</v>
      </c>
      <c r="X51" s="37">
        <f t="shared" si="135"/>
        <v>12.105424286194834</v>
      </c>
      <c r="Y51" s="37">
        <f t="shared" si="135"/>
        <v>9.2224291801001552</v>
      </c>
      <c r="Z51" s="37">
        <f t="shared" si="135"/>
        <v>11.541283895537228</v>
      </c>
      <c r="AA51" s="37">
        <f t="shared" si="135"/>
        <v>9.7252402308007042</v>
      </c>
      <c r="AB51" s="37">
        <f t="shared" si="135"/>
        <v>0.97265320386078136</v>
      </c>
      <c r="AC51" s="37">
        <f t="shared" si="135"/>
        <v>-0.46501418786212639</v>
      </c>
      <c r="AD51" s="37">
        <f t="shared" si="135"/>
        <v>-0.26830704310493625</v>
      </c>
      <c r="AE51" s="37">
        <f t="shared" si="135"/>
        <v>-9.165303180183125E-2</v>
      </c>
      <c r="AF51" s="37">
        <f t="shared" si="135"/>
        <v>6.8170416783217044E-2</v>
      </c>
      <c r="AG51" s="37">
        <f t="shared" si="135"/>
        <v>0.2136683923304824</v>
      </c>
      <c r="AH51" s="37">
        <f t="shared" si="135"/>
        <v>0.34664882357601384</v>
      </c>
      <c r="AI51" s="37">
        <f t="shared" si="135"/>
        <v>0.46871113451604285</v>
      </c>
      <c r="AJ51" s="37">
        <f t="shared" si="135"/>
        <v>0.58096074668740361</v>
      </c>
      <c r="AK51" s="37">
        <f t="shared" si="135"/>
        <v>0.68436937594270142</v>
      </c>
      <c r="AL51" s="37">
        <f t="shared" si="135"/>
        <v>0.7797699708522603</v>
      </c>
      <c r="AM51" s="37">
        <f t="shared" si="135"/>
        <v>0.86790500252966551</v>
      </c>
      <c r="AN51" s="37">
        <f t="shared" si="135"/>
        <v>-1.0630171658078003</v>
      </c>
    </row>
    <row r="53" spans="1:42">
      <c r="A53" s="4" t="s">
        <v>50</v>
      </c>
      <c r="B53" s="1">
        <v>-21104</v>
      </c>
      <c r="C53" s="1">
        <f>-54632-B53</f>
        <v>-33528</v>
      </c>
      <c r="D53" s="1">
        <f>-81561-B53-C53</f>
        <v>-26929</v>
      </c>
      <c r="E53" s="1">
        <f>U53-D53-C53-B53</f>
        <v>-46316</v>
      </c>
      <c r="F53" s="1">
        <v>-48688</v>
      </c>
      <c r="G53" s="1">
        <f>-87759-F53</f>
        <v>-39071</v>
      </c>
      <c r="H53" s="28">
        <f t="shared" ref="H53:Q53" si="136">H37+H54</f>
        <v>-52515.649999999994</v>
      </c>
      <c r="I53" s="29">
        <f t="shared" si="136"/>
        <v>-51967.037500000006</v>
      </c>
      <c r="J53" s="29">
        <f t="shared" si="136"/>
        <v>-49468.721875000003</v>
      </c>
      <c r="K53" s="29">
        <f t="shared" si="136"/>
        <v>-47241.852343749997</v>
      </c>
      <c r="L53" s="29">
        <f t="shared" si="136"/>
        <v>-49215.075429687495</v>
      </c>
      <c r="M53" s="29">
        <f t="shared" si="136"/>
        <v>71096.406263412238</v>
      </c>
      <c r="N53" s="29">
        <f t="shared" si="136"/>
        <v>123757.9535003708</v>
      </c>
      <c r="O53" s="29">
        <f t="shared" si="136"/>
        <v>166481.16565284677</v>
      </c>
      <c r="P53" s="29">
        <f t="shared" si="136"/>
        <v>196563.14714113416</v>
      </c>
      <c r="Q53" s="29">
        <f t="shared" si="136"/>
        <v>220003.25277979625</v>
      </c>
      <c r="S53" s="1">
        <v>-47444</v>
      </c>
      <c r="T53" s="1">
        <v>-32191</v>
      </c>
      <c r="U53" s="1">
        <v>-127877</v>
      </c>
      <c r="V53" s="28">
        <f>SUM(F53:I53)</f>
        <v>-192241.6875</v>
      </c>
      <c r="W53" s="29">
        <f>SUM(J53:M53)</f>
        <v>-74829.243385025271</v>
      </c>
      <c r="X53" s="29">
        <f>SUM(N53:Q53)</f>
        <v>706805.51907414803</v>
      </c>
      <c r="Y53" s="29">
        <f>Y37+Y54</f>
        <v>560755.94636682549</v>
      </c>
      <c r="Z53" s="29">
        <f t="shared" ref="Z53:AE53" si="137">Z37+Z54</f>
        <v>685395.87301963416</v>
      </c>
      <c r="AA53" s="29">
        <f t="shared" si="137"/>
        <v>595224.0579759198</v>
      </c>
      <c r="AB53" s="29">
        <f t="shared" si="137"/>
        <v>144565.11087375804</v>
      </c>
      <c r="AC53" s="29">
        <f t="shared" si="137"/>
        <v>74505.763717816691</v>
      </c>
      <c r="AD53" s="29">
        <f t="shared" si="137"/>
        <v>89668.860319522952</v>
      </c>
      <c r="AE53" s="29">
        <f t="shared" si="137"/>
        <v>98854.868907284414</v>
      </c>
      <c r="AF53" s="29">
        <f t="shared" ref="AF53" si="138">AF37+AF54</f>
        <v>107165.68823370693</v>
      </c>
      <c r="AG53" s="29">
        <f t="shared" ref="AG53" si="139">AG37+AG54</f>
        <v>114731.58296216471</v>
      </c>
      <c r="AH53" s="29">
        <f t="shared" ref="AH53" si="140">AH37+AH54</f>
        <v>121646.56538693236</v>
      </c>
      <c r="AI53" s="29">
        <f t="shared" ref="AI53" si="141">AI37+AI54</f>
        <v>127993.80555581386</v>
      </c>
      <c r="AJ53" s="29">
        <f t="shared" ref="AJ53" si="142">AJ37+AJ54</f>
        <v>133830.78538872462</v>
      </c>
      <c r="AK53" s="29">
        <f t="shared" ref="AK53" si="143">AK37+AK54</f>
        <v>139208.03411000012</v>
      </c>
      <c r="AL53" s="29">
        <f t="shared" ref="AL53" si="144">AL37+AL54</f>
        <v>144168.86504529716</v>
      </c>
      <c r="AM53" s="29">
        <f t="shared" ref="AM53" si="145">AM37+AM54</f>
        <v>148751.88669252224</v>
      </c>
      <c r="AN53" s="29">
        <f t="shared" ref="AN53" si="146">AN37+AN54</f>
        <v>48343.93393897402</v>
      </c>
      <c r="AO53" s="29"/>
      <c r="AP53" s="29"/>
    </row>
    <row r="54" spans="1:42">
      <c r="B54" s="29">
        <f t="shared" ref="B54:G54" si="147">B53-B37</f>
        <v>8683</v>
      </c>
      <c r="C54" s="29">
        <f t="shared" si="147"/>
        <v>13482</v>
      </c>
      <c r="D54" s="29">
        <f t="shared" si="147"/>
        <v>14112</v>
      </c>
      <c r="E54" s="29">
        <f t="shared" si="147"/>
        <v>9756</v>
      </c>
      <c r="F54" s="29">
        <f t="shared" si="147"/>
        <v>13113</v>
      </c>
      <c r="G54" s="29">
        <f t="shared" si="147"/>
        <v>29979</v>
      </c>
      <c r="H54" s="28">
        <f>AVERAGE(D54:G54)</f>
        <v>16740</v>
      </c>
      <c r="I54" s="29">
        <f t="shared" ref="I54:Q54" si="148">AVERAGE(E54:H54)</f>
        <v>17397</v>
      </c>
      <c r="J54" s="29">
        <f t="shared" si="148"/>
        <v>19307.25</v>
      </c>
      <c r="K54" s="29">
        <f t="shared" si="148"/>
        <v>20855.8125</v>
      </c>
      <c r="L54" s="29">
        <f t="shared" si="148"/>
        <v>18575.015625</v>
      </c>
      <c r="M54" s="29">
        <f t="shared" si="148"/>
        <v>19033.76953125</v>
      </c>
      <c r="N54" s="29">
        <f t="shared" si="148"/>
        <v>19442.9619140625</v>
      </c>
      <c r="O54" s="29">
        <f t="shared" si="148"/>
        <v>19476.889892578125</v>
      </c>
      <c r="P54" s="29">
        <f t="shared" si="148"/>
        <v>19132.159240722656</v>
      </c>
      <c r="Q54" s="29">
        <f t="shared" si="148"/>
        <v>19271.44514465332</v>
      </c>
      <c r="V54" s="28">
        <f>V53-V37</f>
        <v>77229</v>
      </c>
      <c r="W54" s="29">
        <f t="shared" ref="W54:X54" si="149">W53-W37</f>
        <v>77771.84765625</v>
      </c>
      <c r="X54" s="29">
        <f t="shared" si="149"/>
        <v>77323.456192016602</v>
      </c>
      <c r="Y54" s="29">
        <f>X54*1.05</f>
        <v>81189.629001617432</v>
      </c>
      <c r="Z54" s="29">
        <f t="shared" ref="Z54:AD54" si="150">Y54*1.05</f>
        <v>85249.110451698303</v>
      </c>
      <c r="AA54" s="29">
        <f t="shared" si="150"/>
        <v>89511.565974283221</v>
      </c>
      <c r="AB54" s="29">
        <f t="shared" si="150"/>
        <v>93987.144272997393</v>
      </c>
      <c r="AC54" s="29">
        <f t="shared" si="150"/>
        <v>98686.501486647263</v>
      </c>
      <c r="AD54" s="29">
        <f t="shared" si="150"/>
        <v>103620.82656097964</v>
      </c>
      <c r="AE54" s="29">
        <f>AD54</f>
        <v>103620.82656097964</v>
      </c>
      <c r="AF54" s="29">
        <f t="shared" ref="AF54:AN54" si="151">AE54</f>
        <v>103620.82656097964</v>
      </c>
      <c r="AG54" s="29">
        <f t="shared" si="151"/>
        <v>103620.82656097964</v>
      </c>
      <c r="AH54" s="29">
        <f t="shared" si="151"/>
        <v>103620.82656097964</v>
      </c>
      <c r="AI54" s="29">
        <f t="shared" si="151"/>
        <v>103620.82656097964</v>
      </c>
      <c r="AJ54" s="29">
        <f t="shared" si="151"/>
        <v>103620.82656097964</v>
      </c>
      <c r="AK54" s="29">
        <f t="shared" si="151"/>
        <v>103620.82656097964</v>
      </c>
      <c r="AL54" s="29">
        <f t="shared" si="151"/>
        <v>103620.82656097964</v>
      </c>
      <c r="AM54" s="29">
        <f t="shared" si="151"/>
        <v>103620.82656097964</v>
      </c>
      <c r="AN54" s="29">
        <f t="shared" si="151"/>
        <v>103620.82656097964</v>
      </c>
      <c r="AO54" s="29"/>
      <c r="AP54" s="29"/>
    </row>
    <row r="55" spans="1:42">
      <c r="A55" s="4" t="s">
        <v>51</v>
      </c>
      <c r="B55" s="1">
        <v>-30918</v>
      </c>
      <c r="C55" s="1">
        <f>-8374-B55</f>
        <v>22544</v>
      </c>
      <c r="D55" s="1">
        <f>27411-B55-C55</f>
        <v>35785</v>
      </c>
      <c r="E55" s="1">
        <f t="shared" ref="E55:E56" si="152">U55-D55-C55-B55</f>
        <v>56181</v>
      </c>
      <c r="F55" s="1">
        <v>26424</v>
      </c>
      <c r="G55" s="1">
        <f>53181-F55</f>
        <v>26757</v>
      </c>
      <c r="H55" s="28">
        <f>AVERAGE(D55:G55)</f>
        <v>36286.75</v>
      </c>
      <c r="I55" s="29">
        <f t="shared" ref="I55:Q55" si="153">AVERAGE(E55:H55)</f>
        <v>36412.1875</v>
      </c>
      <c r="J55" s="29">
        <f t="shared" si="153"/>
        <v>31469.984375</v>
      </c>
      <c r="K55" s="29">
        <f t="shared" si="153"/>
        <v>32731.48046875</v>
      </c>
      <c r="L55" s="29">
        <f t="shared" si="153"/>
        <v>34225.1005859375</v>
      </c>
      <c r="M55" s="29">
        <f t="shared" si="153"/>
        <v>33709.688232421875</v>
      </c>
      <c r="N55" s="29">
        <f t="shared" si="153"/>
        <v>33034.063415527344</v>
      </c>
      <c r="O55" s="29">
        <f t="shared" si="153"/>
        <v>33425.08317565918</v>
      </c>
      <c r="P55" s="29">
        <f t="shared" si="153"/>
        <v>33598.483852386475</v>
      </c>
      <c r="Q55" s="29">
        <f t="shared" si="153"/>
        <v>33441.829668998718</v>
      </c>
      <c r="S55" s="1">
        <v>-4260</v>
      </c>
      <c r="T55" s="1">
        <v>-418832</v>
      </c>
      <c r="U55" s="1">
        <v>83592</v>
      </c>
      <c r="V55" s="28">
        <f t="shared" ref="V55:V56" si="154">SUM(F55:I55)</f>
        <v>125879.9375</v>
      </c>
      <c r="W55" s="29">
        <f>SUM(J55:M55)</f>
        <v>132136.25366210938</v>
      </c>
      <c r="X55" s="29">
        <f>SUM(N55:Q55)</f>
        <v>133499.46011257172</v>
      </c>
      <c r="Y55" s="29">
        <f>X55*0.6</f>
        <v>80099.676067543027</v>
      </c>
      <c r="Z55" s="29">
        <f t="shared" ref="Z55" si="155">Y55*0.6</f>
        <v>48059.805640525818</v>
      </c>
      <c r="AA55" s="29">
        <f>Z55</f>
        <v>48059.805640525818</v>
      </c>
      <c r="AB55" s="29">
        <f t="shared" ref="AB55:AN55" si="156">AA55</f>
        <v>48059.805640525818</v>
      </c>
      <c r="AC55" s="29">
        <f t="shared" si="156"/>
        <v>48059.805640525818</v>
      </c>
      <c r="AD55" s="29">
        <f t="shared" si="156"/>
        <v>48059.805640525818</v>
      </c>
      <c r="AE55" s="29">
        <f t="shared" si="156"/>
        <v>48059.805640525818</v>
      </c>
      <c r="AF55" s="29">
        <f t="shared" si="156"/>
        <v>48059.805640525818</v>
      </c>
      <c r="AG55" s="29">
        <f t="shared" si="156"/>
        <v>48059.805640525818</v>
      </c>
      <c r="AH55" s="29">
        <f t="shared" si="156"/>
        <v>48059.805640525818</v>
      </c>
      <c r="AI55" s="29">
        <f t="shared" si="156"/>
        <v>48059.805640525818</v>
      </c>
      <c r="AJ55" s="29">
        <f t="shared" si="156"/>
        <v>48059.805640525818</v>
      </c>
      <c r="AK55" s="29">
        <f t="shared" si="156"/>
        <v>48059.805640525818</v>
      </c>
      <c r="AL55" s="29">
        <f t="shared" si="156"/>
        <v>48059.805640525818</v>
      </c>
      <c r="AM55" s="29">
        <f t="shared" si="156"/>
        <v>48059.805640525818</v>
      </c>
      <c r="AN55" s="29">
        <f t="shared" si="156"/>
        <v>48059.805640525818</v>
      </c>
    </row>
    <row r="56" spans="1:42">
      <c r="A56" s="4" t="s">
        <v>52</v>
      </c>
      <c r="B56" s="1">
        <v>359</v>
      </c>
      <c r="C56" s="1">
        <f>488-B56</f>
        <v>129</v>
      </c>
      <c r="D56" s="1">
        <f>913-B56-C56</f>
        <v>425</v>
      </c>
      <c r="E56" s="1">
        <f t="shared" si="152"/>
        <v>244</v>
      </c>
      <c r="F56" s="1">
        <v>261</v>
      </c>
      <c r="G56" s="1">
        <f>173-F56</f>
        <v>-88</v>
      </c>
      <c r="H56" s="28">
        <f>AVERAGE(D56:G56)</f>
        <v>210.5</v>
      </c>
      <c r="I56" s="29">
        <f t="shared" ref="I56:Q56" si="157">AVERAGE(E56:H56)</f>
        <v>156.875</v>
      </c>
      <c r="J56" s="29">
        <f t="shared" si="157"/>
        <v>135.09375</v>
      </c>
      <c r="K56" s="29">
        <f t="shared" si="157"/>
        <v>103.6171875</v>
      </c>
      <c r="L56" s="29">
        <f t="shared" si="157"/>
        <v>151.521484375</v>
      </c>
      <c r="M56" s="29">
        <f t="shared" si="157"/>
        <v>136.77685546875</v>
      </c>
      <c r="N56" s="29">
        <f t="shared" si="157"/>
        <v>131.7523193359375</v>
      </c>
      <c r="O56" s="29">
        <f t="shared" si="157"/>
        <v>130.91696166992188</v>
      </c>
      <c r="P56" s="29">
        <f t="shared" si="157"/>
        <v>137.74190521240234</v>
      </c>
      <c r="Q56" s="29">
        <f t="shared" si="157"/>
        <v>134.29701042175293</v>
      </c>
      <c r="S56" s="1">
        <v>333708</v>
      </c>
      <c r="T56" s="1">
        <v>270485</v>
      </c>
      <c r="U56" s="1">
        <v>1157</v>
      </c>
      <c r="V56" s="28">
        <f t="shared" si="154"/>
        <v>540.375</v>
      </c>
      <c r="W56" s="29">
        <f>SUM(J56:M56)</f>
        <v>527.00927734375</v>
      </c>
      <c r="X56" s="29">
        <f>SUM(N56:Q56)</f>
        <v>534.70819664001465</v>
      </c>
      <c r="Y56" s="29">
        <f>AVERAGE(W56:X56)</f>
        <v>530.85873699188232</v>
      </c>
      <c r="Z56" s="29">
        <f t="shared" ref="Z56:AN56" si="158">AVERAGE(X56:Y56)</f>
        <v>532.78346681594849</v>
      </c>
      <c r="AA56" s="29">
        <f t="shared" si="158"/>
        <v>531.82110190391541</v>
      </c>
      <c r="AB56" s="29">
        <f t="shared" si="158"/>
        <v>532.30228435993195</v>
      </c>
      <c r="AC56" s="29">
        <f t="shared" si="158"/>
        <v>532.06169313192368</v>
      </c>
      <c r="AD56" s="29">
        <f t="shared" si="158"/>
        <v>532.18198874592781</v>
      </c>
      <c r="AE56" s="29">
        <f t="shared" si="158"/>
        <v>532.12184093892574</v>
      </c>
      <c r="AF56" s="29">
        <f t="shared" si="158"/>
        <v>532.15191484242678</v>
      </c>
      <c r="AG56" s="29">
        <f t="shared" si="158"/>
        <v>532.13687789067626</v>
      </c>
      <c r="AH56" s="29">
        <f t="shared" si="158"/>
        <v>532.14439636655152</v>
      </c>
      <c r="AI56" s="29">
        <f t="shared" si="158"/>
        <v>532.14063712861389</v>
      </c>
      <c r="AJ56" s="29">
        <f t="shared" si="158"/>
        <v>532.1425167475827</v>
      </c>
      <c r="AK56" s="29">
        <f t="shared" si="158"/>
        <v>532.1415769380983</v>
      </c>
      <c r="AL56" s="29">
        <f t="shared" si="158"/>
        <v>532.1420468428405</v>
      </c>
      <c r="AM56" s="29">
        <f t="shared" si="158"/>
        <v>532.1418118904694</v>
      </c>
      <c r="AN56" s="29">
        <f t="shared" si="158"/>
        <v>532.14192936665495</v>
      </c>
    </row>
    <row r="57" spans="1:42">
      <c r="A57" s="4" t="s">
        <v>53</v>
      </c>
      <c r="B57" s="1">
        <f t="shared" ref="B57:G57" si="159">B53+B55+B56</f>
        <v>-51663</v>
      </c>
      <c r="C57" s="1">
        <f t="shared" si="159"/>
        <v>-10855</v>
      </c>
      <c r="D57" s="1">
        <f t="shared" si="159"/>
        <v>9281</v>
      </c>
      <c r="E57" s="1">
        <f t="shared" si="159"/>
        <v>10109</v>
      </c>
      <c r="F57" s="1">
        <f t="shared" si="159"/>
        <v>-22003</v>
      </c>
      <c r="G57" s="1">
        <f t="shared" si="159"/>
        <v>-12402</v>
      </c>
      <c r="H57" s="28">
        <f t="shared" ref="H57:Q57" si="160">H53+H55+H56</f>
        <v>-16018.399999999994</v>
      </c>
      <c r="I57" s="29">
        <f t="shared" si="160"/>
        <v>-15397.975000000006</v>
      </c>
      <c r="J57" s="29">
        <f t="shared" si="160"/>
        <v>-17863.643750000003</v>
      </c>
      <c r="K57" s="29">
        <f t="shared" si="160"/>
        <v>-14406.754687499997</v>
      </c>
      <c r="L57" s="29">
        <f t="shared" si="160"/>
        <v>-14838.453359374995</v>
      </c>
      <c r="M57" s="29">
        <f t="shared" si="160"/>
        <v>104942.87135130286</v>
      </c>
      <c r="N57" s="29">
        <f t="shared" si="160"/>
        <v>156923.76923523407</v>
      </c>
      <c r="O57" s="29">
        <f t="shared" si="160"/>
        <v>200037.16579017587</v>
      </c>
      <c r="P57" s="29">
        <f t="shared" si="160"/>
        <v>230299.37289873304</v>
      </c>
      <c r="Q57" s="29">
        <f t="shared" si="160"/>
        <v>253579.37945921673</v>
      </c>
      <c r="S57" s="1">
        <f>S53+S55+S56</f>
        <v>282004</v>
      </c>
      <c r="T57" s="1">
        <f t="shared" ref="T57:V57" si="161">T53+T55+T56</f>
        <v>-180538</v>
      </c>
      <c r="U57" s="29">
        <f t="shared" si="161"/>
        <v>-43128</v>
      </c>
      <c r="V57" s="28">
        <f t="shared" si="161"/>
        <v>-65821.375</v>
      </c>
      <c r="W57" s="29">
        <f t="shared" ref="W57" si="162">W53+W55+W56</f>
        <v>57834.019554427854</v>
      </c>
      <c r="X57" s="29">
        <f t="shared" ref="X57" si="163">X53+X55+X56</f>
        <v>840839.68738335976</v>
      </c>
      <c r="Y57" s="29">
        <f t="shared" ref="Y57" si="164">Y53+Y55+Y56</f>
        <v>641386.48117136036</v>
      </c>
      <c r="Z57" s="29">
        <f t="shared" ref="Z57" si="165">Z53+Z55+Z56</f>
        <v>733988.46212697588</v>
      </c>
      <c r="AA57" s="29">
        <f t="shared" ref="AA57" si="166">AA53+AA55+AA56</f>
        <v>643815.68471834948</v>
      </c>
      <c r="AB57" s="29">
        <f t="shared" ref="AB57" si="167">AB53+AB55+AB56</f>
        <v>193157.21879864379</v>
      </c>
      <c r="AC57" s="29">
        <f t="shared" ref="AC57" si="168">AC53+AC55+AC56</f>
        <v>123097.63105147443</v>
      </c>
      <c r="AD57" s="29">
        <f t="shared" ref="AD57" si="169">AD53+AD55+AD56</f>
        <v>138260.84794879469</v>
      </c>
      <c r="AE57" s="29">
        <f t="shared" ref="AE57" si="170">AE53+AE55+AE56</f>
        <v>147446.79638874915</v>
      </c>
      <c r="AF57" s="29">
        <f t="shared" ref="AF57" si="171">AF53+AF55+AF56</f>
        <v>155757.64578907518</v>
      </c>
      <c r="AG57" s="29">
        <f t="shared" ref="AG57" si="172">AG53+AG55+AG56</f>
        <v>163323.52548058121</v>
      </c>
      <c r="AH57" s="29">
        <f t="shared" ref="AH57" si="173">AH53+AH55+AH56</f>
        <v>170238.51542382472</v>
      </c>
      <c r="AI57" s="29">
        <f t="shared" ref="AI57" si="174">AI53+AI55+AI56</f>
        <v>176585.7518334683</v>
      </c>
      <c r="AJ57" s="29">
        <f t="shared" ref="AJ57" si="175">AJ53+AJ55+AJ56</f>
        <v>182422.73354599802</v>
      </c>
      <c r="AK57" s="29">
        <f t="shared" ref="AK57" si="176">AK53+AK55+AK56</f>
        <v>187799.98132746405</v>
      </c>
      <c r="AL57" s="29">
        <f t="shared" ref="AL57" si="177">AL53+AL55+AL56</f>
        <v>192760.81273266583</v>
      </c>
      <c r="AM57" s="29">
        <f t="shared" ref="AM57" si="178">AM53+AM55+AM56</f>
        <v>197343.83414493853</v>
      </c>
      <c r="AN57" s="29">
        <f t="shared" ref="AN57" si="179">AN53+AN55+AN56</f>
        <v>96935.8815088665</v>
      </c>
    </row>
    <row r="59" spans="1:42">
      <c r="A59" s="4" t="s">
        <v>63</v>
      </c>
      <c r="B59" s="1">
        <v>-45</v>
      </c>
      <c r="C59" s="1">
        <f>-177-B59</f>
        <v>-132</v>
      </c>
      <c r="D59" s="1">
        <f>-512-C59-B59</f>
        <v>-335</v>
      </c>
      <c r="F59" s="1">
        <v>-2387</v>
      </c>
      <c r="G59" s="1">
        <f>-4912-F59</f>
        <v>-2525</v>
      </c>
      <c r="H59" s="26">
        <f>G59</f>
        <v>-2525</v>
      </c>
      <c r="I59" s="1">
        <f t="shared" ref="I59:Q59" si="180">H59</f>
        <v>-2525</v>
      </c>
      <c r="J59" s="1">
        <f t="shared" si="180"/>
        <v>-2525</v>
      </c>
      <c r="K59" s="1">
        <f t="shared" si="180"/>
        <v>-2525</v>
      </c>
      <c r="L59" s="1">
        <f t="shared" si="180"/>
        <v>-2525</v>
      </c>
      <c r="M59" s="1">
        <f t="shared" si="180"/>
        <v>-2525</v>
      </c>
      <c r="N59" s="1">
        <f t="shared" si="180"/>
        <v>-2525</v>
      </c>
      <c r="O59" s="1">
        <f t="shared" si="180"/>
        <v>-2525</v>
      </c>
      <c r="P59" s="1">
        <f t="shared" si="180"/>
        <v>-2525</v>
      </c>
      <c r="Q59" s="1">
        <f t="shared" si="180"/>
        <v>-2525</v>
      </c>
      <c r="V59" s="26">
        <f>SUM(F59:I59)</f>
        <v>-9962</v>
      </c>
      <c r="W59" s="1">
        <f>V59</f>
        <v>-9962</v>
      </c>
      <c r="X59" s="1">
        <f t="shared" ref="X59:AN59" si="181">W59</f>
        <v>-9962</v>
      </c>
      <c r="Y59" s="1">
        <f t="shared" si="181"/>
        <v>-9962</v>
      </c>
      <c r="Z59" s="1">
        <f t="shared" si="181"/>
        <v>-9962</v>
      </c>
      <c r="AA59" s="1">
        <f t="shared" si="181"/>
        <v>-9962</v>
      </c>
      <c r="AB59" s="1">
        <f t="shared" si="181"/>
        <v>-9962</v>
      </c>
      <c r="AC59" s="1">
        <f t="shared" si="181"/>
        <v>-9962</v>
      </c>
      <c r="AD59" s="1">
        <f t="shared" si="181"/>
        <v>-9962</v>
      </c>
      <c r="AE59" s="1">
        <f t="shared" si="181"/>
        <v>-9962</v>
      </c>
      <c r="AF59" s="1">
        <f t="shared" si="181"/>
        <v>-9962</v>
      </c>
      <c r="AG59" s="1">
        <f t="shared" si="181"/>
        <v>-9962</v>
      </c>
      <c r="AH59" s="1">
        <f t="shared" si="181"/>
        <v>-9962</v>
      </c>
      <c r="AI59" s="1">
        <f t="shared" si="181"/>
        <v>-9962</v>
      </c>
      <c r="AJ59" s="1">
        <f t="shared" si="181"/>
        <v>-9962</v>
      </c>
      <c r="AK59" s="1">
        <f t="shared" si="181"/>
        <v>-9962</v>
      </c>
      <c r="AL59" s="1">
        <f t="shared" si="181"/>
        <v>-9962</v>
      </c>
      <c r="AM59" s="1">
        <f t="shared" si="181"/>
        <v>-9962</v>
      </c>
      <c r="AN59" s="1">
        <f t="shared" si="181"/>
        <v>-9962</v>
      </c>
    </row>
    <row r="60" spans="1:42">
      <c r="A60" s="4" t="s">
        <v>64</v>
      </c>
      <c r="B60" s="1">
        <v>110</v>
      </c>
      <c r="C60" s="1">
        <f>225-B60</f>
        <v>115</v>
      </c>
      <c r="D60" s="1">
        <f>344-B60-C60</f>
        <v>119</v>
      </c>
      <c r="F60" s="1">
        <v>108</v>
      </c>
      <c r="G60" s="1">
        <f>298-F60</f>
        <v>190</v>
      </c>
      <c r="H60" s="26">
        <v>190</v>
      </c>
      <c r="I60" s="1">
        <v>190</v>
      </c>
      <c r="J60" s="1">
        <v>190</v>
      </c>
      <c r="K60" s="1">
        <v>190</v>
      </c>
      <c r="L60" s="1">
        <v>190</v>
      </c>
      <c r="M60" s="1">
        <v>190</v>
      </c>
      <c r="N60" s="1">
        <v>190</v>
      </c>
      <c r="O60" s="1">
        <v>190</v>
      </c>
      <c r="P60" s="1">
        <v>190</v>
      </c>
      <c r="Q60" s="1">
        <v>190</v>
      </c>
      <c r="V60" s="26">
        <f t="shared" ref="V60:V61" si="182">SUM(F60:I60)</f>
        <v>678</v>
      </c>
      <c r="W60" s="1">
        <f>V60</f>
        <v>678</v>
      </c>
      <c r="X60" s="1">
        <f t="shared" ref="X60:AN60" si="183">W60</f>
        <v>678</v>
      </c>
      <c r="Y60" s="1">
        <f t="shared" si="183"/>
        <v>678</v>
      </c>
      <c r="Z60" s="1">
        <f t="shared" si="183"/>
        <v>678</v>
      </c>
      <c r="AA60" s="1">
        <f t="shared" si="183"/>
        <v>678</v>
      </c>
      <c r="AB60" s="1">
        <f t="shared" si="183"/>
        <v>678</v>
      </c>
      <c r="AC60" s="1">
        <f t="shared" si="183"/>
        <v>678</v>
      </c>
      <c r="AD60" s="1">
        <f t="shared" si="183"/>
        <v>678</v>
      </c>
      <c r="AE60" s="1">
        <f t="shared" si="183"/>
        <v>678</v>
      </c>
      <c r="AF60" s="1">
        <f t="shared" si="183"/>
        <v>678</v>
      </c>
      <c r="AG60" s="1">
        <f t="shared" si="183"/>
        <v>678</v>
      </c>
      <c r="AH60" s="1">
        <f t="shared" si="183"/>
        <v>678</v>
      </c>
      <c r="AI60" s="1">
        <f t="shared" si="183"/>
        <v>678</v>
      </c>
      <c r="AJ60" s="1">
        <f t="shared" si="183"/>
        <v>678</v>
      </c>
      <c r="AK60" s="1">
        <f t="shared" si="183"/>
        <v>678</v>
      </c>
      <c r="AL60" s="1">
        <f t="shared" si="183"/>
        <v>678</v>
      </c>
      <c r="AM60" s="1">
        <f t="shared" si="183"/>
        <v>678</v>
      </c>
      <c r="AN60" s="1">
        <f t="shared" si="183"/>
        <v>678</v>
      </c>
    </row>
    <row r="61" spans="1:42" s="27" customFormat="1">
      <c r="A61" s="65" t="s">
        <v>54</v>
      </c>
      <c r="B61" s="31">
        <f>B37+B59+B60</f>
        <v>-29722</v>
      </c>
      <c r="C61" s="31">
        <f>C37+C59+C60</f>
        <v>-47027</v>
      </c>
      <c r="D61" s="31">
        <f>D37+D59+D60</f>
        <v>-41257</v>
      </c>
      <c r="E61" s="31"/>
      <c r="F61" s="31">
        <f t="shared" ref="F61:Q61" si="184">F37+F59+F60</f>
        <v>-64080</v>
      </c>
      <c r="G61" s="31">
        <f t="shared" si="184"/>
        <v>-71385</v>
      </c>
      <c r="H61" s="36">
        <f t="shared" si="184"/>
        <v>-71590.649999999994</v>
      </c>
      <c r="I61" s="31">
        <f t="shared" si="184"/>
        <v>-71699.037500000006</v>
      </c>
      <c r="J61" s="31">
        <f t="shared" si="184"/>
        <v>-71110.971875000003</v>
      </c>
      <c r="K61" s="31">
        <f t="shared" si="184"/>
        <v>-70432.664843749997</v>
      </c>
      <c r="L61" s="31">
        <f t="shared" si="184"/>
        <v>-70125.091054687495</v>
      </c>
      <c r="M61" s="31">
        <f t="shared" si="184"/>
        <v>49727.636732162238</v>
      </c>
      <c r="N61" s="31">
        <f t="shared" si="184"/>
        <v>101979.9915863083</v>
      </c>
      <c r="O61" s="31">
        <f t="shared" si="184"/>
        <v>144669.27576026865</v>
      </c>
      <c r="P61" s="31">
        <f t="shared" si="184"/>
        <v>175095.98790041151</v>
      </c>
      <c r="Q61" s="31">
        <f t="shared" si="184"/>
        <v>198396.80763514293</v>
      </c>
      <c r="V61" s="36">
        <f t="shared" si="182"/>
        <v>-278754.6875</v>
      </c>
      <c r="W61" s="31">
        <f>W37+W59+W60</f>
        <v>-161885.09104127527</v>
      </c>
      <c r="X61" s="31">
        <f t="shared" ref="X61:AN61" si="185">X37+X59+X60</f>
        <v>620198.06288213143</v>
      </c>
      <c r="Y61" s="31">
        <f t="shared" si="185"/>
        <v>470282.31736520806</v>
      </c>
      <c r="Z61" s="31">
        <f t="shared" si="185"/>
        <v>590862.76256793586</v>
      </c>
      <c r="AA61" s="31">
        <f t="shared" si="185"/>
        <v>496428.49200163659</v>
      </c>
      <c r="AB61" s="31">
        <f t="shared" si="185"/>
        <v>41293.966600760628</v>
      </c>
      <c r="AC61" s="31">
        <f t="shared" si="185"/>
        <v>-33464.737768830571</v>
      </c>
      <c r="AD61" s="31">
        <f t="shared" si="185"/>
        <v>-23235.966241456685</v>
      </c>
      <c r="AE61" s="31">
        <f t="shared" si="185"/>
        <v>-14049.957653695225</v>
      </c>
      <c r="AF61" s="31">
        <f t="shared" si="185"/>
        <v>-5739.1383272727135</v>
      </c>
      <c r="AG61" s="31">
        <f t="shared" si="185"/>
        <v>1826.7564011850845</v>
      </c>
      <c r="AH61" s="31">
        <f t="shared" si="185"/>
        <v>8741.7388259527215</v>
      </c>
      <c r="AI61" s="31">
        <f t="shared" si="185"/>
        <v>15088.97899483423</v>
      </c>
      <c r="AJ61" s="31">
        <f t="shared" si="185"/>
        <v>20925.958827744984</v>
      </c>
      <c r="AK61" s="31">
        <f t="shared" si="185"/>
        <v>26303.207549020473</v>
      </c>
      <c r="AL61" s="31">
        <f t="shared" si="185"/>
        <v>31264.038484317534</v>
      </c>
      <c r="AM61" s="31">
        <f t="shared" si="185"/>
        <v>35847.060131542603</v>
      </c>
      <c r="AN61" s="31">
        <f t="shared" si="185"/>
        <v>-64560.892622005616</v>
      </c>
    </row>
    <row r="63" spans="1:42">
      <c r="A63" s="4" t="s">
        <v>62</v>
      </c>
      <c r="B63" s="1">
        <v>147654</v>
      </c>
      <c r="C63" s="1">
        <f>B64</f>
        <v>95991</v>
      </c>
      <c r="D63" s="1">
        <f>C64</f>
        <v>85136</v>
      </c>
      <c r="E63" s="1">
        <f>D64</f>
        <v>94417</v>
      </c>
      <c r="F63" s="1">
        <v>104526</v>
      </c>
      <c r="G63" s="1">
        <f>F64</f>
        <v>82523</v>
      </c>
      <c r="H63" s="28">
        <f t="shared" ref="H63:Q63" si="186">G64</f>
        <v>70121</v>
      </c>
      <c r="I63" s="29">
        <f t="shared" si="186"/>
        <v>54102.600000000006</v>
      </c>
      <c r="J63" s="29">
        <f t="shared" si="186"/>
        <v>38704.625</v>
      </c>
      <c r="K63" s="29">
        <f t="shared" si="186"/>
        <v>20840.981249999997</v>
      </c>
      <c r="L63" s="29">
        <f t="shared" si="186"/>
        <v>6434.2265625</v>
      </c>
      <c r="M63" s="29">
        <f t="shared" si="186"/>
        <v>-8404.2267968749948</v>
      </c>
      <c r="N63" s="29">
        <f t="shared" si="186"/>
        <v>96538.644554427869</v>
      </c>
      <c r="O63" s="29">
        <f t="shared" si="186"/>
        <v>253462.41378966195</v>
      </c>
      <c r="P63" s="29">
        <f t="shared" si="186"/>
        <v>453499.57957983785</v>
      </c>
      <c r="Q63" s="29">
        <f t="shared" si="186"/>
        <v>683798.95247857086</v>
      </c>
      <c r="U63" s="1">
        <f>B63</f>
        <v>147654</v>
      </c>
      <c r="V63" s="26">
        <f>F63</f>
        <v>104526</v>
      </c>
      <c r="W63" s="29">
        <f>V64</f>
        <v>38704.625</v>
      </c>
      <c r="X63" s="29">
        <f>W64</f>
        <v>96538.644554427869</v>
      </c>
      <c r="Y63" s="29">
        <f>X64</f>
        <v>937378.33193778759</v>
      </c>
    </row>
    <row r="64" spans="1:42">
      <c r="A64" s="4" t="s">
        <v>61</v>
      </c>
      <c r="B64" s="1">
        <f t="shared" ref="B64:G64" si="187">B63+B57</f>
        <v>95991</v>
      </c>
      <c r="C64" s="1">
        <f t="shared" si="187"/>
        <v>85136</v>
      </c>
      <c r="D64" s="1">
        <f t="shared" si="187"/>
        <v>94417</v>
      </c>
      <c r="E64" s="1">
        <f t="shared" si="187"/>
        <v>104526</v>
      </c>
      <c r="F64" s="1">
        <f t="shared" si="187"/>
        <v>82523</v>
      </c>
      <c r="G64" s="1">
        <f t="shared" si="187"/>
        <v>70121</v>
      </c>
      <c r="H64" s="28">
        <f t="shared" ref="H64:Q64" si="188">H63+H57</f>
        <v>54102.600000000006</v>
      </c>
      <c r="I64" s="29">
        <f t="shared" si="188"/>
        <v>38704.625</v>
      </c>
      <c r="J64" s="29">
        <f t="shared" si="188"/>
        <v>20840.981249999997</v>
      </c>
      <c r="K64" s="29">
        <f t="shared" si="188"/>
        <v>6434.2265625</v>
      </c>
      <c r="L64" s="29">
        <f t="shared" si="188"/>
        <v>-8404.2267968749948</v>
      </c>
      <c r="M64" s="29">
        <f t="shared" si="188"/>
        <v>96538.644554427869</v>
      </c>
      <c r="N64" s="29">
        <f t="shared" si="188"/>
        <v>253462.41378966195</v>
      </c>
      <c r="O64" s="29">
        <f t="shared" si="188"/>
        <v>453499.57957983785</v>
      </c>
      <c r="P64" s="29">
        <f t="shared" si="188"/>
        <v>683798.95247857086</v>
      </c>
      <c r="Q64" s="29">
        <f t="shared" si="188"/>
        <v>937378.33193778759</v>
      </c>
      <c r="U64" s="1">
        <f>103961+565</f>
        <v>104526</v>
      </c>
      <c r="V64" s="28">
        <f>I64</f>
        <v>38704.625</v>
      </c>
      <c r="W64" s="29">
        <f>M64</f>
        <v>96538.644554427869</v>
      </c>
      <c r="X64" s="29">
        <f>Q64</f>
        <v>937378.33193778759</v>
      </c>
    </row>
    <row r="66" spans="1:1">
      <c r="A66" s="4" t="s">
        <v>76</v>
      </c>
    </row>
  </sheetData>
  <hyperlinks>
    <hyperlink ref="A5" location="Main!A1" display="Main" xr:uid="{5DFF891C-4516-A646-8294-71AE761C4C50}"/>
    <hyperlink ref="A6" location="'NPV &amp; DCF Valuation'!A1" display="NPV &amp; DCF Valuation" xr:uid="{7267C64F-B712-F644-BC02-A8D88788ADC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AB75-76E0-E145-AC67-AB67F86F2D1C}">
  <dimension ref="A2:U31"/>
  <sheetViews>
    <sheetView workbookViewId="0">
      <selection activeCell="E32" sqref="E32"/>
    </sheetView>
  </sheetViews>
  <sheetFormatPr baseColWidth="10" defaultRowHeight="16"/>
  <cols>
    <col min="1" max="1" width="10.83203125" style="9"/>
    <col min="2" max="2" width="21.5" style="9" customWidth="1"/>
    <col min="3" max="3" width="15.1640625" style="9" customWidth="1"/>
    <col min="4" max="4" width="11" style="9" bestFit="1" customWidth="1"/>
    <col min="5" max="20" width="11.6640625" style="9" bestFit="1" customWidth="1"/>
    <col min="21" max="21" width="11" style="9" bestFit="1" customWidth="1"/>
    <col min="22" max="16384" width="10.83203125" style="9"/>
  </cols>
  <sheetData>
    <row r="2" spans="1:21" ht="18">
      <c r="A2" s="63" t="s">
        <v>0</v>
      </c>
    </row>
    <row r="3" spans="1:21">
      <c r="A3" s="4" t="s">
        <v>143</v>
      </c>
    </row>
    <row r="5" spans="1:21">
      <c r="A5" s="9" t="s">
        <v>146</v>
      </c>
    </row>
    <row r="6" spans="1:21">
      <c r="A6" s="9" t="s">
        <v>145</v>
      </c>
      <c r="C6" s="10" t="s">
        <v>112</v>
      </c>
      <c r="D6" s="11" t="s">
        <v>113</v>
      </c>
      <c r="E6" s="11" t="s">
        <v>73</v>
      </c>
      <c r="F6" s="11" t="s">
        <v>75</v>
      </c>
      <c r="G6" s="11" t="s">
        <v>105</v>
      </c>
      <c r="H6" s="11" t="s">
        <v>85</v>
      </c>
      <c r="I6" s="11" t="s">
        <v>86</v>
      </c>
      <c r="J6" s="11" t="s">
        <v>87</v>
      </c>
      <c r="K6" s="11" t="s">
        <v>88</v>
      </c>
      <c r="L6" s="11" t="s">
        <v>89</v>
      </c>
      <c r="M6" s="11" t="s">
        <v>90</v>
      </c>
      <c r="N6" s="11" t="s">
        <v>91</v>
      </c>
      <c r="O6" s="11" t="s">
        <v>97</v>
      </c>
      <c r="P6" s="11" t="s">
        <v>98</v>
      </c>
      <c r="Q6" s="11" t="s">
        <v>99</v>
      </c>
      <c r="R6" s="11" t="s">
        <v>100</v>
      </c>
      <c r="S6" s="11" t="s">
        <v>101</v>
      </c>
      <c r="T6" s="11" t="s">
        <v>102</v>
      </c>
      <c r="U6" s="12" t="s">
        <v>103</v>
      </c>
    </row>
    <row r="7" spans="1:21">
      <c r="C7" s="13">
        <v>2022</v>
      </c>
      <c r="D7" s="14">
        <v>2023</v>
      </c>
      <c r="E7" s="14">
        <v>2024</v>
      </c>
      <c r="F7" s="14">
        <f>E7+1</f>
        <v>2025</v>
      </c>
      <c r="G7" s="14">
        <f t="shared" ref="G7:U7" si="0">F7+1</f>
        <v>2026</v>
      </c>
      <c r="H7" s="14">
        <f t="shared" si="0"/>
        <v>2027</v>
      </c>
      <c r="I7" s="14">
        <f t="shared" si="0"/>
        <v>2028</v>
      </c>
      <c r="J7" s="14">
        <f t="shared" si="0"/>
        <v>2029</v>
      </c>
      <c r="K7" s="14">
        <f t="shared" si="0"/>
        <v>2030</v>
      </c>
      <c r="L7" s="14">
        <f t="shared" si="0"/>
        <v>2031</v>
      </c>
      <c r="M7" s="14">
        <f t="shared" si="0"/>
        <v>2032</v>
      </c>
      <c r="N7" s="14">
        <f t="shared" si="0"/>
        <v>2033</v>
      </c>
      <c r="O7" s="14">
        <f t="shared" si="0"/>
        <v>2034</v>
      </c>
      <c r="P7" s="14">
        <f t="shared" si="0"/>
        <v>2035</v>
      </c>
      <c r="Q7" s="14">
        <f t="shared" si="0"/>
        <v>2036</v>
      </c>
      <c r="R7" s="14">
        <f t="shared" si="0"/>
        <v>2037</v>
      </c>
      <c r="S7" s="14">
        <f t="shared" si="0"/>
        <v>2038</v>
      </c>
      <c r="T7" s="14">
        <f t="shared" si="0"/>
        <v>2039</v>
      </c>
      <c r="U7" s="15">
        <f t="shared" si="0"/>
        <v>2040</v>
      </c>
    </row>
    <row r="8" spans="1:21">
      <c r="B8" s="16" t="s">
        <v>106</v>
      </c>
      <c r="C8" s="8">
        <f>Model!V19</f>
        <v>0</v>
      </c>
      <c r="D8" s="8">
        <f>Model!W19</f>
        <v>119436.69055052161</v>
      </c>
      <c r="E8" s="8">
        <f>Model!X19</f>
        <v>1050955.2907310745</v>
      </c>
      <c r="F8" s="8">
        <f>Model!Y19</f>
        <v>984780.34354301402</v>
      </c>
      <c r="G8" s="8">
        <f>Model!Z19</f>
        <v>1134377.4556955702</v>
      </c>
      <c r="H8" s="8">
        <f>Model!AA19</f>
        <v>970437.88151904615</v>
      </c>
      <c r="I8" s="8">
        <f>Model!AB19</f>
        <v>284521.0186052128</v>
      </c>
      <c r="J8" s="8">
        <f>Model!AC19</f>
        <v>159320.97622495214</v>
      </c>
      <c r="K8" s="8">
        <f>Model!AD19</f>
        <v>160392.58573497128</v>
      </c>
      <c r="L8" s="8">
        <f>Model!AE19</f>
        <v>161035.55144098276</v>
      </c>
      <c r="M8" s="8">
        <f>Model!AF19</f>
        <v>161421.33086458966</v>
      </c>
      <c r="N8" s="8">
        <f>Model!AG19</f>
        <v>161652.79851875379</v>
      </c>
      <c r="O8" s="8">
        <f>Model!AH19</f>
        <v>161791.67911125225</v>
      </c>
      <c r="P8" s="8">
        <f>Model!AI19</f>
        <v>161875.00746675135</v>
      </c>
      <c r="Q8" s="8">
        <f>Model!AJ19</f>
        <v>161925.00448005085</v>
      </c>
      <c r="R8" s="8">
        <f>Model!AK19</f>
        <v>161955.00268803048</v>
      </c>
      <c r="S8" s="8">
        <f>Model!AL19</f>
        <v>161973.00161281831</v>
      </c>
      <c r="T8" s="8">
        <f>Model!AM19</f>
        <v>161983.800967691</v>
      </c>
      <c r="U8" s="8">
        <f>Model!AN19</f>
        <v>8099.514029030729</v>
      </c>
    </row>
    <row r="9" spans="1:21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B10" s="9" t="s">
        <v>38</v>
      </c>
      <c r="C10" s="8">
        <f>Model!V29</f>
        <v>-268502</v>
      </c>
      <c r="D10" s="8">
        <f>Model!W29</f>
        <v>-169522.81303205661</v>
      </c>
      <c r="E10" s="8">
        <f>Model!X29</f>
        <v>630267.99712141335</v>
      </c>
      <c r="F10" s="8">
        <f>Model!Y29</f>
        <v>600323.69201156194</v>
      </c>
      <c r="G10" s="8">
        <f>Model!Z29</f>
        <v>751155.19734123466</v>
      </c>
      <c r="H10" s="8">
        <f>Model!AA29</f>
        <v>633113.1232911892</v>
      </c>
      <c r="I10" s="8">
        <f>Model!AB29</f>
        <v>64189.648214430868</v>
      </c>
      <c r="J10" s="8">
        <f>Model!AC29</f>
        <v>-29281.612788790691</v>
      </c>
      <c r="K10" s="8">
        <f>Model!AD29</f>
        <v>-16476.019850274402</v>
      </c>
      <c r="L10" s="8">
        <f>Model!AE29</f>
        <v>-4995.4606605146546</v>
      </c>
      <c r="M10" s="8">
        <f>Model!AF29</f>
        <v>5390.4330268787162</v>
      </c>
      <c r="N10" s="8">
        <f>Model!AG29</f>
        <v>14845.842930573344</v>
      </c>
      <c r="O10" s="8">
        <f>Model!AH29</f>
        <v>23492.842963244009</v>
      </c>
      <c r="P10" s="8">
        <f>Model!AI29</f>
        <v>31426.076044160058</v>
      </c>
      <c r="Q10" s="8">
        <f>Model!AJ29</f>
        <v>38721.767308801718</v>
      </c>
      <c r="R10" s="8">
        <f>Model!AK29</f>
        <v>45443.318919933809</v>
      </c>
      <c r="S10" s="8">
        <f>Model!AL29</f>
        <v>51644.835602696694</v>
      </c>
      <c r="T10" s="8">
        <f>Model!AM29</f>
        <v>57373.392178352195</v>
      </c>
      <c r="U10" s="8">
        <f>Model!AN29</f>
        <v>-68136.620085256407</v>
      </c>
    </row>
    <row r="11" spans="1:21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B12" s="9" t="s">
        <v>95</v>
      </c>
      <c r="C12" s="8">
        <f>Model!V37</f>
        <v>-269470.6875</v>
      </c>
      <c r="D12" s="8">
        <f>Model!W37</f>
        <v>-152601.09104127527</v>
      </c>
      <c r="E12" s="8">
        <f>Model!X37</f>
        <v>629482.06288213143</v>
      </c>
      <c r="F12" s="8">
        <f>Model!Y37</f>
        <v>479566.31736520806</v>
      </c>
      <c r="G12" s="8">
        <f>Model!Z37</f>
        <v>600146.76256793586</v>
      </c>
      <c r="H12" s="8">
        <f>Model!AA37</f>
        <v>505712.49200163659</v>
      </c>
      <c r="I12" s="8">
        <f>Model!AB37</f>
        <v>50577.966600760628</v>
      </c>
      <c r="J12" s="8">
        <f>Model!AC37</f>
        <v>-24180.737768830571</v>
      </c>
      <c r="K12" s="8">
        <f>Model!AD37</f>
        <v>-13951.966241456685</v>
      </c>
      <c r="L12" s="8">
        <f>Model!AE37</f>
        <v>-4765.9576536952245</v>
      </c>
      <c r="M12" s="8">
        <f>Model!AF37</f>
        <v>3544.8616727272865</v>
      </c>
      <c r="N12" s="8">
        <f>Model!AG37</f>
        <v>11110.756401185085</v>
      </c>
      <c r="O12" s="8">
        <f>Model!AH37</f>
        <v>18025.738825952722</v>
      </c>
      <c r="P12" s="8">
        <f>Model!AI37</f>
        <v>24372.97899483423</v>
      </c>
      <c r="Q12" s="8">
        <f>Model!AJ37</f>
        <v>30209.958827744984</v>
      </c>
      <c r="R12" s="8">
        <f>Model!AK37</f>
        <v>35587.207549020473</v>
      </c>
      <c r="S12" s="8">
        <f>Model!AL37</f>
        <v>40548.038484317534</v>
      </c>
      <c r="T12" s="8">
        <f>Model!AM37</f>
        <v>45131.060131542603</v>
      </c>
      <c r="U12" s="8">
        <f>Model!AN37</f>
        <v>-55276.892622005616</v>
      </c>
    </row>
    <row r="13" spans="1:21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>
      <c r="B14" s="9" t="s">
        <v>115</v>
      </c>
      <c r="C14" s="8">
        <f>Model!V61</f>
        <v>-278754.6875</v>
      </c>
      <c r="D14" s="8">
        <f>Model!W61</f>
        <v>-161885.09104127527</v>
      </c>
      <c r="E14" s="8">
        <f>Model!X61</f>
        <v>620198.06288213143</v>
      </c>
      <c r="F14" s="8">
        <f>Model!Y61</f>
        <v>470282.31736520806</v>
      </c>
      <c r="G14" s="8">
        <f>Model!Z61</f>
        <v>590862.76256793586</v>
      </c>
      <c r="H14" s="8">
        <f>Model!AA61</f>
        <v>496428.49200163659</v>
      </c>
      <c r="I14" s="8">
        <f>Model!AB61</f>
        <v>41293.966600760628</v>
      </c>
      <c r="J14" s="8">
        <f>Model!AC61</f>
        <v>-33464.737768830571</v>
      </c>
      <c r="K14" s="8">
        <f>Model!AD61</f>
        <v>-23235.966241456685</v>
      </c>
      <c r="L14" s="8">
        <f>Model!AE61</f>
        <v>-14049.957653695225</v>
      </c>
      <c r="M14" s="8">
        <f>Model!AF61</f>
        <v>-5739.1383272727135</v>
      </c>
      <c r="N14" s="8">
        <f>Model!AG61</f>
        <v>1826.7564011850845</v>
      </c>
      <c r="O14" s="8">
        <f>Model!AH61</f>
        <v>8741.7388259527215</v>
      </c>
      <c r="P14" s="8">
        <f>Model!AI61</f>
        <v>15088.97899483423</v>
      </c>
      <c r="Q14" s="8">
        <f>Model!AJ61</f>
        <v>20925.958827744984</v>
      </c>
      <c r="R14" s="8">
        <f>Model!AK61</f>
        <v>26303.207549020473</v>
      </c>
      <c r="S14" s="8">
        <f>Model!AL61</f>
        <v>31264.038484317534</v>
      </c>
      <c r="T14" s="8">
        <f>Model!AM61</f>
        <v>35847.060131542603</v>
      </c>
      <c r="U14" s="8">
        <f>Model!AN61</f>
        <v>-64560.892622005616</v>
      </c>
    </row>
    <row r="17" spans="2:3">
      <c r="B17" s="23" t="s">
        <v>117</v>
      </c>
      <c r="C17" s="24"/>
    </row>
    <row r="18" spans="2:3">
      <c r="B18" s="17" t="s">
        <v>107</v>
      </c>
      <c r="C18" s="18">
        <v>0.1</v>
      </c>
    </row>
    <row r="19" spans="2:3">
      <c r="B19" s="17" t="s">
        <v>108</v>
      </c>
      <c r="C19" s="18">
        <v>0.02</v>
      </c>
    </row>
    <row r="20" spans="2:3">
      <c r="B20" s="17" t="s">
        <v>109</v>
      </c>
      <c r="C20" s="19">
        <f>NPV('rNPV &amp; DCF'!C18,SUM(C12:U12)-Model!G37-Model!F37)</f>
        <v>1895108.9722524856</v>
      </c>
    </row>
    <row r="21" spans="2:3">
      <c r="B21" s="17" t="s">
        <v>110</v>
      </c>
      <c r="C21" s="19">
        <f>C20+Model!G64</f>
        <v>1965229.9722524856</v>
      </c>
    </row>
    <row r="22" spans="2:3">
      <c r="B22" s="17" t="s">
        <v>32</v>
      </c>
      <c r="C22" s="20">
        <f>Model!G50</f>
        <v>49.436171999999999</v>
      </c>
    </row>
    <row r="23" spans="2:3">
      <c r="B23" s="13" t="s">
        <v>111</v>
      </c>
      <c r="C23" s="21">
        <f>C21/C22/1000</f>
        <v>39.752875126587185</v>
      </c>
    </row>
    <row r="25" spans="2:3">
      <c r="B25" s="23" t="s">
        <v>116</v>
      </c>
      <c r="C25" s="22"/>
    </row>
    <row r="26" spans="2:3">
      <c r="B26" s="17" t="s">
        <v>107</v>
      </c>
      <c r="C26" s="18">
        <v>0.1</v>
      </c>
    </row>
    <row r="27" spans="2:3">
      <c r="B27" s="17" t="s">
        <v>108</v>
      </c>
      <c r="C27" s="18">
        <v>0.02</v>
      </c>
    </row>
    <row r="28" spans="2:3">
      <c r="B28" s="17" t="s">
        <v>109</v>
      </c>
      <c r="C28" s="19">
        <f>NPV('rNPV &amp; DCF'!C26,SUM(C14:U14)-Model!G37-Model!F37)</f>
        <v>1734748.9722524856</v>
      </c>
    </row>
    <row r="29" spans="2:3">
      <c r="B29" s="17" t="s">
        <v>110</v>
      </c>
      <c r="C29" s="19">
        <f>C28+Model!G72</f>
        <v>1734748.9722524856</v>
      </c>
    </row>
    <row r="30" spans="2:3">
      <c r="B30" s="17" t="s">
        <v>32</v>
      </c>
      <c r="C30" s="20">
        <f>Model!G50</f>
        <v>49.436171999999999</v>
      </c>
    </row>
    <row r="31" spans="2:3">
      <c r="B31" s="13" t="s">
        <v>111</v>
      </c>
      <c r="C31" s="21">
        <f>C29/C30/1000</f>
        <v>35.090681621798822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Main</vt:lpstr>
      <vt:lpstr>Model</vt:lpstr>
      <vt:lpstr>rNPV &amp; 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evan domingos - 2023</cp:lastModifiedBy>
  <dcterms:created xsi:type="dcterms:W3CDTF">2022-09-04T00:28:47Z</dcterms:created>
  <dcterms:modified xsi:type="dcterms:W3CDTF">2022-09-16T03:41:18Z</dcterms:modified>
</cp:coreProperties>
</file>