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WhiteSky/Models/"/>
    </mc:Choice>
  </mc:AlternateContent>
  <xr:revisionPtr revIDLastSave="0" documentId="13_ncr:1_{64BFD02E-FE66-FF41-B5FA-ABAC69608349}" xr6:coauthVersionLast="47" xr6:coauthVersionMax="47" xr10:uidLastSave="{00000000-0000-0000-0000-000000000000}"/>
  <bookViews>
    <workbookView xWindow="0" yWindow="760" windowWidth="30240" windowHeight="18880" activeTab="3" xr2:uid="{18048FD7-44F7-4941-A5AD-71B4AD0B2AD2}"/>
  </bookViews>
  <sheets>
    <sheet name="Drivers" sheetId="1" r:id="rId1"/>
    <sheet name="Model" sheetId="3" r:id="rId2"/>
    <sheet name="Valuation" sheetId="6" r:id="rId3"/>
    <sheet name="Schedule" sheetId="5" r:id="rId4"/>
    <sheet name="Research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06" i="5" l="1"/>
  <c r="K102" i="5"/>
  <c r="K101" i="5"/>
  <c r="K100" i="5"/>
  <c r="K104" i="5"/>
  <c r="K105" i="5"/>
  <c r="K106" i="5" s="1"/>
  <c r="K103" i="5"/>
  <c r="X102" i="5"/>
  <c r="K97" i="5"/>
  <c r="K89" i="5"/>
  <c r="G89" i="5"/>
  <c r="G86" i="5"/>
  <c r="G87" i="5"/>
  <c r="G88" i="5"/>
  <c r="G85" i="5"/>
  <c r="K85" i="5"/>
  <c r="K86" i="5"/>
  <c r="K87" i="5"/>
  <c r="K88" i="5"/>
  <c r="X89" i="5"/>
  <c r="W69" i="5"/>
  <c r="X69" i="5"/>
  <c r="H69" i="5"/>
  <c r="I69" i="5"/>
  <c r="J69" i="5"/>
  <c r="K69" i="5"/>
  <c r="X73" i="5"/>
  <c r="X50" i="5"/>
  <c r="X51" i="5"/>
  <c r="X52" i="5"/>
  <c r="X53" i="5"/>
  <c r="X49" i="5"/>
  <c r="X54" i="5" s="1"/>
  <c r="X75" i="5" s="1"/>
  <c r="K82" i="5"/>
  <c r="K72" i="5"/>
  <c r="K74" i="5"/>
  <c r="K57" i="5"/>
  <c r="K61" i="5"/>
  <c r="K63" i="5"/>
  <c r="K54" i="5"/>
  <c r="K75" i="5" s="1"/>
  <c r="K70" i="5" s="1"/>
  <c r="K45" i="5"/>
  <c r="K44" i="5"/>
  <c r="K43" i="5"/>
  <c r="K42" i="5"/>
  <c r="K35" i="5"/>
  <c r="K7" i="5"/>
  <c r="K9" i="5" s="1"/>
  <c r="K28" i="5"/>
  <c r="K29" i="5"/>
  <c r="K23" i="5"/>
  <c r="K13" i="5"/>
  <c r="K27" i="5" s="1"/>
  <c r="W14" i="5"/>
  <c r="W12" i="5"/>
  <c r="W7" i="5"/>
  <c r="D92" i="3"/>
  <c r="E92" i="3"/>
  <c r="F92" i="3"/>
  <c r="G92" i="3"/>
  <c r="H92" i="3"/>
  <c r="I92" i="3"/>
  <c r="C92" i="3"/>
  <c r="W92" i="3"/>
  <c r="I85" i="3"/>
  <c r="I88" i="3"/>
  <c r="I89" i="3"/>
  <c r="I91" i="3"/>
  <c r="I87" i="3"/>
  <c r="I82" i="3"/>
  <c r="I83" i="3"/>
  <c r="I84" i="3"/>
  <c r="I81" i="3"/>
  <c r="I69" i="3"/>
  <c r="I70" i="3"/>
  <c r="I71" i="3"/>
  <c r="I72" i="3"/>
  <c r="I73" i="3"/>
  <c r="I74" i="3"/>
  <c r="I75" i="3"/>
  <c r="I76" i="3"/>
  <c r="I77" i="3"/>
  <c r="I78" i="3"/>
  <c r="I68" i="3"/>
  <c r="W95" i="3"/>
  <c r="W85" i="3"/>
  <c r="C60" i="3"/>
  <c r="D60" i="3"/>
  <c r="E60" i="3"/>
  <c r="F60" i="3"/>
  <c r="G60" i="3"/>
  <c r="H60" i="3"/>
  <c r="B60" i="3"/>
  <c r="I60" i="3"/>
  <c r="I52" i="3"/>
  <c r="I47" i="3"/>
  <c r="I53" i="3" s="1"/>
  <c r="I33" i="3"/>
  <c r="I40" i="3" s="1"/>
  <c r="I23" i="3"/>
  <c r="I18" i="3"/>
  <c r="I17" i="3"/>
  <c r="I16" i="3"/>
  <c r="I13" i="3"/>
  <c r="J13" i="3" s="1"/>
  <c r="K13" i="3" s="1"/>
  <c r="L13" i="3" s="1"/>
  <c r="M13" i="3" s="1"/>
  <c r="N13" i="3" s="1"/>
  <c r="O13" i="3" s="1"/>
  <c r="P13" i="3" s="1"/>
  <c r="Q13" i="3" s="1"/>
  <c r="I6" i="3"/>
  <c r="I8" i="3" s="1"/>
  <c r="W19" i="3"/>
  <c r="K120" i="5"/>
  <c r="W8" i="3"/>
  <c r="W11" i="3" s="1"/>
  <c r="K118" i="5"/>
  <c r="L120" i="5"/>
  <c r="M120" i="5" s="1"/>
  <c r="K115" i="5"/>
  <c r="L115" i="5" s="1"/>
  <c r="K116" i="5"/>
  <c r="L116" i="5" s="1"/>
  <c r="M116" i="5" s="1"/>
  <c r="N116" i="5" s="1"/>
  <c r="O116" i="5" s="1"/>
  <c r="P116" i="5" s="1"/>
  <c r="Q116" i="5" s="1"/>
  <c r="R116" i="5" s="1"/>
  <c r="S116" i="5" s="1"/>
  <c r="K117" i="5"/>
  <c r="L117" i="5" s="1"/>
  <c r="M117" i="5" s="1"/>
  <c r="N117" i="5" s="1"/>
  <c r="O117" i="5" s="1"/>
  <c r="P117" i="5" s="1"/>
  <c r="Q117" i="5" s="1"/>
  <c r="R117" i="5" s="1"/>
  <c r="S117" i="5" s="1"/>
  <c r="K119" i="5"/>
  <c r="L119" i="5" s="1"/>
  <c r="M119" i="5" s="1"/>
  <c r="N119" i="5" s="1"/>
  <c r="O119" i="5" s="1"/>
  <c r="P119" i="5" s="1"/>
  <c r="Q119" i="5" s="1"/>
  <c r="R119" i="5" s="1"/>
  <c r="S119" i="5" s="1"/>
  <c r="K114" i="5"/>
  <c r="L114" i="5" s="1"/>
  <c r="AC19" i="1"/>
  <c r="AD19" i="1" s="1"/>
  <c r="AE19" i="1" s="1"/>
  <c r="AF19" i="1" s="1"/>
  <c r="AG19" i="1" s="1"/>
  <c r="AH19" i="1" s="1"/>
  <c r="AI19" i="1" s="1"/>
  <c r="AJ19" i="1" s="1"/>
  <c r="AK19" i="1" s="1"/>
  <c r="Y118" i="5"/>
  <c r="Z118" i="5"/>
  <c r="AA118" i="5" s="1"/>
  <c r="C10" i="6"/>
  <c r="C8" i="6"/>
  <c r="C9" i="6" s="1"/>
  <c r="C11" i="6" s="1"/>
  <c r="J8" i="3"/>
  <c r="X18" i="3"/>
  <c r="Y18" i="3"/>
  <c r="Y17" i="3"/>
  <c r="X17" i="3"/>
  <c r="Y16" i="3"/>
  <c r="X16" i="3"/>
  <c r="U14" i="3"/>
  <c r="Z19" i="3"/>
  <c r="AA19" i="3"/>
  <c r="AB19" i="3"/>
  <c r="AC19" i="3"/>
  <c r="AD19" i="3"/>
  <c r="AE19" i="3"/>
  <c r="AF19" i="3"/>
  <c r="AG19" i="3"/>
  <c r="AH19" i="3"/>
  <c r="AI19" i="3"/>
  <c r="AJ19" i="3"/>
  <c r="U19" i="3"/>
  <c r="C19" i="3"/>
  <c r="D19" i="3"/>
  <c r="F19" i="3"/>
  <c r="G19" i="3"/>
  <c r="H19" i="3"/>
  <c r="J19" i="3"/>
  <c r="K19" i="3"/>
  <c r="L19" i="3"/>
  <c r="M19" i="3"/>
  <c r="N19" i="3"/>
  <c r="O19" i="3"/>
  <c r="P19" i="3"/>
  <c r="Q19" i="3"/>
  <c r="B19" i="3"/>
  <c r="H14" i="3"/>
  <c r="G14" i="3"/>
  <c r="F14" i="3"/>
  <c r="D14" i="3"/>
  <c r="C14" i="3"/>
  <c r="B14" i="3"/>
  <c r="B15" i="3" s="1"/>
  <c r="H42" i="5"/>
  <c r="D42" i="5"/>
  <c r="H43" i="5"/>
  <c r="H44" i="5"/>
  <c r="E45" i="5"/>
  <c r="F45" i="5"/>
  <c r="G45" i="5"/>
  <c r="H45" i="5"/>
  <c r="I45" i="5"/>
  <c r="J45" i="5"/>
  <c r="D44" i="5"/>
  <c r="D45" i="5"/>
  <c r="D43" i="5"/>
  <c r="E35" i="5"/>
  <c r="F35" i="5"/>
  <c r="H35" i="5"/>
  <c r="I35" i="5"/>
  <c r="J35" i="5"/>
  <c r="D35" i="5"/>
  <c r="U8" i="3"/>
  <c r="U11" i="3" s="1"/>
  <c r="D8" i="3"/>
  <c r="D11" i="3" s="1"/>
  <c r="F8" i="3"/>
  <c r="J6" i="3" s="1"/>
  <c r="N6" i="3" s="1"/>
  <c r="N11" i="3" s="1"/>
  <c r="G8" i="3"/>
  <c r="K6" i="3" s="1"/>
  <c r="O6" i="3" s="1"/>
  <c r="O11" i="3" s="1"/>
  <c r="H8" i="3"/>
  <c r="L6" i="3" s="1"/>
  <c r="P6" i="3" s="1"/>
  <c r="P11" i="3" s="1"/>
  <c r="C8" i="3"/>
  <c r="C11" i="3" s="1"/>
  <c r="B17" i="2"/>
  <c r="B18" i="2" s="1"/>
  <c r="K46" i="5" l="1"/>
  <c r="Y19" i="3"/>
  <c r="I19" i="3"/>
  <c r="O8" i="3"/>
  <c r="N8" i="3"/>
  <c r="K8" i="3"/>
  <c r="P8" i="3"/>
  <c r="L8" i="3"/>
  <c r="I62" i="3"/>
  <c r="I63" i="3" s="1"/>
  <c r="AB118" i="5"/>
  <c r="AC118" i="5" s="1"/>
  <c r="AD118" i="5" s="1"/>
  <c r="AE118" i="5" s="1"/>
  <c r="AF118" i="5" s="1"/>
  <c r="AG118" i="5" s="1"/>
  <c r="AH118" i="5" s="1"/>
  <c r="AI118" i="5" s="1"/>
  <c r="AJ118" i="5" s="1"/>
  <c r="AK118" i="5" s="1"/>
  <c r="Y119" i="5"/>
  <c r="Z116" i="5"/>
  <c r="AA116" i="5" s="1"/>
  <c r="AB116" i="5" s="1"/>
  <c r="AC116" i="5" s="1"/>
  <c r="AD116" i="5" s="1"/>
  <c r="Y116" i="5"/>
  <c r="X121" i="5"/>
  <c r="Z117" i="5"/>
  <c r="AA117" i="5" s="1"/>
  <c r="AB117" i="5" s="1"/>
  <c r="AC117" i="5" s="1"/>
  <c r="AD117" i="5" s="1"/>
  <c r="AE117" i="5" s="1"/>
  <c r="AF117" i="5" s="1"/>
  <c r="AG117" i="5" s="1"/>
  <c r="AH117" i="5" s="1"/>
  <c r="AI117" i="5" s="1"/>
  <c r="AJ117" i="5" s="1"/>
  <c r="AK117" i="5" s="1"/>
  <c r="Y117" i="5"/>
  <c r="Z119" i="5"/>
  <c r="AA119" i="5" s="1"/>
  <c r="AB119" i="5" s="1"/>
  <c r="AC119" i="5" s="1"/>
  <c r="AD119" i="5" s="1"/>
  <c r="AE119" i="5" s="1"/>
  <c r="AF119" i="5" s="1"/>
  <c r="AG119" i="5" s="1"/>
  <c r="AH119" i="5" s="1"/>
  <c r="AI119" i="5" s="1"/>
  <c r="AJ119" i="5" s="1"/>
  <c r="AK119" i="5" s="1"/>
  <c r="U15" i="3"/>
  <c r="U20" i="3" s="1"/>
  <c r="U22" i="3" s="1"/>
  <c r="B20" i="3"/>
  <c r="B22" i="3" s="1"/>
  <c r="X19" i="3"/>
  <c r="X13" i="3"/>
  <c r="Y13" i="3"/>
  <c r="Z13" i="3" s="1"/>
  <c r="C15" i="3"/>
  <c r="C20" i="3" s="1"/>
  <c r="C22" i="3" s="1"/>
  <c r="D15" i="3"/>
  <c r="D20" i="3" s="1"/>
  <c r="D22" i="3" s="1"/>
  <c r="J11" i="3"/>
  <c r="L11" i="3"/>
  <c r="F11" i="3"/>
  <c r="F15" i="3" s="1"/>
  <c r="F20" i="3" s="1"/>
  <c r="F22" i="3" s="1"/>
  <c r="H11" i="3"/>
  <c r="H15" i="3" s="1"/>
  <c r="H20" i="3" s="1"/>
  <c r="H22" i="3" s="1"/>
  <c r="K11" i="3"/>
  <c r="G11" i="3"/>
  <c r="G15" i="3" s="1"/>
  <c r="G20" i="3" s="1"/>
  <c r="G22" i="3" s="1"/>
  <c r="H46" i="5"/>
  <c r="D46" i="5"/>
  <c r="L121" i="5"/>
  <c r="J12" i="3" s="1"/>
  <c r="M115" i="5"/>
  <c r="N120" i="5"/>
  <c r="O120" i="5" s="1"/>
  <c r="P120" i="5" s="1"/>
  <c r="K121" i="5"/>
  <c r="I12" i="3" s="1"/>
  <c r="F14" i="2"/>
  <c r="G14" i="2" s="1"/>
  <c r="F15" i="2" s="1"/>
  <c r="G15" i="2" s="1"/>
  <c r="F16" i="2" s="1"/>
  <c r="G16" i="2" s="1"/>
  <c r="H148" i="5"/>
  <c r="D148" i="5"/>
  <c r="C144" i="5"/>
  <c r="C143" i="5"/>
  <c r="E143" i="5"/>
  <c r="F143" i="5"/>
  <c r="G143" i="5"/>
  <c r="H143" i="5"/>
  <c r="I143" i="5"/>
  <c r="J143" i="5"/>
  <c r="E144" i="5"/>
  <c r="F144" i="5"/>
  <c r="G144" i="5"/>
  <c r="H144" i="5"/>
  <c r="I144" i="5"/>
  <c r="J144" i="5"/>
  <c r="D144" i="5"/>
  <c r="D143" i="5"/>
  <c r="W146" i="5"/>
  <c r="W145" i="5"/>
  <c r="F138" i="5"/>
  <c r="G140" i="5"/>
  <c r="W140" i="5" s="1"/>
  <c r="H140" i="5"/>
  <c r="H138" i="5" s="1"/>
  <c r="H139" i="5" s="1"/>
  <c r="I140" i="5"/>
  <c r="I138" i="5" s="1"/>
  <c r="I139" i="5" s="1"/>
  <c r="J140" i="5"/>
  <c r="J138" i="5" s="1"/>
  <c r="J139" i="5" s="1"/>
  <c r="C140" i="5"/>
  <c r="V140" i="5" s="1"/>
  <c r="E140" i="5"/>
  <c r="F140" i="5"/>
  <c r="D140" i="5"/>
  <c r="C138" i="5"/>
  <c r="V138" i="5" s="1"/>
  <c r="G138" i="5"/>
  <c r="E138" i="5"/>
  <c r="D138" i="5"/>
  <c r="F14" i="5"/>
  <c r="F13" i="5" s="1"/>
  <c r="V9" i="5"/>
  <c r="E9" i="5"/>
  <c r="F9" i="5"/>
  <c r="G9" i="5"/>
  <c r="H9" i="5"/>
  <c r="I9" i="5"/>
  <c r="J9" i="5"/>
  <c r="D9" i="5"/>
  <c r="W132" i="5"/>
  <c r="W134" i="5" s="1"/>
  <c r="V132" i="5"/>
  <c r="V134" i="5" s="1"/>
  <c r="D97" i="5"/>
  <c r="C80" i="5"/>
  <c r="C81" i="5"/>
  <c r="C79" i="5"/>
  <c r="C78" i="5"/>
  <c r="D82" i="5"/>
  <c r="D54" i="5"/>
  <c r="D75" i="5" s="1"/>
  <c r="D13" i="5"/>
  <c r="D18" i="5"/>
  <c r="D23" i="5"/>
  <c r="D29" i="5"/>
  <c r="D28" i="5"/>
  <c r="E97" i="5"/>
  <c r="E82" i="5"/>
  <c r="V74" i="5"/>
  <c r="C73" i="5"/>
  <c r="F60" i="5"/>
  <c r="F58" i="5"/>
  <c r="E58" i="5"/>
  <c r="E60" i="5"/>
  <c r="E61" i="5"/>
  <c r="E59" i="5"/>
  <c r="E57" i="5"/>
  <c r="F61" i="5"/>
  <c r="F59" i="5"/>
  <c r="F57" i="5"/>
  <c r="E54" i="5"/>
  <c r="E75" i="5" s="1"/>
  <c r="C51" i="5"/>
  <c r="D59" i="5" s="1"/>
  <c r="C52" i="5"/>
  <c r="D60" i="5" s="1"/>
  <c r="C53" i="5"/>
  <c r="D61" i="5" s="1"/>
  <c r="C50" i="5"/>
  <c r="D58" i="5" s="1"/>
  <c r="C49" i="5"/>
  <c r="D57" i="5" s="1"/>
  <c r="E13" i="5"/>
  <c r="E18" i="5"/>
  <c r="E23" i="5"/>
  <c r="E29" i="5"/>
  <c r="E28" i="5"/>
  <c r="G96" i="5"/>
  <c r="G95" i="5"/>
  <c r="G94" i="5"/>
  <c r="W89" i="5"/>
  <c r="V89" i="5"/>
  <c r="G105" i="5"/>
  <c r="G104" i="5"/>
  <c r="G103" i="5"/>
  <c r="G101" i="5"/>
  <c r="G100" i="5"/>
  <c r="W106" i="5"/>
  <c r="V106" i="5"/>
  <c r="W102" i="5"/>
  <c r="V102" i="5"/>
  <c r="W97" i="5"/>
  <c r="W82" i="5"/>
  <c r="W73" i="5"/>
  <c r="G57" i="5"/>
  <c r="W51" i="5"/>
  <c r="W59" i="5" s="1"/>
  <c r="W52" i="5"/>
  <c r="W60" i="5" s="1"/>
  <c r="W53" i="5"/>
  <c r="W61" i="5" s="1"/>
  <c r="W50" i="5"/>
  <c r="W58" i="5" s="1"/>
  <c r="W49" i="5"/>
  <c r="V18" i="5"/>
  <c r="V13" i="5"/>
  <c r="W25" i="5"/>
  <c r="W24" i="5"/>
  <c r="W20" i="5"/>
  <c r="W19" i="5"/>
  <c r="W15" i="5"/>
  <c r="W17" i="5"/>
  <c r="W22" i="5"/>
  <c r="W9" i="5"/>
  <c r="G116" i="5"/>
  <c r="G118" i="5"/>
  <c r="G119" i="5"/>
  <c r="G120" i="5"/>
  <c r="G115" i="5"/>
  <c r="G114" i="5"/>
  <c r="W121" i="5"/>
  <c r="V121" i="5"/>
  <c r="H63" i="5"/>
  <c r="D63" i="5"/>
  <c r="F97" i="5"/>
  <c r="V82" i="5"/>
  <c r="C82" i="5" s="1"/>
  <c r="F82" i="5"/>
  <c r="G61" i="5"/>
  <c r="G59" i="5"/>
  <c r="V54" i="5"/>
  <c r="V75" i="5" s="1"/>
  <c r="F54" i="5"/>
  <c r="F75" i="5" s="1"/>
  <c r="V23" i="5"/>
  <c r="V29" i="5"/>
  <c r="V28" i="5"/>
  <c r="F18" i="5"/>
  <c r="F23" i="5"/>
  <c r="F29" i="5"/>
  <c r="F33" i="5" s="1"/>
  <c r="F34" i="5" s="1"/>
  <c r="V31" i="5"/>
  <c r="U92" i="3"/>
  <c r="U85" i="3"/>
  <c r="U77" i="3"/>
  <c r="V34" i="3"/>
  <c r="V56" i="3"/>
  <c r="V57" i="3"/>
  <c r="V58" i="3"/>
  <c r="V55" i="3"/>
  <c r="V50" i="3"/>
  <c r="V49" i="3"/>
  <c r="U47" i="3"/>
  <c r="V43" i="3"/>
  <c r="V44" i="3"/>
  <c r="V45" i="3"/>
  <c r="V46" i="3"/>
  <c r="V42" i="3"/>
  <c r="V36" i="3"/>
  <c r="V37" i="3"/>
  <c r="V38" i="3"/>
  <c r="V39" i="3"/>
  <c r="V35" i="3"/>
  <c r="V30" i="3"/>
  <c r="V32" i="3"/>
  <c r="V29" i="3"/>
  <c r="H74" i="5"/>
  <c r="D74" i="5"/>
  <c r="D106" i="5"/>
  <c r="D102" i="5"/>
  <c r="D121" i="5"/>
  <c r="H121" i="5"/>
  <c r="H106" i="5"/>
  <c r="H102" i="5"/>
  <c r="H97" i="5"/>
  <c r="I97" i="5"/>
  <c r="H82" i="5"/>
  <c r="I57" i="5"/>
  <c r="J57" i="5"/>
  <c r="J58" i="5"/>
  <c r="I60" i="5"/>
  <c r="I61" i="5"/>
  <c r="J61" i="5"/>
  <c r="H60" i="5"/>
  <c r="H61" i="5"/>
  <c r="H58" i="5"/>
  <c r="H57" i="5"/>
  <c r="X57" i="5" s="1"/>
  <c r="H18" i="5"/>
  <c r="H13" i="5"/>
  <c r="H23" i="5"/>
  <c r="H29" i="5"/>
  <c r="H28" i="5"/>
  <c r="E121" i="5"/>
  <c r="I121" i="5"/>
  <c r="E106" i="5"/>
  <c r="I106" i="5"/>
  <c r="E102" i="5"/>
  <c r="I102" i="5"/>
  <c r="I82" i="5"/>
  <c r="H54" i="5"/>
  <c r="H75" i="5" s="1"/>
  <c r="I54" i="5"/>
  <c r="I75" i="5" s="1"/>
  <c r="I29" i="5"/>
  <c r="I28" i="5"/>
  <c r="I13" i="5"/>
  <c r="I23" i="5"/>
  <c r="J121" i="5"/>
  <c r="F121" i="5"/>
  <c r="F106" i="5"/>
  <c r="J106" i="5"/>
  <c r="F102" i="5"/>
  <c r="J102" i="5"/>
  <c r="J97" i="5"/>
  <c r="J82" i="5"/>
  <c r="G82" i="5"/>
  <c r="G54" i="5"/>
  <c r="G75" i="5" s="1"/>
  <c r="J54" i="5"/>
  <c r="J75" i="5" s="1"/>
  <c r="G28" i="5"/>
  <c r="G13" i="5"/>
  <c r="G18" i="5"/>
  <c r="G23" i="5"/>
  <c r="G29" i="5"/>
  <c r="G33" i="5" s="1"/>
  <c r="J29" i="5"/>
  <c r="J13" i="5"/>
  <c r="J23" i="5"/>
  <c r="J28" i="5"/>
  <c r="V18" i="3"/>
  <c r="V17" i="3"/>
  <c r="V88" i="3"/>
  <c r="V92" i="3" s="1"/>
  <c r="V85" i="3"/>
  <c r="E72" i="3"/>
  <c r="V77" i="3"/>
  <c r="E78" i="3"/>
  <c r="D57" i="2"/>
  <c r="D56" i="2"/>
  <c r="E57" i="2"/>
  <c r="C55" i="2"/>
  <c r="I33" i="5" l="1"/>
  <c r="I34" i="5" s="1"/>
  <c r="X61" i="5"/>
  <c r="X58" i="5"/>
  <c r="X60" i="5"/>
  <c r="Y120" i="5"/>
  <c r="J33" i="5"/>
  <c r="J34" i="5" s="1"/>
  <c r="E33" i="5"/>
  <c r="E34" i="5" s="1"/>
  <c r="K62" i="5"/>
  <c r="K33" i="5"/>
  <c r="K34" i="5" s="1"/>
  <c r="U67" i="3"/>
  <c r="U24" i="3"/>
  <c r="C67" i="3"/>
  <c r="C24" i="3"/>
  <c r="B67" i="3"/>
  <c r="B24" i="3"/>
  <c r="Z14" i="3"/>
  <c r="AA13" i="3"/>
  <c r="H33" i="5"/>
  <c r="H34" i="5" s="1"/>
  <c r="Q120" i="5"/>
  <c r="R120" i="5" s="1"/>
  <c r="S120" i="5" s="1"/>
  <c r="N115" i="5"/>
  <c r="O115" i="5" s="1"/>
  <c r="O121" i="5" s="1"/>
  <c r="M12" i="3" s="1"/>
  <c r="M14" i="3" s="1"/>
  <c r="AE116" i="5"/>
  <c r="D67" i="3"/>
  <c r="D24" i="3"/>
  <c r="G67" i="3"/>
  <c r="G24" i="3"/>
  <c r="H67" i="3"/>
  <c r="H24" i="3"/>
  <c r="F67" i="3"/>
  <c r="F24" i="3"/>
  <c r="D31" i="5"/>
  <c r="J14" i="3"/>
  <c r="J15" i="3" s="1"/>
  <c r="J20" i="3" s="1"/>
  <c r="J22" i="3" s="1"/>
  <c r="J24" i="3" s="1"/>
  <c r="M121" i="5"/>
  <c r="K12" i="3" s="1"/>
  <c r="K14" i="3" s="1"/>
  <c r="K15" i="3" s="1"/>
  <c r="K20" i="3" s="1"/>
  <c r="K22" i="3" s="1"/>
  <c r="K24" i="3" s="1"/>
  <c r="V52" i="3"/>
  <c r="H146" i="5"/>
  <c r="F145" i="5"/>
  <c r="I145" i="5"/>
  <c r="V33" i="3"/>
  <c r="V40" i="3" s="1"/>
  <c r="G145" i="5"/>
  <c r="V47" i="3"/>
  <c r="D146" i="5"/>
  <c r="E145" i="5"/>
  <c r="V60" i="3"/>
  <c r="D145" i="5"/>
  <c r="J146" i="5"/>
  <c r="H145" i="5"/>
  <c r="F146" i="5"/>
  <c r="E146" i="5"/>
  <c r="J145" i="5"/>
  <c r="G146" i="5"/>
  <c r="I146" i="5"/>
  <c r="D139" i="5"/>
  <c r="D141" i="5" s="1"/>
  <c r="G139" i="5"/>
  <c r="W139" i="5" s="1"/>
  <c r="W138" i="5"/>
  <c r="C139" i="5"/>
  <c r="E139" i="5"/>
  <c r="E141" i="5" s="1"/>
  <c r="F139" i="5"/>
  <c r="F141" i="5" s="1"/>
  <c r="F28" i="5"/>
  <c r="G31" i="5"/>
  <c r="J31" i="5"/>
  <c r="K37" i="5" s="1"/>
  <c r="K38" i="5" s="1"/>
  <c r="H31" i="5"/>
  <c r="H37" i="5" s="1"/>
  <c r="H38" i="5" s="1"/>
  <c r="D27" i="5"/>
  <c r="I31" i="5"/>
  <c r="E31" i="5"/>
  <c r="F31" i="5"/>
  <c r="V27" i="5"/>
  <c r="G27" i="5"/>
  <c r="G97" i="5"/>
  <c r="G69" i="5"/>
  <c r="D70" i="5"/>
  <c r="C54" i="5"/>
  <c r="C75" i="5" s="1"/>
  <c r="E62" i="5"/>
  <c r="F62" i="5"/>
  <c r="E27" i="5"/>
  <c r="G102" i="5"/>
  <c r="G106" i="5"/>
  <c r="W18" i="5"/>
  <c r="W29" i="5"/>
  <c r="W13" i="5"/>
  <c r="W54" i="5"/>
  <c r="W31" i="5"/>
  <c r="W23" i="5"/>
  <c r="W57" i="5"/>
  <c r="W28" i="5"/>
  <c r="G121" i="5"/>
  <c r="G62" i="5"/>
  <c r="F27" i="5"/>
  <c r="H70" i="5"/>
  <c r="J62" i="5"/>
  <c r="H62" i="5"/>
  <c r="I62" i="5"/>
  <c r="H27" i="5"/>
  <c r="I27" i="5"/>
  <c r="J27" i="5"/>
  <c r="C56" i="2"/>
  <c r="D58" i="2"/>
  <c r="C57" i="2"/>
  <c r="F57" i="2" s="1"/>
  <c r="G57" i="2"/>
  <c r="E56" i="2"/>
  <c r="G56" i="2" s="1"/>
  <c r="C48" i="2"/>
  <c r="X62" i="5" l="1"/>
  <c r="N121" i="5"/>
  <c r="L12" i="3" s="1"/>
  <c r="L14" i="3" s="1"/>
  <c r="L15" i="3" s="1"/>
  <c r="L20" i="3" s="1"/>
  <c r="L22" i="3" s="1"/>
  <c r="L24" i="3" s="1"/>
  <c r="P115" i="5"/>
  <c r="P121" i="5" s="1"/>
  <c r="N12" i="3" s="1"/>
  <c r="Y115" i="5"/>
  <c r="Y121" i="5" s="1"/>
  <c r="Z120" i="5"/>
  <c r="AA120" i="5" s="1"/>
  <c r="AB120" i="5" s="1"/>
  <c r="AC120" i="5" s="1"/>
  <c r="AD120" i="5" s="1"/>
  <c r="AE120" i="5" s="1"/>
  <c r="AF120" i="5" s="1"/>
  <c r="AG120" i="5" s="1"/>
  <c r="AH120" i="5" s="1"/>
  <c r="AI120" i="5" s="1"/>
  <c r="AJ120" i="5" s="1"/>
  <c r="AK120" i="5" s="1"/>
  <c r="V53" i="3"/>
  <c r="AA14" i="3"/>
  <c r="AB13" i="3"/>
  <c r="AC13" i="3" s="1"/>
  <c r="E37" i="5"/>
  <c r="E38" i="5" s="1"/>
  <c r="I37" i="5"/>
  <c r="I38" i="5" s="1"/>
  <c r="AF116" i="5"/>
  <c r="F37" i="5"/>
  <c r="F38" i="5" s="1"/>
  <c r="J37" i="5"/>
  <c r="J38" i="5" s="1"/>
  <c r="G37" i="5"/>
  <c r="X12" i="3"/>
  <c r="X14" i="3" s="1"/>
  <c r="Q115" i="5"/>
  <c r="V62" i="3"/>
  <c r="V63" i="3" s="1"/>
  <c r="G141" i="5"/>
  <c r="W141" i="5" s="1"/>
  <c r="C141" i="5"/>
  <c r="V141" i="5" s="1"/>
  <c r="V139" i="5"/>
  <c r="D62" i="5"/>
  <c r="W62" i="5"/>
  <c r="W75" i="5"/>
  <c r="W27" i="5"/>
  <c r="F56" i="2"/>
  <c r="E58" i="2"/>
  <c r="G58" i="2" s="1"/>
  <c r="C58" i="2"/>
  <c r="G89" i="3"/>
  <c r="H89" i="3" s="1"/>
  <c r="G87" i="3"/>
  <c r="G84" i="3"/>
  <c r="I63" i="5" s="1"/>
  <c r="G82" i="3"/>
  <c r="G81" i="3"/>
  <c r="G78" i="3"/>
  <c r="H78" i="3" s="1"/>
  <c r="G77" i="3"/>
  <c r="G76" i="3"/>
  <c r="H76" i="3" s="1"/>
  <c r="G75" i="3"/>
  <c r="H75" i="3" s="1"/>
  <c r="G74" i="3"/>
  <c r="H74" i="3" s="1"/>
  <c r="G73" i="3"/>
  <c r="H73" i="3" s="1"/>
  <c r="G71" i="3"/>
  <c r="H71" i="3" s="1"/>
  <c r="G70" i="3"/>
  <c r="G69" i="3"/>
  <c r="H69" i="3" s="1"/>
  <c r="G68" i="3"/>
  <c r="C76" i="3"/>
  <c r="D76" i="3" s="1"/>
  <c r="E76" i="3" s="1"/>
  <c r="C88" i="3"/>
  <c r="D88" i="3" s="1"/>
  <c r="C90" i="3"/>
  <c r="C89" i="3"/>
  <c r="D89" i="3" s="1"/>
  <c r="E89" i="3" s="1"/>
  <c r="C87" i="3"/>
  <c r="E87" i="3" s="1"/>
  <c r="C84" i="3"/>
  <c r="E63" i="5" s="1"/>
  <c r="C82" i="3"/>
  <c r="E44" i="5" s="1"/>
  <c r="C81" i="3"/>
  <c r="C77" i="3"/>
  <c r="C75" i="3"/>
  <c r="D75" i="3" s="1"/>
  <c r="E75" i="3" s="1"/>
  <c r="C74" i="3"/>
  <c r="D74" i="3" s="1"/>
  <c r="E74" i="3" s="1"/>
  <c r="C73" i="3"/>
  <c r="D73" i="3" s="1"/>
  <c r="E73" i="3" s="1"/>
  <c r="C71" i="3"/>
  <c r="D71" i="3" s="1"/>
  <c r="E71" i="3" s="1"/>
  <c r="C70" i="3"/>
  <c r="E42" i="5" s="1"/>
  <c r="C69" i="3"/>
  <c r="C68" i="3"/>
  <c r="E74" i="5" s="1"/>
  <c r="F79" i="3"/>
  <c r="B92" i="3"/>
  <c r="B85" i="3"/>
  <c r="B95" i="3"/>
  <c r="F85" i="3"/>
  <c r="D47" i="3"/>
  <c r="D33" i="3"/>
  <c r="D40" i="3" s="1"/>
  <c r="B52" i="3"/>
  <c r="D52" i="3"/>
  <c r="E52" i="3"/>
  <c r="F52" i="3"/>
  <c r="G52" i="3"/>
  <c r="H52" i="3"/>
  <c r="C52" i="3"/>
  <c r="C47" i="3"/>
  <c r="C33" i="3"/>
  <c r="C40" i="3" s="1"/>
  <c r="B33" i="3"/>
  <c r="B40" i="3" s="1"/>
  <c r="B47" i="3"/>
  <c r="U79" i="3"/>
  <c r="U94" i="3" s="1"/>
  <c r="U96" i="3" s="1"/>
  <c r="V95" i="3" s="1"/>
  <c r="E23" i="3"/>
  <c r="V23" i="3" s="1"/>
  <c r="E16" i="3"/>
  <c r="E19" i="3" s="1"/>
  <c r="E13" i="3"/>
  <c r="V13" i="3" s="1"/>
  <c r="E12" i="3"/>
  <c r="E6" i="3"/>
  <c r="E8" i="3" s="1"/>
  <c r="U52" i="3"/>
  <c r="U60" i="3"/>
  <c r="U33" i="3"/>
  <c r="U40" i="3" s="1"/>
  <c r="G47" i="3"/>
  <c r="G33" i="3"/>
  <c r="G40" i="3" s="1"/>
  <c r="F47" i="3"/>
  <c r="F33" i="3"/>
  <c r="F40" i="3" s="1"/>
  <c r="E47" i="3"/>
  <c r="E33" i="3"/>
  <c r="E40" i="3" s="1"/>
  <c r="H47" i="3"/>
  <c r="H33" i="3"/>
  <c r="H40" i="3" s="1"/>
  <c r="E70" i="5" l="1"/>
  <c r="AB14" i="3"/>
  <c r="AC14" i="3"/>
  <c r="AD13" i="3"/>
  <c r="AG116" i="5"/>
  <c r="N14" i="3"/>
  <c r="N15" i="3" s="1"/>
  <c r="N20" i="3" s="1"/>
  <c r="N22" i="3" s="1"/>
  <c r="N24" i="3" s="1"/>
  <c r="E11" i="3"/>
  <c r="V12" i="3"/>
  <c r="V14" i="3" s="1"/>
  <c r="E14" i="3"/>
  <c r="V16" i="3"/>
  <c r="V19" i="3" s="1"/>
  <c r="G35" i="5"/>
  <c r="H81" i="3"/>
  <c r="J43" i="5" s="1"/>
  <c r="I43" i="5"/>
  <c r="D81" i="3"/>
  <c r="F43" i="5" s="1"/>
  <c r="E43" i="5"/>
  <c r="E46" i="5" s="1"/>
  <c r="H70" i="3"/>
  <c r="J42" i="5" s="1"/>
  <c r="I42" i="5"/>
  <c r="H82" i="3"/>
  <c r="J44" i="5" s="1"/>
  <c r="I44" i="5"/>
  <c r="V6" i="3"/>
  <c r="V8" i="3" s="1"/>
  <c r="V11" i="3" s="1"/>
  <c r="R115" i="5"/>
  <c r="Q121" i="5"/>
  <c r="O12" i="3" s="1"/>
  <c r="O14" i="3" s="1"/>
  <c r="O15" i="3" s="1"/>
  <c r="O20" i="3" s="1"/>
  <c r="O22" i="3" s="1"/>
  <c r="O24" i="3" s="1"/>
  <c r="D77" i="3"/>
  <c r="E148" i="5"/>
  <c r="H77" i="3"/>
  <c r="J148" i="5" s="1"/>
  <c r="I148" i="5"/>
  <c r="H84" i="3"/>
  <c r="J63" i="5" s="1"/>
  <c r="X63" i="5" s="1"/>
  <c r="F58" i="2"/>
  <c r="D82" i="3"/>
  <c r="H68" i="3"/>
  <c r="J74" i="5" s="1"/>
  <c r="J70" i="5" s="1"/>
  <c r="I74" i="5"/>
  <c r="I70" i="5" s="1"/>
  <c r="D84" i="3"/>
  <c r="F63" i="5" s="1"/>
  <c r="G79" i="3"/>
  <c r="G85" i="3"/>
  <c r="D69" i="3"/>
  <c r="E69" i="3" s="1"/>
  <c r="E88" i="3"/>
  <c r="D70" i="3"/>
  <c r="C85" i="3"/>
  <c r="B79" i="3"/>
  <c r="B94" i="3" s="1"/>
  <c r="B96" i="3" s="1"/>
  <c r="C95" i="3" s="1"/>
  <c r="D68" i="3"/>
  <c r="V11" i="1"/>
  <c r="H11" i="1"/>
  <c r="W11" i="1"/>
  <c r="I11" i="1"/>
  <c r="U11" i="1"/>
  <c r="J11" i="1"/>
  <c r="C11" i="1"/>
  <c r="B11" i="1"/>
  <c r="D11" i="1"/>
  <c r="G11" i="1"/>
  <c r="E11" i="1"/>
  <c r="F11" i="1"/>
  <c r="C79" i="3"/>
  <c r="D53" i="3"/>
  <c r="D62" i="3" s="1"/>
  <c r="D63" i="3" s="1"/>
  <c r="U53" i="3"/>
  <c r="U62" i="3" s="1"/>
  <c r="U63" i="3" s="1"/>
  <c r="C53" i="3"/>
  <c r="C62" i="3" s="1"/>
  <c r="C63" i="3" s="1"/>
  <c r="E53" i="3"/>
  <c r="F94" i="3"/>
  <c r="H53" i="3"/>
  <c r="B53" i="3"/>
  <c r="B62" i="3" s="1"/>
  <c r="B63" i="3" s="1"/>
  <c r="F53" i="3"/>
  <c r="G53" i="3"/>
  <c r="F62" i="3" l="1"/>
  <c r="F63" i="3" s="1"/>
  <c r="G62" i="3"/>
  <c r="G63" i="3" s="1"/>
  <c r="H62" i="3"/>
  <c r="H63" i="3" s="1"/>
  <c r="E62" i="3"/>
  <c r="E63" i="3" s="1"/>
  <c r="G38" i="5"/>
  <c r="G34" i="5"/>
  <c r="AE13" i="3"/>
  <c r="AD14" i="3"/>
  <c r="AH116" i="5"/>
  <c r="V15" i="3"/>
  <c r="V20" i="3" s="1"/>
  <c r="V22" i="3" s="1"/>
  <c r="J46" i="5"/>
  <c r="I46" i="5"/>
  <c r="E15" i="3"/>
  <c r="E20" i="3" s="1"/>
  <c r="E22" i="3" s="1"/>
  <c r="M6" i="3"/>
  <c r="I11" i="3"/>
  <c r="E82" i="3"/>
  <c r="G44" i="5" s="1"/>
  <c r="F44" i="5"/>
  <c r="F46" i="5" s="1"/>
  <c r="E81" i="3"/>
  <c r="G43" i="5" s="1"/>
  <c r="E70" i="3"/>
  <c r="G42" i="5" s="1"/>
  <c r="F42" i="5"/>
  <c r="S115" i="5"/>
  <c r="S121" i="5" s="1"/>
  <c r="Q12" i="3" s="1"/>
  <c r="Q14" i="3" s="1"/>
  <c r="R121" i="5"/>
  <c r="P12" i="3" s="1"/>
  <c r="P14" i="3" s="1"/>
  <c r="P15" i="3" s="1"/>
  <c r="P20" i="3" s="1"/>
  <c r="P22" i="3" s="1"/>
  <c r="P24" i="3" s="1"/>
  <c r="H79" i="3"/>
  <c r="E77" i="3"/>
  <c r="G148" i="5" s="1"/>
  <c r="F148" i="5"/>
  <c r="H85" i="3"/>
  <c r="G12" i="1"/>
  <c r="G13" i="1"/>
  <c r="H13" i="1"/>
  <c r="H12" i="1"/>
  <c r="D13" i="1"/>
  <c r="D12" i="1"/>
  <c r="V13" i="1"/>
  <c r="V12" i="1"/>
  <c r="B13" i="1"/>
  <c r="B12" i="1"/>
  <c r="C13" i="1"/>
  <c r="C12" i="1"/>
  <c r="K11" i="1"/>
  <c r="J13" i="1"/>
  <c r="J12" i="1"/>
  <c r="U13" i="1"/>
  <c r="U12" i="1"/>
  <c r="F12" i="1"/>
  <c r="F13" i="1"/>
  <c r="I12" i="1"/>
  <c r="I13" i="1"/>
  <c r="E13" i="1"/>
  <c r="E12" i="1"/>
  <c r="X11" i="1"/>
  <c r="Y11" i="1" s="1"/>
  <c r="W12" i="1"/>
  <c r="W13" i="1"/>
  <c r="G94" i="3"/>
  <c r="E68" i="3"/>
  <c r="G74" i="5" s="1"/>
  <c r="G70" i="5" s="1"/>
  <c r="F74" i="5"/>
  <c r="X74" i="5" s="1"/>
  <c r="X70" i="5" s="1"/>
  <c r="E84" i="3"/>
  <c r="G63" i="5" s="1"/>
  <c r="W63" i="5" s="1"/>
  <c r="D85" i="3"/>
  <c r="V69" i="3"/>
  <c r="D79" i="3"/>
  <c r="C94" i="3"/>
  <c r="C96" i="3" s="1"/>
  <c r="D95" i="3" s="1"/>
  <c r="V67" i="3" l="1"/>
  <c r="V24" i="3"/>
  <c r="AE14" i="3"/>
  <c r="AF13" i="3"/>
  <c r="X8" i="3"/>
  <c r="X11" i="3" s="1"/>
  <c r="X15" i="3" s="1"/>
  <c r="X20" i="3" s="1"/>
  <c r="X22" i="3" s="1"/>
  <c r="X24" i="3" s="1"/>
  <c r="X6" i="3"/>
  <c r="M8" i="3"/>
  <c r="Z115" i="5"/>
  <c r="AI116" i="5"/>
  <c r="E67" i="3"/>
  <c r="E24" i="3"/>
  <c r="Y12" i="3"/>
  <c r="Y14" i="3" s="1"/>
  <c r="G46" i="5"/>
  <c r="V70" i="3"/>
  <c r="Q6" i="3"/>
  <c r="M11" i="3"/>
  <c r="M15" i="3" s="1"/>
  <c r="M20" i="3" s="1"/>
  <c r="M22" i="3" s="1"/>
  <c r="M24" i="3" s="1"/>
  <c r="H94" i="3"/>
  <c r="D94" i="3"/>
  <c r="D96" i="3" s="1"/>
  <c r="E95" i="3" s="1"/>
  <c r="E85" i="3"/>
  <c r="V68" i="3"/>
  <c r="L11" i="1"/>
  <c r="M11" i="1"/>
  <c r="N11" i="1"/>
  <c r="O11" i="1"/>
  <c r="K8" i="1"/>
  <c r="X8" i="1" s="1"/>
  <c r="X13" i="1" s="1"/>
  <c r="K7" i="1"/>
  <c r="X7" i="1" s="1"/>
  <c r="X12" i="1" s="1"/>
  <c r="Z11" i="1"/>
  <c r="F70" i="5"/>
  <c r="W74" i="5"/>
  <c r="W70" i="5" s="1"/>
  <c r="E79" i="3"/>
  <c r="C5" i="6" l="1"/>
  <c r="AG13" i="3"/>
  <c r="AF14" i="3"/>
  <c r="Q8" i="3"/>
  <c r="Y6" i="3"/>
  <c r="Z6" i="3" s="1"/>
  <c r="Z8" i="3" s="1"/>
  <c r="Z11" i="3" s="1"/>
  <c r="Z15" i="3" s="1"/>
  <c r="Z20" i="3" s="1"/>
  <c r="Z22" i="3" s="1"/>
  <c r="Z121" i="5"/>
  <c r="AA115" i="5"/>
  <c r="AJ116" i="5"/>
  <c r="Q11" i="3"/>
  <c r="Q15" i="3" s="1"/>
  <c r="Q20" i="3" s="1"/>
  <c r="Q22" i="3" s="1"/>
  <c r="Q24" i="3" s="1"/>
  <c r="Y8" i="3"/>
  <c r="Y11" i="3" s="1"/>
  <c r="Y15" i="3" s="1"/>
  <c r="Y20" i="3" s="1"/>
  <c r="Y22" i="3" s="1"/>
  <c r="V79" i="3"/>
  <c r="V94" i="3" s="1"/>
  <c r="V96" i="3" s="1"/>
  <c r="E94" i="3"/>
  <c r="E96" i="3" s="1"/>
  <c r="F95" i="3" s="1"/>
  <c r="F96" i="3" s="1"/>
  <c r="G95" i="3" s="1"/>
  <c r="G96" i="3" s="1"/>
  <c r="H95" i="3" s="1"/>
  <c r="H96" i="3" s="1"/>
  <c r="I95" i="3" s="1"/>
  <c r="S11" i="1"/>
  <c r="P11" i="1"/>
  <c r="Q11" i="1"/>
  <c r="R11" i="1"/>
  <c r="AA11" i="1"/>
  <c r="O8" i="1"/>
  <c r="O7" i="1"/>
  <c r="N7" i="1"/>
  <c r="N8" i="1"/>
  <c r="M8" i="1"/>
  <c r="M7" i="1"/>
  <c r="L7" i="1"/>
  <c r="L8" i="1"/>
  <c r="AG14" i="3" l="1"/>
  <c r="AH13" i="3"/>
  <c r="D5" i="6"/>
  <c r="Y24" i="3"/>
  <c r="Z24" i="3"/>
  <c r="E5" i="6"/>
  <c r="AB115" i="5"/>
  <c r="AA121" i="5"/>
  <c r="AK116" i="5"/>
  <c r="Y8" i="1"/>
  <c r="Y13" i="1" s="1"/>
  <c r="Y7" i="1"/>
  <c r="Y12" i="1" s="1"/>
  <c r="P7" i="1"/>
  <c r="P8" i="1"/>
  <c r="AB11" i="1"/>
  <c r="AB18" i="1" s="1"/>
  <c r="AB20" i="1" s="1"/>
  <c r="AA4" i="3" s="1"/>
  <c r="AA8" i="3" s="1"/>
  <c r="AA8" i="1"/>
  <c r="AA7" i="1"/>
  <c r="R7" i="1"/>
  <c r="R8" i="1"/>
  <c r="Q7" i="1"/>
  <c r="Q8" i="1"/>
  <c r="S7" i="1"/>
  <c r="S8" i="1"/>
  <c r="AH14" i="3" l="1"/>
  <c r="AI13" i="3"/>
  <c r="AA9" i="3"/>
  <c r="AA11" i="3" s="1"/>
  <c r="AA15" i="3" s="1"/>
  <c r="AA20" i="3" s="1"/>
  <c r="AA22" i="3" s="1"/>
  <c r="AC115" i="5"/>
  <c r="AB121" i="5"/>
  <c r="AC11" i="1"/>
  <c r="AC18" i="1" s="1"/>
  <c r="AC20" i="1" s="1"/>
  <c r="AB7" i="1"/>
  <c r="AB8" i="1"/>
  <c r="Z8" i="1"/>
  <c r="Z13" i="1" s="1"/>
  <c r="Z7" i="1"/>
  <c r="Z12" i="1" s="1"/>
  <c r="AJ13" i="3" l="1"/>
  <c r="AJ14" i="3" s="1"/>
  <c r="AI14" i="3"/>
  <c r="AA24" i="3"/>
  <c r="F5" i="6"/>
  <c r="AB4" i="3"/>
  <c r="AB8" i="3" s="1"/>
  <c r="AC30" i="1"/>
  <c r="AD115" i="5"/>
  <c r="AC121" i="5"/>
  <c r="AD11" i="1"/>
  <c r="AD18" i="1" s="1"/>
  <c r="AD20" i="1" s="1"/>
  <c r="AC4" i="3" s="1"/>
  <c r="AC8" i="3" s="1"/>
  <c r="AC7" i="1"/>
  <c r="AC8" i="1"/>
  <c r="AC9" i="3" l="1"/>
  <c r="AC11" i="3" s="1"/>
  <c r="AC15" i="3" s="1"/>
  <c r="AC20" i="3" s="1"/>
  <c r="AC22" i="3" s="1"/>
  <c r="AD30" i="1"/>
  <c r="AB9" i="3"/>
  <c r="AB11" i="3" s="1"/>
  <c r="AB15" i="3" s="1"/>
  <c r="AB20" i="3" s="1"/>
  <c r="AB22" i="3" s="1"/>
  <c r="AE115" i="5"/>
  <c r="AD121" i="5"/>
  <c r="AE11" i="1"/>
  <c r="AE18" i="1" s="1"/>
  <c r="AE20" i="1" s="1"/>
  <c r="AD7" i="1"/>
  <c r="AD8" i="1"/>
  <c r="H5" i="6" l="1"/>
  <c r="AC24" i="3"/>
  <c r="AD4" i="3"/>
  <c r="AD8" i="3" s="1"/>
  <c r="AE30" i="1"/>
  <c r="AB24" i="3"/>
  <c r="G5" i="6"/>
  <c r="AF115" i="5"/>
  <c r="AE121" i="5"/>
  <c r="AF11" i="1"/>
  <c r="AF18" i="1" s="1"/>
  <c r="AF20" i="1" s="1"/>
  <c r="AE8" i="1"/>
  <c r="AE7" i="1"/>
  <c r="AE4" i="3" l="1"/>
  <c r="AE8" i="3" s="1"/>
  <c r="AF30" i="1"/>
  <c r="AD9" i="3"/>
  <c r="AD11" i="3" s="1"/>
  <c r="AD15" i="3" s="1"/>
  <c r="AD20" i="3" s="1"/>
  <c r="AD22" i="3" s="1"/>
  <c r="AG115" i="5"/>
  <c r="AF121" i="5"/>
  <c r="AG11" i="1"/>
  <c r="AG18" i="1" s="1"/>
  <c r="AG20" i="1" s="1"/>
  <c r="AF7" i="1"/>
  <c r="AF8" i="1"/>
  <c r="I5" i="6" l="1"/>
  <c r="AD24" i="3"/>
  <c r="AF4" i="3"/>
  <c r="AF8" i="3" s="1"/>
  <c r="AG30" i="1"/>
  <c r="AE9" i="3"/>
  <c r="AE11" i="3" s="1"/>
  <c r="AE15" i="3" s="1"/>
  <c r="AE20" i="3" s="1"/>
  <c r="AE22" i="3" s="1"/>
  <c r="AH115" i="5"/>
  <c r="AG121" i="5"/>
  <c r="AH11" i="1"/>
  <c r="AH18" i="1" s="1"/>
  <c r="AH20" i="1" s="1"/>
  <c r="AG7" i="1"/>
  <c r="AG8" i="1"/>
  <c r="AE24" i="3" l="1"/>
  <c r="J5" i="6"/>
  <c r="AG4" i="3"/>
  <c r="AG8" i="3" s="1"/>
  <c r="AH30" i="1"/>
  <c r="AF9" i="3"/>
  <c r="AF11" i="3" s="1"/>
  <c r="AF15" i="3" s="1"/>
  <c r="AF20" i="3" s="1"/>
  <c r="AF22" i="3" s="1"/>
  <c r="AI115" i="5"/>
  <c r="AH121" i="5"/>
  <c r="AI11" i="1"/>
  <c r="AI18" i="1" s="1"/>
  <c r="AI20" i="1" s="1"/>
  <c r="AH8" i="1"/>
  <c r="AH7" i="1"/>
  <c r="AF24" i="3" l="1"/>
  <c r="K5" i="6"/>
  <c r="AH4" i="3"/>
  <c r="AH8" i="3" s="1"/>
  <c r="AI30" i="1"/>
  <c r="AG9" i="3"/>
  <c r="AG11" i="3" s="1"/>
  <c r="AG15" i="3" s="1"/>
  <c r="AG20" i="3" s="1"/>
  <c r="AG22" i="3" s="1"/>
  <c r="AJ115" i="5"/>
  <c r="AI121" i="5"/>
  <c r="AJ11" i="1"/>
  <c r="AJ18" i="1" s="1"/>
  <c r="AJ20" i="1" s="1"/>
  <c r="AI7" i="1"/>
  <c r="AI8" i="1"/>
  <c r="AG24" i="3" l="1"/>
  <c r="L5" i="6"/>
  <c r="AI4" i="3"/>
  <c r="AI8" i="3" s="1"/>
  <c r="AJ30" i="1"/>
  <c r="AH9" i="3"/>
  <c r="AH11" i="3" s="1"/>
  <c r="AH15" i="3" s="1"/>
  <c r="AH20" i="3" s="1"/>
  <c r="AH22" i="3" s="1"/>
  <c r="AK115" i="5"/>
  <c r="AK121" i="5" s="1"/>
  <c r="AJ121" i="5"/>
  <c r="AK11" i="1"/>
  <c r="AK18" i="1" s="1"/>
  <c r="AK20" i="1" s="1"/>
  <c r="AJ7" i="1"/>
  <c r="AJ8" i="1"/>
  <c r="AH24" i="3" l="1"/>
  <c r="M5" i="6"/>
  <c r="AJ4" i="3"/>
  <c r="AJ8" i="3" s="1"/>
  <c r="AK30" i="1"/>
  <c r="AI9" i="3"/>
  <c r="AI11" i="3" s="1"/>
  <c r="AI15" i="3" s="1"/>
  <c r="AI20" i="3" s="1"/>
  <c r="AI22" i="3" s="1"/>
  <c r="AK7" i="1"/>
  <c r="AK8" i="1"/>
  <c r="AI24" i="3" l="1"/>
  <c r="N5" i="6"/>
  <c r="AJ9" i="3"/>
  <c r="AJ11" i="3" s="1"/>
  <c r="AJ15" i="3" s="1"/>
  <c r="AJ20" i="3" s="1"/>
  <c r="AJ22" i="3" s="1"/>
  <c r="AJ24" i="3" l="1"/>
  <c r="O5" i="6"/>
  <c r="C7" i="6" l="1"/>
  <c r="C13" i="6" s="1"/>
  <c r="C14" i="6" s="1"/>
  <c r="I14" i="3"/>
  <c r="I15" i="3" s="1"/>
  <c r="I20" i="3" s="1"/>
  <c r="I22" i="3" s="1"/>
  <c r="W12" i="3"/>
  <c r="W14" i="3" s="1"/>
  <c r="W15" i="3" s="1"/>
  <c r="W20" i="3" s="1"/>
  <c r="W22" i="3" s="1"/>
  <c r="W24" i="3" l="1"/>
  <c r="W67" i="3"/>
  <c r="W79" i="3" s="1"/>
  <c r="W94" i="3" s="1"/>
  <c r="W96" i="3" s="1"/>
  <c r="I24" i="3"/>
  <c r="I67" i="3"/>
  <c r="I79" i="3" s="1"/>
  <c r="I94" i="3" s="1"/>
  <c r="I9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tc={0695E343-F972-9F41-97D9-78962EB47454}</author>
  </authors>
  <commentList>
    <comment ref="AB18" authorId="0" shapeId="0" xr:uid="{0695E343-F972-9F41-97D9-78962EB47454}">
      <text>
        <t>[Threaded comment]
Your version of Excel allows you to read this threaded comment; however, any edits to it will get removed if the file is opened in a newer version of Excel. Learn more: https://go.microsoft.com/fwlink/?linkid=870924
Comment:
    SYNB-1934 Estimated Rollout 2H26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tc={E997FFE6-D8B5-684F-A5C5-FDA7BC4C2651}</author>
  </authors>
  <commentList>
    <comment ref="C88" authorId="0" shapeId="0" xr:uid="{E997FFE6-D8B5-684F-A5C5-FDA7BC4C2651}">
      <text>
        <t>[Threaded comment]
Your version of Excel allows you to read this threaded comment; however, any edits to it will get removed if the file is opened in a newer version of Excel. Learn more: https://go.microsoft.com/fwlink/?linkid=870924
Comment:
    $8.05m ATM Offering</t>
      </text>
    </comment>
  </commentList>
</comments>
</file>

<file path=xl/sharedStrings.xml><?xml version="1.0" encoding="utf-8"?>
<sst xmlns="http://schemas.openxmlformats.org/spreadsheetml/2006/main" count="439" uniqueCount="303">
  <si>
    <t>Studies</t>
  </si>
  <si>
    <t>https://clinicaltrials.gov/ct2/show/NCT03179878?lead=Synlogic&amp;draw=2&amp;rank=10</t>
  </si>
  <si>
    <t>https://clinicaltrials.gov/ct2/show/NCT03447730?lead=Synlogic&amp;draw=2&amp;rank=9</t>
  </si>
  <si>
    <t>https://clinicaltrials.gov/ct2/show/NCT05764239?lead=Synlogic&amp;draw=2&amp;rank=1</t>
  </si>
  <si>
    <t>https://clinicaltrials.gov/ct2/show/NCT05462132?lead=Synlogic&amp;draw=2&amp;rank=2</t>
  </si>
  <si>
    <t>https://clinicaltrials.gov/ct2/show/NCT05377112?lead=Synlogic&amp;draw=2&amp;rank=3</t>
  </si>
  <si>
    <t>https://clinicaltrials.gov/ct2/show/NCT04984525?lead=Synlogic&amp;draw=2&amp;rank=4</t>
  </si>
  <si>
    <t>https://clinicaltrials.gov/ct2/show/NCT04629170?lead=Synlogic&amp;draw=2&amp;rank=5</t>
  </si>
  <si>
    <t>https://clinicaltrials.gov/ct2/show/NCT04534842?lead=Synlogic&amp;draw=2&amp;rank=6</t>
  </si>
  <si>
    <t>https://clinicaltrials.gov/ct2/show/NCT04167137?lead=Synlogic&amp;draw=2&amp;rank=7</t>
  </si>
  <si>
    <t>https://clinicaltrials.gov/ct2/show/NCT03516487?lead=Synlogic&amp;draw=2&amp;rank=8</t>
  </si>
  <si>
    <t>Status</t>
  </si>
  <si>
    <t>Conditions</t>
  </si>
  <si>
    <t>Interventions</t>
  </si>
  <si>
    <t>Not Yet Recruiting</t>
  </si>
  <si>
    <t>Recruiting</t>
  </si>
  <si>
    <t>Completed</t>
  </si>
  <si>
    <t>Terminated</t>
  </si>
  <si>
    <t>Phenylketonurias</t>
  </si>
  <si>
    <t>Homocystinuria</t>
  </si>
  <si>
    <t>Enteric Hyperoxaluria</t>
  </si>
  <si>
    <t>Healthy</t>
  </si>
  <si>
    <t>Healthy/Enteric Hyperoxaluria</t>
  </si>
  <si>
    <t>Phenylketonuria</t>
  </si>
  <si>
    <t>Metastatic Solid Neoplasm/ Lymphoma</t>
  </si>
  <si>
    <t>Phenylketonuria/.Healthy</t>
  </si>
  <si>
    <t>Cirrhosis</t>
  </si>
  <si>
    <t>Healthy/UCD</t>
  </si>
  <si>
    <t>SYNB1934/Placebo</t>
  </si>
  <si>
    <t>SYNB1353</t>
  </si>
  <si>
    <t>SYNB8802v1/Placebo</t>
  </si>
  <si>
    <t>SYNB1934/SYNB1618</t>
  </si>
  <si>
    <t>SYNB8802/Placebo</t>
  </si>
  <si>
    <t>SYNB1618/SYNB1934</t>
  </si>
  <si>
    <t>SYNB1891/Atezolizumab</t>
  </si>
  <si>
    <t>SYBN1618/Placebo</t>
  </si>
  <si>
    <t>SYBN1020/Placebo</t>
  </si>
  <si>
    <t>Phase</t>
  </si>
  <si>
    <t>General &amp; Administrative</t>
  </si>
  <si>
    <t>Interest &amp; Investment Income</t>
  </si>
  <si>
    <t>Interest Expense</t>
  </si>
  <si>
    <t>Other Income</t>
  </si>
  <si>
    <t>FY21A</t>
  </si>
  <si>
    <t>1Q22A</t>
  </si>
  <si>
    <t>2Q22A</t>
  </si>
  <si>
    <t>3Q22A</t>
  </si>
  <si>
    <t>Basic Shares (m)</t>
  </si>
  <si>
    <t>1Q21A</t>
  </si>
  <si>
    <t>2Q21A</t>
  </si>
  <si>
    <t>3Q21A</t>
  </si>
  <si>
    <t>4Q21A</t>
  </si>
  <si>
    <t>P&amp;L GAAP</t>
  </si>
  <si>
    <t>Consolidated Balance Sheet</t>
  </si>
  <si>
    <t>Cash &amp; Equivalents</t>
  </si>
  <si>
    <t>Accounts Receivable</t>
  </si>
  <si>
    <t>Short-term MS</t>
  </si>
  <si>
    <t>Long-term MS</t>
  </si>
  <si>
    <t>Prepaid Expenses &amp; Other Current Assets</t>
  </si>
  <si>
    <t>Total Current Assets</t>
  </si>
  <si>
    <t>Net Property &amp; Equipment</t>
  </si>
  <si>
    <t>Right-of-use Asset: Operating Lease</t>
  </si>
  <si>
    <t>Restricted Cash</t>
  </si>
  <si>
    <t>Prepaid Research &amp; Development</t>
  </si>
  <si>
    <t>Other Assets</t>
  </si>
  <si>
    <t>Total Assets</t>
  </si>
  <si>
    <t>Accounts Payable</t>
  </si>
  <si>
    <t>Accrued Expenses</t>
  </si>
  <si>
    <t>Deferred Revenue</t>
  </si>
  <si>
    <t>Finance Lease Obligations</t>
  </si>
  <si>
    <t>Total Current Liabilities</t>
  </si>
  <si>
    <t>Other Finance Lease Obligations</t>
  </si>
  <si>
    <t>Total Long-term Liabilities</t>
  </si>
  <si>
    <t>Total Liabilities</t>
  </si>
  <si>
    <t>Common</t>
  </si>
  <si>
    <t>APIC</t>
  </si>
  <si>
    <t>AOCL</t>
  </si>
  <si>
    <t>AD</t>
  </si>
  <si>
    <t>Total SE</t>
  </si>
  <si>
    <t>SE+L</t>
  </si>
  <si>
    <t>Check</t>
  </si>
  <si>
    <t>Synlogic (SYBX)</t>
  </si>
  <si>
    <t>FY20A</t>
  </si>
  <si>
    <t>Other long-term liabilities</t>
  </si>
  <si>
    <t>Consolidated Statement of Cash Flows</t>
  </si>
  <si>
    <t>Net Income</t>
  </si>
  <si>
    <t>Depreciation</t>
  </si>
  <si>
    <t>SBC</t>
  </si>
  <si>
    <t>Amortization of Investment Securities</t>
  </si>
  <si>
    <t>Prepaid R&amp;D, Net of Current</t>
  </si>
  <si>
    <t>Accounts Payable &amp; Accrued Expenses</t>
  </si>
  <si>
    <t>Operating Lease Liabilities</t>
  </si>
  <si>
    <t>CFFO</t>
  </si>
  <si>
    <t>Purchase of MS</t>
  </si>
  <si>
    <t>Proceeds from Maturities of MS</t>
  </si>
  <si>
    <t>Purchase of Property &amp; Equipment</t>
  </si>
  <si>
    <t>CFFI</t>
  </si>
  <si>
    <t>Payments on Finance Lease Obligations</t>
  </si>
  <si>
    <t>Net Proceeds from Issuance of Common Stock</t>
  </si>
  <si>
    <t>RSU Tax Payment</t>
  </si>
  <si>
    <t>Net Cash</t>
  </si>
  <si>
    <t>Cash Beginning</t>
  </si>
  <si>
    <t>Cash End</t>
  </si>
  <si>
    <t>Total Operating Expenses</t>
  </si>
  <si>
    <t>https://www.drugs.com/pro/kuvan.html</t>
  </si>
  <si>
    <t>Kuvan</t>
  </si>
  <si>
    <t>Kuvan Net Sales</t>
  </si>
  <si>
    <t>Comparables</t>
  </si>
  <si>
    <t>SYNB1934</t>
  </si>
  <si>
    <t>PKU (Phenylketonumuria)</t>
  </si>
  <si>
    <t>PKU TAM Build</t>
  </si>
  <si>
    <t>PKU Occurance</t>
  </si>
  <si>
    <t>US PKU Population</t>
  </si>
  <si>
    <t>SYBX 10K Estimate for PKU Population</t>
  </si>
  <si>
    <t>Kuvan Market Share</t>
  </si>
  <si>
    <t>Palynziq</t>
  </si>
  <si>
    <t>Biomarin (BMRN)</t>
  </si>
  <si>
    <t>Kuvan Patient Market Share</t>
  </si>
  <si>
    <t>Palynziq Patient Market Share</t>
  </si>
  <si>
    <t>https://www.genome.gov/Genetic-Disorders/Phenylketonuria</t>
  </si>
  <si>
    <t>Share</t>
  </si>
  <si>
    <t>PKU</t>
  </si>
  <si>
    <t>PKU US Population</t>
  </si>
  <si>
    <t>LTM Sales ($M)</t>
  </si>
  <si>
    <t>Kuvan + Palynziq</t>
  </si>
  <si>
    <t>TAM ($M)</t>
  </si>
  <si>
    <t>ARPC ($M)</t>
  </si>
  <si>
    <t>PKU Comparables</t>
  </si>
  <si>
    <t>FY23E</t>
  </si>
  <si>
    <t>FY22E</t>
  </si>
  <si>
    <t>1Q23</t>
  </si>
  <si>
    <t>4Q24</t>
  </si>
  <si>
    <t>FY19A</t>
  </si>
  <si>
    <t>Change in Carrying Amount of Operating Right-of-Use Assets</t>
  </si>
  <si>
    <t>Proceeds from ESPs &amp; Options</t>
  </si>
  <si>
    <t>FY24E</t>
  </si>
  <si>
    <t>FY25E</t>
  </si>
  <si>
    <t>FY26E</t>
  </si>
  <si>
    <t>FY27E</t>
  </si>
  <si>
    <t>FY28E</t>
  </si>
  <si>
    <t>FY29E</t>
  </si>
  <si>
    <t>FY30E</t>
  </si>
  <si>
    <t>FY31E</t>
  </si>
  <si>
    <t>FY32E</t>
  </si>
  <si>
    <t>FY33E</t>
  </si>
  <si>
    <t>FY34E</t>
  </si>
  <si>
    <t>FY35E</t>
  </si>
  <si>
    <t>3Q20A</t>
  </si>
  <si>
    <t>4Q20A</t>
  </si>
  <si>
    <t>1Q23E</t>
  </si>
  <si>
    <t>2Q23E</t>
  </si>
  <si>
    <t>3Q23E</t>
  </si>
  <si>
    <t>4Q23E</t>
  </si>
  <si>
    <t>1Q24E</t>
  </si>
  <si>
    <t>2Q24E</t>
  </si>
  <si>
    <t>3Q24E</t>
  </si>
  <si>
    <t>4Q2E</t>
  </si>
  <si>
    <t>Revenue Build</t>
  </si>
  <si>
    <t>P&amp;L GAAP Drivers</t>
  </si>
  <si>
    <t>Balance Sheet Drivers</t>
  </si>
  <si>
    <t>Cash Flow Statement Drivers</t>
  </si>
  <si>
    <t>Money Market Funds</t>
  </si>
  <si>
    <t>Commercial Paper Incl. in Cash Equivalents</t>
  </si>
  <si>
    <t xml:space="preserve">Commercial Paper </t>
  </si>
  <si>
    <t>Corporate Debt Securities</t>
  </si>
  <si>
    <t>US Treasuries</t>
  </si>
  <si>
    <t>Total</t>
  </si>
  <si>
    <t>Commercial Paper</t>
  </si>
  <si>
    <t>Amortized Cost</t>
  </si>
  <si>
    <t>Gross Unrealized Gain (Loss)</t>
  </si>
  <si>
    <t>Property &amp; Equipment</t>
  </si>
  <si>
    <t>Laboratory Equipment</t>
  </si>
  <si>
    <t>Office Equipment</t>
  </si>
  <si>
    <t>Fixtures</t>
  </si>
  <si>
    <t>Leasehbold Improvements</t>
  </si>
  <si>
    <t>Accumulated Depreciation</t>
  </si>
  <si>
    <t>Total Property &amp; Equipment</t>
  </si>
  <si>
    <t>Construction in Progress</t>
  </si>
  <si>
    <t>Payroll Related</t>
  </si>
  <si>
    <t>Professional Fees</t>
  </si>
  <si>
    <t>Research &amp; Development</t>
  </si>
  <si>
    <t>Other</t>
  </si>
  <si>
    <t>Total Accrued Expenses</t>
  </si>
  <si>
    <t>Investment Assets</t>
  </si>
  <si>
    <t>Stockholders Equity</t>
  </si>
  <si>
    <t>Common Stock Issuable under pre-funded Warrants</t>
  </si>
  <si>
    <t>Options Execisable</t>
  </si>
  <si>
    <t>ESPP</t>
  </si>
  <si>
    <t>Equity Based Compensation</t>
  </si>
  <si>
    <t>Reseach &amp; Development</t>
  </si>
  <si>
    <t>Stock Options</t>
  </si>
  <si>
    <t>RSU</t>
  </si>
  <si>
    <t>Research &amp; Development Costs</t>
  </si>
  <si>
    <t>SYNB1618</t>
  </si>
  <si>
    <t>SYNB8802</t>
  </si>
  <si>
    <t>SYNB1891</t>
  </si>
  <si>
    <t>Pre-clinical</t>
  </si>
  <si>
    <t>Internal Research &amp; Development</t>
  </si>
  <si>
    <t>Available for Sale Securities Fair Value</t>
  </si>
  <si>
    <t>Capital Expenditure</t>
  </si>
  <si>
    <t>CFFF</t>
  </si>
  <si>
    <t>Depreciation Charge</t>
  </si>
  <si>
    <t>Weighted Average Life Years</t>
  </si>
  <si>
    <t>CFS Capex</t>
  </si>
  <si>
    <t>Useful Life</t>
  </si>
  <si>
    <t>Leasehold Improvements</t>
  </si>
  <si>
    <t>Black Scholes Parameters</t>
  </si>
  <si>
    <t>Expected Term</t>
  </si>
  <si>
    <t>Average RFR</t>
  </si>
  <si>
    <t>Expected Volatility</t>
  </si>
  <si>
    <t>Thereafter</t>
  </si>
  <si>
    <t>Total Lease Payments</t>
  </si>
  <si>
    <t>Less: Imputed Interest</t>
  </si>
  <si>
    <t>Total Lease Liabilities</t>
  </si>
  <si>
    <t>Current Lease Liabilities</t>
  </si>
  <si>
    <t>Long-term Lease Liabilities</t>
  </si>
  <si>
    <t>Prepaid Expenses</t>
  </si>
  <si>
    <t>Prepaid Insurance</t>
  </si>
  <si>
    <t>Other Current Assets</t>
  </si>
  <si>
    <t>Total Prepaid Expenses &amp; Other Curreent Assets</t>
  </si>
  <si>
    <t>Maturities of Operating Lease Liabilities</t>
  </si>
  <si>
    <t>Total AFS Securities</t>
  </si>
  <si>
    <t>Cahs Equivalents</t>
  </si>
  <si>
    <t>Total Cash Equivalents</t>
  </si>
  <si>
    <t>Total Investment Assets Fair Value</t>
  </si>
  <si>
    <t>Current Operating Lease Liabilities</t>
  </si>
  <si>
    <t>Imputed Interest</t>
  </si>
  <si>
    <t>BS Current Operating Lease Liabiilities</t>
  </si>
  <si>
    <t>Imputed Interest Portion</t>
  </si>
  <si>
    <t>4Q22E</t>
  </si>
  <si>
    <t>Proceeds from Redemption of MS</t>
  </si>
  <si>
    <t>Change in Current Lease Liabilities</t>
  </si>
  <si>
    <t>Change in Long-term Lease Liabillities</t>
  </si>
  <si>
    <t>BS LT Operating Lease Liabilities</t>
  </si>
  <si>
    <t>Other Operating Lease Liabilities</t>
  </si>
  <si>
    <t>Current Operating Lease Liability</t>
  </si>
  <si>
    <t>CFS:</t>
  </si>
  <si>
    <t>https://www.drugs.com/newdrugs/biomarin-announces-fda-approval-kuvan-734.html</t>
  </si>
  <si>
    <t>https://www.kuvan.com/hcp/about-kuvan/proven-efficacy/</t>
  </si>
  <si>
    <t>SYNB1934 Phase 3</t>
  </si>
  <si>
    <t>Start Date</t>
  </si>
  <si>
    <t>Estimated Primary Completion</t>
  </si>
  <si>
    <t>Estimated Study Completion</t>
  </si>
  <si>
    <t>Enrollment</t>
  </si>
  <si>
    <t>Type</t>
  </si>
  <si>
    <t>Interventional</t>
  </si>
  <si>
    <t>Masking</t>
  </si>
  <si>
    <t>Part 2: Double Blind</t>
  </si>
  <si>
    <t>Part 1</t>
  </si>
  <si>
    <t>Part 2</t>
  </si>
  <si>
    <t>Part 3</t>
  </si>
  <si>
    <t>4 Week Double Blind randomized withdrawl period, placebo controlled</t>
  </si>
  <si>
    <t>Open-label extension (OLE) of up to 36 months</t>
  </si>
  <si>
    <t>Part3</t>
  </si>
  <si>
    <t>End Date</t>
  </si>
  <si>
    <t>Dose-escalating period (DEP) of up to 15 weeks</t>
  </si>
  <si>
    <t>Estimated NDA Filing</t>
  </si>
  <si>
    <t>Estimated NDA Date</t>
  </si>
  <si>
    <t>Rare Pediatric Disease Designation</t>
  </si>
  <si>
    <t>4Q27</t>
  </si>
  <si>
    <t>4Q25</t>
  </si>
  <si>
    <t>2Q26</t>
  </si>
  <si>
    <t>SYNB-1934</t>
  </si>
  <si>
    <t>Launch</t>
  </si>
  <si>
    <t>Palynziq Market Share</t>
  </si>
  <si>
    <t>PKU TAM Estimate</t>
  </si>
  <si>
    <t>Market Share</t>
  </si>
  <si>
    <t>$ in Millions</t>
  </si>
  <si>
    <t>Net Sales ($m)</t>
  </si>
  <si>
    <t>NDA LOA</t>
  </si>
  <si>
    <t>SYNB-1353</t>
  </si>
  <si>
    <t>Cost of Sales Margin</t>
  </si>
  <si>
    <t>SBNY-1934 Sales Y/Y</t>
  </si>
  <si>
    <t>SBNY 1353 Sales Y/Y</t>
  </si>
  <si>
    <t>https://www.ncbi.nlm.nih.gov/pmc/articles/PMC8553829/pdf/41467_2021_Article_26524.pdf</t>
  </si>
  <si>
    <t>Collaboration Revenue</t>
  </si>
  <si>
    <t>Risk Adjusted Net Sales</t>
  </si>
  <si>
    <t>SYNB-1353 Net Sales</t>
  </si>
  <si>
    <t>SYNB-1934 Net Sales</t>
  </si>
  <si>
    <t>Total Revenues</t>
  </si>
  <si>
    <t>Interest &amp; Investment Yield</t>
  </si>
  <si>
    <t>Net Change</t>
  </si>
  <si>
    <t>EBIT</t>
  </si>
  <si>
    <t>Cost of Revenues</t>
  </si>
  <si>
    <t xml:space="preserve">Gross Income </t>
  </si>
  <si>
    <t>Gross Margin %</t>
  </si>
  <si>
    <t>Total Other Income</t>
  </si>
  <si>
    <t>Tax provision</t>
  </si>
  <si>
    <t>EPS</t>
  </si>
  <si>
    <t>Mid Point Assets</t>
  </si>
  <si>
    <t>NPV</t>
  </si>
  <si>
    <t>MC</t>
  </si>
  <si>
    <t>Shares</t>
  </si>
  <si>
    <t>EV</t>
  </si>
  <si>
    <t>Fair Value MC</t>
  </si>
  <si>
    <t>Fair Value Target</t>
  </si>
  <si>
    <t>Realized Gain</t>
  </si>
  <si>
    <t>Unrealized Gain</t>
  </si>
  <si>
    <t>Treasury Stock</t>
  </si>
  <si>
    <t>Repurchase of Common Stock</t>
  </si>
  <si>
    <t>FY22A</t>
  </si>
  <si>
    <t>4Q22A</t>
  </si>
  <si>
    <t>Average Useful Life Years</t>
  </si>
  <si>
    <t>Other Prepaid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</si>
</sst>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%"/>
    <numFmt numFmtId="165" formatCode="0.0000%"/>
    <numFmt numFmtId="166" formatCode="0.0"/>
    <numFmt numFmtId="167" formatCode="0.000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9" fontId="0" fillId="0" borderId="0" xfId="0" applyNumberFormat="1"/>
    <xf numFmtId="1" fontId="0" fillId="0" borderId="0" xfId="0" applyNumberFormat="1"/>
    <xf numFmtId="0" fontId="3" fillId="0" borderId="0" xfId="1"/>
    <xf numFmtId="0" fontId="0" fillId="0" borderId="0" xfId="0" applyAlignment="1">
      <alignment horizontal="left"/>
    </xf>
    <xf numFmtId="0" fontId="1" fillId="0" borderId="0" xfId="1" applyFont="1"/>
    <xf numFmtId="12" fontId="1" fillId="0" borderId="0" xfId="1" applyNumberFormat="1" applyFont="1"/>
    <xf numFmtId="0" fontId="2" fillId="0" borderId="0" xfId="0" applyFont="1"/>
    <xf numFmtId="12" fontId="0" fillId="0" borderId="0" xfId="0" applyNumberFormat="1"/>
    <xf numFmtId="9" fontId="0" fillId="0" borderId="0" xfId="3" applyFont="1"/>
    <xf numFmtId="164" fontId="0" fillId="0" borderId="0" xfId="3" applyNumberFormat="1" applyFont="1"/>
    <xf numFmtId="10" fontId="0" fillId="0" borderId="0" xfId="3" applyNumberFormat="1" applyFont="1"/>
    <xf numFmtId="165" fontId="0" fillId="0" borderId="0" xfId="3" applyNumberFormat="1" applyFont="1"/>
    <xf numFmtId="44" fontId="0" fillId="0" borderId="0" xfId="2" applyFont="1"/>
    <xf numFmtId="166" fontId="0" fillId="0" borderId="0" xfId="0" applyNumberFormat="1" applyAlignment="1">
      <alignment horizontal="right"/>
    </xf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0" fontId="2" fillId="2" borderId="0" xfId="0" applyFont="1" applyFill="1"/>
    <xf numFmtId="0" fontId="0" fillId="2" borderId="0" xfId="0" applyFill="1"/>
    <xf numFmtId="0" fontId="2" fillId="0" borderId="3" xfId="0" applyFont="1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8" fontId="0" fillId="0" borderId="0" xfId="0" applyNumberFormat="1"/>
    <xf numFmtId="0" fontId="0" fillId="0" borderId="4" xfId="0" applyBorder="1"/>
    <xf numFmtId="0" fontId="0" fillId="0" borderId="5" xfId="0" applyBorder="1"/>
    <xf numFmtId="0" fontId="2" fillId="0" borderId="4" xfId="0" applyFont="1" applyBorder="1"/>
    <xf numFmtId="0" fontId="2" fillId="0" borderId="5" xfId="0" applyFont="1" applyBorder="1"/>
    <xf numFmtId="0" fontId="0" fillId="0" borderId="1" xfId="0" applyBorder="1"/>
    <xf numFmtId="0" fontId="0" fillId="0" borderId="2" xfId="0" applyBorder="1"/>
    <xf numFmtId="10" fontId="0" fillId="0" borderId="0" xfId="0" applyNumberFormat="1"/>
    <xf numFmtId="15" fontId="0" fillId="0" borderId="0" xfId="0" applyNumberFormat="1"/>
    <xf numFmtId="1" fontId="0" fillId="0" borderId="5" xfId="0" applyNumberFormat="1" applyBorder="1"/>
    <xf numFmtId="9" fontId="4" fillId="0" borderId="0" xfId="0" applyNumberFormat="1" applyFont="1"/>
    <xf numFmtId="0" fontId="0" fillId="3" borderId="0" xfId="0" applyFill="1"/>
    <xf numFmtId="0" fontId="0" fillId="3" borderId="2" xfId="0" applyFill="1" applyBorder="1"/>
    <xf numFmtId="0" fontId="0" fillId="3" borderId="7" xfId="0" applyFill="1" applyBorder="1"/>
    <xf numFmtId="0" fontId="0" fillId="3" borderId="5" xfId="0" applyFill="1" applyBorder="1"/>
    <xf numFmtId="0" fontId="2" fillId="3" borderId="5" xfId="0" applyFont="1" applyFill="1" applyBorder="1"/>
    <xf numFmtId="0" fontId="2" fillId="3" borderId="0" xfId="0" applyFont="1" applyFill="1"/>
    <xf numFmtId="1" fontId="0" fillId="3" borderId="5" xfId="0" applyNumberFormat="1" applyFill="1" applyBorder="1"/>
    <xf numFmtId="1" fontId="0" fillId="3" borderId="0" xfId="0" applyNumberFormat="1" applyFill="1"/>
    <xf numFmtId="0" fontId="0" fillId="3" borderId="0" xfId="0" applyFill="1" applyBorder="1"/>
    <xf numFmtId="0" fontId="0" fillId="0" borderId="0" xfId="0" applyBorder="1"/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van domingos - 2023" id="{CF217862-02AB-EB46-9607-6157E4BC5EC8}" userId="S::domingos_evan@wheatoncollege.edu::2746620b-88c1-4bef-8e72-f7c84af34e2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B18" dT="2023-03-19T20:01:51.16" personId="{CF217862-02AB-EB46-9607-6157E4BC5EC8}" id="{0695E343-F972-9F41-97D9-78962EB47454}">
    <text>SYNB-1934 Estimated Rollout 2H26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88" dT="2023-03-16T02:29:40.81" personId="{CF217862-02AB-EB46-9607-6157E4BC5EC8}" id="{E997FFE6-D8B5-684F-A5C5-FDA7BC4C2651}">
    <text>$8.05m ATM Offering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clinicaltrials.gov/ct2/show/NCT03516487?lead=Synlogic&amp;draw=2&amp;rank=8" TargetMode="External"/><Relationship Id="rId3" Type="http://schemas.openxmlformats.org/officeDocument/2006/relationships/hyperlink" Target="https://clinicaltrials.gov/ct2/show/NCT05377112?lead=Synlogic&amp;draw=2&amp;rank=3" TargetMode="External"/><Relationship Id="rId7" Type="http://schemas.openxmlformats.org/officeDocument/2006/relationships/hyperlink" Target="https://clinicaltrials.gov/ct2/show/NCT04167137?lead=Synlogic&amp;draw=2&amp;rank=7" TargetMode="External"/><Relationship Id="rId2" Type="http://schemas.openxmlformats.org/officeDocument/2006/relationships/hyperlink" Target="https://clinicaltrials.gov/ct2/show/NCT05462132?lead=Synlogic&amp;draw=2&amp;rank=2" TargetMode="External"/><Relationship Id="rId1" Type="http://schemas.openxmlformats.org/officeDocument/2006/relationships/hyperlink" Target="https://clinicaltrials.gov/ct2/show/NCT05764239?lead=Synlogic&amp;draw=2&amp;rank=1" TargetMode="External"/><Relationship Id="rId6" Type="http://schemas.openxmlformats.org/officeDocument/2006/relationships/hyperlink" Target="https://clinicaltrials.gov/ct2/show/NCT04534842?lead=Synlogic&amp;draw=2&amp;rank=6" TargetMode="External"/><Relationship Id="rId5" Type="http://schemas.openxmlformats.org/officeDocument/2006/relationships/hyperlink" Target="https://clinicaltrials.gov/ct2/show/NCT04629170?lead=Synlogic&amp;draw=2&amp;rank=5" TargetMode="External"/><Relationship Id="rId4" Type="http://schemas.openxmlformats.org/officeDocument/2006/relationships/hyperlink" Target="https://clinicaltrials.gov/ct2/show/NCT04984525?lead=Synlogic&amp;draw=2&amp;rank=4" TargetMode="External"/><Relationship Id="rId9" Type="http://schemas.openxmlformats.org/officeDocument/2006/relationships/hyperlink" Target="https://www.ncbi.nlm.nih.gov/pmc/articles/PMC8553829/pdf/41467_2021_Article_265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563A-71E3-2744-9D7E-9C48CA8BBCF7}">
  <dimension ref="A2:AK55"/>
  <sheetViews>
    <sheetView workbookViewId="0">
      <pane xSplit="1" ySplit="2" topLeftCell="R3" activePane="bottomRight" state="frozen"/>
      <selection pane="topRight" activeCell="B1" sqref="B1"/>
      <selection pane="bottomLeft" activeCell="A3" sqref="A3"/>
      <selection pane="bottomRight" activeCell="AB20" sqref="AB20"/>
    </sheetView>
  </sheetViews>
  <sheetFormatPr baseColWidth="10" defaultRowHeight="16"/>
  <sheetData>
    <row r="2" spans="1:37">
      <c r="B2" t="s">
        <v>146</v>
      </c>
      <c r="C2" t="s">
        <v>147</v>
      </c>
      <c r="D2" t="s">
        <v>47</v>
      </c>
      <c r="E2" t="s">
        <v>48</v>
      </c>
      <c r="F2" t="s">
        <v>49</v>
      </c>
      <c r="G2" t="s">
        <v>50</v>
      </c>
      <c r="H2" t="s">
        <v>43</v>
      </c>
      <c r="I2" t="s">
        <v>44</v>
      </c>
      <c r="J2" t="s">
        <v>45</v>
      </c>
      <c r="K2" t="s">
        <v>228</v>
      </c>
      <c r="L2" t="s">
        <v>148</v>
      </c>
      <c r="M2" t="s">
        <v>149</v>
      </c>
      <c r="N2" t="s">
        <v>150</v>
      </c>
      <c r="O2" t="s">
        <v>151</v>
      </c>
      <c r="P2" t="s">
        <v>152</v>
      </c>
      <c r="Q2" t="s">
        <v>153</v>
      </c>
      <c r="R2" t="s">
        <v>154</v>
      </c>
      <c r="S2" t="s">
        <v>155</v>
      </c>
      <c r="U2" t="s">
        <v>131</v>
      </c>
      <c r="V2" t="s">
        <v>81</v>
      </c>
      <c r="W2" t="s">
        <v>42</v>
      </c>
      <c r="X2" t="s">
        <v>128</v>
      </c>
      <c r="Y2" t="s">
        <v>127</v>
      </c>
      <c r="Z2" t="s">
        <v>134</v>
      </c>
      <c r="AA2" t="s">
        <v>135</v>
      </c>
      <c r="AB2" t="s">
        <v>136</v>
      </c>
      <c r="AC2" t="s">
        <v>137</v>
      </c>
      <c r="AD2" t="s">
        <v>138</v>
      </c>
      <c r="AE2" t="s">
        <v>139</v>
      </c>
      <c r="AF2" t="s">
        <v>140</v>
      </c>
      <c r="AG2" t="s">
        <v>141</v>
      </c>
      <c r="AH2" t="s">
        <v>142</v>
      </c>
      <c r="AI2" t="s">
        <v>143</v>
      </c>
      <c r="AJ2" t="s">
        <v>144</v>
      </c>
      <c r="AK2" t="s">
        <v>145</v>
      </c>
    </row>
    <row r="3" spans="1:37" s="18" customFormat="1">
      <c r="A3" s="18" t="s">
        <v>156</v>
      </c>
    </row>
    <row r="4" spans="1:37" s="7" customFormat="1">
      <c r="A4" s="7" t="s">
        <v>261</v>
      </c>
    </row>
    <row r="5" spans="1:37">
      <c r="A5" t="s">
        <v>266</v>
      </c>
    </row>
    <row r="6" spans="1:37">
      <c r="A6" t="s">
        <v>126</v>
      </c>
    </row>
    <row r="7" spans="1:37">
      <c r="A7" t="s">
        <v>105</v>
      </c>
      <c r="B7">
        <v>124.1</v>
      </c>
      <c r="C7">
        <v>89</v>
      </c>
      <c r="D7">
        <v>70.8</v>
      </c>
      <c r="E7" s="15">
        <v>78.807000000000002</v>
      </c>
      <c r="F7" s="15">
        <v>67.7</v>
      </c>
      <c r="G7" s="15">
        <v>68.5</v>
      </c>
      <c r="H7" s="15">
        <v>59.3</v>
      </c>
      <c r="I7" s="15">
        <v>57.601999999999997</v>
      </c>
      <c r="J7" s="15">
        <v>57.037999999999997</v>
      </c>
      <c r="K7" s="15">
        <f>K12*K11</f>
        <v>58.678679999999993</v>
      </c>
      <c r="L7" s="15">
        <f t="shared" ref="L7:S7" si="0">L12*L11</f>
        <v>59.858121467999993</v>
      </c>
      <c r="M7" s="15">
        <f t="shared" si="0"/>
        <v>59.858121467999993</v>
      </c>
      <c r="N7" s="15">
        <f t="shared" si="0"/>
        <v>59.858121467999993</v>
      </c>
      <c r="O7" s="15">
        <f t="shared" si="0"/>
        <v>59.858121467999993</v>
      </c>
      <c r="P7" s="15">
        <f t="shared" si="0"/>
        <v>60.456702682679996</v>
      </c>
      <c r="Q7" s="15">
        <f t="shared" si="0"/>
        <v>60.456702682679996</v>
      </c>
      <c r="R7" s="15">
        <f t="shared" si="0"/>
        <v>60.456702682679996</v>
      </c>
      <c r="S7" s="15">
        <f t="shared" si="0"/>
        <v>60.456702682679996</v>
      </c>
      <c r="T7" s="15"/>
      <c r="U7">
        <v>463.4</v>
      </c>
      <c r="V7">
        <v>457.7</v>
      </c>
      <c r="W7">
        <v>285.80700000000002</v>
      </c>
      <c r="X7" s="15">
        <f>SUM(H7:K7)</f>
        <v>232.61867999999998</v>
      </c>
      <c r="Y7" s="15">
        <f>SUM(L7:O7)</f>
        <v>239.43248587199997</v>
      </c>
      <c r="Z7" s="15">
        <f>SUM(P7:S7)</f>
        <v>241.82681073071998</v>
      </c>
      <c r="AA7" s="15">
        <f t="shared" ref="AA7:AK7" si="1">AA12*AA11</f>
        <v>244.24507883802718</v>
      </c>
      <c r="AB7" s="15">
        <f t="shared" si="1"/>
        <v>246.68752962640747</v>
      </c>
      <c r="AC7" s="15">
        <f t="shared" si="1"/>
        <v>249.15440492267155</v>
      </c>
      <c r="AD7" s="15">
        <f t="shared" si="1"/>
        <v>251.64594897189829</v>
      </c>
      <c r="AE7" s="15">
        <f t="shared" si="1"/>
        <v>254.1624084616173</v>
      </c>
      <c r="AF7" s="15">
        <f t="shared" si="1"/>
        <v>256.70403254623346</v>
      </c>
      <c r="AG7" s="15">
        <f t="shared" si="1"/>
        <v>259.27107287169582</v>
      </c>
      <c r="AH7" s="15">
        <f t="shared" si="1"/>
        <v>261.86378360041277</v>
      </c>
      <c r="AI7" s="15">
        <f t="shared" si="1"/>
        <v>264.48242143641687</v>
      </c>
      <c r="AJ7" s="15">
        <f t="shared" si="1"/>
        <v>267.12724565078105</v>
      </c>
      <c r="AK7" s="15">
        <f t="shared" si="1"/>
        <v>269.79851810728888</v>
      </c>
    </row>
    <row r="8" spans="1:37">
      <c r="A8" t="s">
        <v>114</v>
      </c>
      <c r="B8">
        <v>46.1</v>
      </c>
      <c r="C8">
        <v>49.6</v>
      </c>
      <c r="D8">
        <v>54</v>
      </c>
      <c r="E8" s="15">
        <v>58.935000000000002</v>
      </c>
      <c r="F8" s="15">
        <v>60.7</v>
      </c>
      <c r="G8" s="15">
        <v>63.8</v>
      </c>
      <c r="H8" s="15">
        <v>54.9</v>
      </c>
      <c r="I8" s="15">
        <v>61.643000000000001</v>
      </c>
      <c r="J8" s="15">
        <v>66.206000000000003</v>
      </c>
      <c r="K8" s="15">
        <f>K13*K11</f>
        <v>68.458460000000002</v>
      </c>
      <c r="L8" s="15">
        <f t="shared" ref="L8:S8" si="2">L13*L11</f>
        <v>69.834475046000009</v>
      </c>
      <c r="M8" s="15">
        <f t="shared" si="2"/>
        <v>69.834475046000009</v>
      </c>
      <c r="N8" s="15">
        <f t="shared" si="2"/>
        <v>69.834475046000009</v>
      </c>
      <c r="O8" s="15">
        <f t="shared" si="2"/>
        <v>69.834475046000009</v>
      </c>
      <c r="P8" s="15">
        <f t="shared" si="2"/>
        <v>70.532819796460004</v>
      </c>
      <c r="Q8" s="15">
        <f t="shared" si="2"/>
        <v>70.532819796460004</v>
      </c>
      <c r="R8" s="15">
        <f t="shared" si="2"/>
        <v>70.532819796460004</v>
      </c>
      <c r="S8" s="15">
        <f t="shared" si="2"/>
        <v>70.532819796460004</v>
      </c>
      <c r="T8" s="15"/>
      <c r="U8">
        <v>86.9</v>
      </c>
      <c r="V8">
        <v>171</v>
      </c>
      <c r="W8">
        <v>237.435</v>
      </c>
      <c r="X8" s="15">
        <f>SUM(H8:K8)</f>
        <v>251.20746000000003</v>
      </c>
      <c r="Y8" s="15">
        <f>SUM(L8:O8)</f>
        <v>279.33790018400003</v>
      </c>
      <c r="Z8" s="15">
        <f>SUM(P8:S8)</f>
        <v>282.13127918584001</v>
      </c>
      <c r="AA8" s="15">
        <f t="shared" ref="AA8:AK8" si="3">AA13*AA11</f>
        <v>284.95259197769843</v>
      </c>
      <c r="AB8" s="15">
        <f t="shared" si="3"/>
        <v>287.80211789747545</v>
      </c>
      <c r="AC8" s="15">
        <f t="shared" si="3"/>
        <v>290.68013907645019</v>
      </c>
      <c r="AD8" s="15">
        <f t="shared" si="3"/>
        <v>293.58694046721473</v>
      </c>
      <c r="AE8" s="15">
        <f t="shared" si="3"/>
        <v>296.52280987188686</v>
      </c>
      <c r="AF8" s="15">
        <f t="shared" si="3"/>
        <v>299.48803797060572</v>
      </c>
      <c r="AG8" s="15">
        <f t="shared" si="3"/>
        <v>302.48291835031182</v>
      </c>
      <c r="AH8" s="15">
        <f t="shared" si="3"/>
        <v>305.50774753381495</v>
      </c>
      <c r="AI8" s="15">
        <f t="shared" si="3"/>
        <v>308.56282500915307</v>
      </c>
      <c r="AJ8" s="15">
        <f t="shared" si="3"/>
        <v>311.6484532592446</v>
      </c>
      <c r="AK8" s="15">
        <f t="shared" si="3"/>
        <v>314.76493779183704</v>
      </c>
    </row>
    <row r="9" spans="1:37"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37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37">
      <c r="A11" t="s">
        <v>264</v>
      </c>
      <c r="B11" s="15">
        <f>Research!$G$58/4</f>
        <v>488.98899999999998</v>
      </c>
      <c r="C11" s="15">
        <f>Research!$G$58/4</f>
        <v>488.98899999999998</v>
      </c>
      <c r="D11" s="15">
        <f>Research!$G$58/4</f>
        <v>488.98899999999998</v>
      </c>
      <c r="E11" s="15">
        <f>Research!$G$58/4</f>
        <v>488.98899999999998</v>
      </c>
      <c r="F11" s="15">
        <f>Research!$G$58/4</f>
        <v>488.98899999999998</v>
      </c>
      <c r="G11" s="15">
        <f>Research!$G$58/4</f>
        <v>488.98899999999998</v>
      </c>
      <c r="H11" s="15">
        <f>Research!$G$58/4</f>
        <v>488.98899999999998</v>
      </c>
      <c r="I11" s="15">
        <f>Research!$G$58/4</f>
        <v>488.98899999999998</v>
      </c>
      <c r="J11" s="15">
        <f>Research!$G$58/4</f>
        <v>488.98899999999998</v>
      </c>
      <c r="K11" s="15">
        <f>J11</f>
        <v>488.98899999999998</v>
      </c>
      <c r="L11" s="15">
        <f>$Y$11/4</f>
        <v>498.81767889999998</v>
      </c>
      <c r="M11" s="15">
        <f>$Y$11/4</f>
        <v>498.81767889999998</v>
      </c>
      <c r="N11" s="15">
        <f>$Y$11/4</f>
        <v>498.81767889999998</v>
      </c>
      <c r="O11" s="15">
        <f>$Y$11/4</f>
        <v>498.81767889999998</v>
      </c>
      <c r="P11" s="15">
        <f>$Z$11/4</f>
        <v>503.805855689</v>
      </c>
      <c r="Q11" s="15">
        <f t="shared" ref="Q11:S11" si="4">$Z$11/4</f>
        <v>503.805855689</v>
      </c>
      <c r="R11" s="15">
        <f t="shared" si="4"/>
        <v>503.805855689</v>
      </c>
      <c r="S11" s="15">
        <f t="shared" si="4"/>
        <v>503.805855689</v>
      </c>
      <c r="T11" s="15"/>
      <c r="U11" s="15">
        <f>Research!$G$58</f>
        <v>1955.9559999999999</v>
      </c>
      <c r="V11" s="15">
        <f>Research!$G$58</f>
        <v>1955.9559999999999</v>
      </c>
      <c r="W11" s="15">
        <f>Research!$G$58</f>
        <v>1955.9559999999999</v>
      </c>
      <c r="X11" s="15">
        <f>W11*1.01</f>
        <v>1975.5155599999998</v>
      </c>
      <c r="Y11" s="15">
        <f t="shared" ref="Y11:AK11" si="5">X11*1.01</f>
        <v>1995.2707155999999</v>
      </c>
      <c r="Z11" s="15">
        <f t="shared" si="5"/>
        <v>2015.223422756</v>
      </c>
      <c r="AA11" s="15">
        <f t="shared" si="5"/>
        <v>2035.37565698356</v>
      </c>
      <c r="AB11" s="15">
        <f t="shared" si="5"/>
        <v>2055.7294135533957</v>
      </c>
      <c r="AC11" s="15">
        <f t="shared" si="5"/>
        <v>2076.2867076889297</v>
      </c>
      <c r="AD11" s="15">
        <f t="shared" si="5"/>
        <v>2097.0495747658192</v>
      </c>
      <c r="AE11" s="15">
        <f t="shared" si="5"/>
        <v>2118.0200705134775</v>
      </c>
      <c r="AF11" s="15">
        <f t="shared" si="5"/>
        <v>2139.2002712186122</v>
      </c>
      <c r="AG11" s="15">
        <f t="shared" si="5"/>
        <v>2160.5922739307985</v>
      </c>
      <c r="AH11" s="15">
        <f t="shared" si="5"/>
        <v>2182.1981966701064</v>
      </c>
      <c r="AI11" s="15">
        <f t="shared" si="5"/>
        <v>2204.0201786368075</v>
      </c>
      <c r="AJ11" s="15">
        <f t="shared" si="5"/>
        <v>2226.0603804231755</v>
      </c>
      <c r="AK11" s="15">
        <f t="shared" si="5"/>
        <v>2248.3209842274073</v>
      </c>
    </row>
    <row r="12" spans="1:37">
      <c r="A12" t="s">
        <v>113</v>
      </c>
      <c r="B12" s="1">
        <f>B7/B11</f>
        <v>0.25378894003750596</v>
      </c>
      <c r="C12" s="1">
        <f t="shared" ref="C12:J12" si="6">C7/C11</f>
        <v>0.18200818423318316</v>
      </c>
      <c r="D12" s="1">
        <f t="shared" si="6"/>
        <v>0.14478853307538617</v>
      </c>
      <c r="E12" s="1">
        <f t="shared" si="6"/>
        <v>0.16116313454903894</v>
      </c>
      <c r="F12" s="1">
        <f t="shared" si="6"/>
        <v>0.13844892216389326</v>
      </c>
      <c r="G12" s="1">
        <f t="shared" si="6"/>
        <v>0.14008495078621402</v>
      </c>
      <c r="H12" s="1">
        <f t="shared" si="6"/>
        <v>0.12127062162952541</v>
      </c>
      <c r="I12" s="1">
        <f t="shared" si="6"/>
        <v>0.11779815087864962</v>
      </c>
      <c r="J12" s="1">
        <f t="shared" si="6"/>
        <v>0.11664475069991349</v>
      </c>
      <c r="K12" s="1">
        <v>0.12</v>
      </c>
      <c r="L12" s="1">
        <v>0.12</v>
      </c>
      <c r="M12" s="1">
        <v>0.12</v>
      </c>
      <c r="N12" s="1">
        <v>0.12</v>
      </c>
      <c r="O12" s="1">
        <v>0.12</v>
      </c>
      <c r="P12" s="1">
        <v>0.12</v>
      </c>
      <c r="Q12" s="1">
        <v>0.12</v>
      </c>
      <c r="R12" s="1">
        <v>0.12</v>
      </c>
      <c r="S12" s="1">
        <v>0.12</v>
      </c>
      <c r="T12" s="15"/>
      <c r="U12" s="1">
        <f>U7/U11</f>
        <v>0.23691739486982324</v>
      </c>
      <c r="V12" s="1">
        <f t="shared" ref="V12:Z12" si="7">V7/V11</f>
        <v>0.23400321888631442</v>
      </c>
      <c r="W12" s="1">
        <f t="shared" si="7"/>
        <v>0.1461213851436331</v>
      </c>
      <c r="X12" s="1">
        <f t="shared" si="7"/>
        <v>0.11775087208121003</v>
      </c>
      <c r="Y12" s="1">
        <f t="shared" si="7"/>
        <v>0.12</v>
      </c>
      <c r="Z12" s="1">
        <f t="shared" si="7"/>
        <v>0.12</v>
      </c>
      <c r="AA12" s="1">
        <v>0.12</v>
      </c>
      <c r="AB12" s="1">
        <v>0.12</v>
      </c>
      <c r="AC12" s="1">
        <v>0.12</v>
      </c>
      <c r="AD12" s="1">
        <v>0.12</v>
      </c>
      <c r="AE12" s="1">
        <v>0.12</v>
      </c>
      <c r="AF12" s="1">
        <v>0.12</v>
      </c>
      <c r="AG12" s="1">
        <v>0.12</v>
      </c>
      <c r="AH12" s="1">
        <v>0.12</v>
      </c>
      <c r="AI12" s="1">
        <v>0.12</v>
      </c>
      <c r="AJ12" s="1">
        <v>0.12</v>
      </c>
      <c r="AK12" s="1">
        <v>0.12</v>
      </c>
    </row>
    <row r="13" spans="1:37">
      <c r="A13" t="s">
        <v>263</v>
      </c>
      <c r="B13" s="1">
        <f>B8/B11</f>
        <v>9.4276149361233089E-2</v>
      </c>
      <c r="C13" s="1">
        <f t="shared" ref="C13:J13" si="8">C8/C11</f>
        <v>0.10143377458388635</v>
      </c>
      <c r="D13" s="1">
        <f t="shared" si="8"/>
        <v>0.11043193200665047</v>
      </c>
      <c r="E13" s="1">
        <f t="shared" si="8"/>
        <v>0.12052418357059158</v>
      </c>
      <c r="F13" s="1">
        <f t="shared" si="8"/>
        <v>0.12413367171858673</v>
      </c>
      <c r="G13" s="1">
        <f t="shared" si="8"/>
        <v>0.13047328263007962</v>
      </c>
      <c r="H13" s="1">
        <f t="shared" si="8"/>
        <v>0.1122724642067613</v>
      </c>
      <c r="I13" s="1">
        <f t="shared" si="8"/>
        <v>0.12606214045714731</v>
      </c>
      <c r="J13" s="1">
        <f t="shared" si="8"/>
        <v>0.13539363871170929</v>
      </c>
      <c r="K13" s="1">
        <v>0.14000000000000001</v>
      </c>
      <c r="L13" s="1">
        <v>0.14000000000000001</v>
      </c>
      <c r="M13" s="1">
        <v>0.14000000000000001</v>
      </c>
      <c r="N13" s="1">
        <v>0.14000000000000001</v>
      </c>
      <c r="O13" s="1">
        <v>0.14000000000000001</v>
      </c>
      <c r="P13" s="1">
        <v>0.14000000000000001</v>
      </c>
      <c r="Q13" s="1">
        <v>0.14000000000000001</v>
      </c>
      <c r="R13" s="1">
        <v>0.14000000000000001</v>
      </c>
      <c r="S13" s="1">
        <v>0.14000000000000001</v>
      </c>
      <c r="T13" s="15"/>
      <c r="U13" s="1">
        <f>U8/U11</f>
        <v>4.4428402274897805E-2</v>
      </c>
      <c r="V13" s="1">
        <f t="shared" ref="V13:Z13" si="9">V8/V11</f>
        <v>8.742527950526495E-2</v>
      </c>
      <c r="W13" s="1">
        <f t="shared" si="9"/>
        <v>0.12139076748147709</v>
      </c>
      <c r="X13" s="1">
        <f t="shared" si="9"/>
        <v>0.12716045628109354</v>
      </c>
      <c r="Y13" s="1">
        <f t="shared" si="9"/>
        <v>0.14000000000000001</v>
      </c>
      <c r="Z13" s="1">
        <f t="shared" si="9"/>
        <v>0.14000000000000001</v>
      </c>
      <c r="AA13" s="1">
        <v>0.14000000000000001</v>
      </c>
      <c r="AB13" s="1">
        <v>0.14000000000000001</v>
      </c>
      <c r="AC13" s="1">
        <v>0.14000000000000001</v>
      </c>
      <c r="AD13" s="1">
        <v>0.14000000000000001</v>
      </c>
      <c r="AE13" s="1">
        <v>0.14000000000000001</v>
      </c>
      <c r="AF13" s="1">
        <v>0.14000000000000001</v>
      </c>
      <c r="AG13" s="1">
        <v>0.14000000000000001</v>
      </c>
      <c r="AH13" s="1">
        <v>0.14000000000000001</v>
      </c>
      <c r="AI13" s="1">
        <v>0.14000000000000001</v>
      </c>
      <c r="AJ13" s="1">
        <v>0.14000000000000001</v>
      </c>
      <c r="AK13" s="1">
        <v>0.14000000000000001</v>
      </c>
    </row>
    <row r="16" spans="1:37">
      <c r="A16" s="7" t="s">
        <v>261</v>
      </c>
      <c r="AB16" t="s">
        <v>262</v>
      </c>
    </row>
    <row r="17" spans="1:37">
      <c r="A17" t="s">
        <v>265</v>
      </c>
      <c r="AB17" s="9">
        <v>0.05</v>
      </c>
      <c r="AC17" s="1">
        <v>0.08</v>
      </c>
      <c r="AD17" s="1">
        <v>0.1</v>
      </c>
      <c r="AE17" s="1">
        <v>0.1</v>
      </c>
      <c r="AF17" s="1">
        <v>0.1</v>
      </c>
      <c r="AG17" s="1">
        <v>0.1</v>
      </c>
      <c r="AH17" s="1">
        <v>0.1</v>
      </c>
      <c r="AI17" s="1">
        <v>0.1</v>
      </c>
      <c r="AJ17" s="1">
        <v>0.1</v>
      </c>
      <c r="AK17" s="1">
        <v>0.1</v>
      </c>
    </row>
    <row r="18" spans="1:37">
      <c r="A18" t="s">
        <v>267</v>
      </c>
      <c r="AB18" s="15">
        <f>AB17*AB11/2</f>
        <v>51.393235338834899</v>
      </c>
      <c r="AC18" s="15">
        <f t="shared" ref="AC18:AK18" si="10">AC17*AC11</f>
        <v>166.10293661511437</v>
      </c>
      <c r="AD18" s="15">
        <f t="shared" si="10"/>
        <v>209.70495747658194</v>
      </c>
      <c r="AE18" s="15">
        <f t="shared" si="10"/>
        <v>211.80200705134777</v>
      </c>
      <c r="AF18" s="15">
        <f t="shared" si="10"/>
        <v>213.92002712186124</v>
      </c>
      <c r="AG18" s="15">
        <f t="shared" si="10"/>
        <v>216.05922739307985</v>
      </c>
      <c r="AH18" s="15">
        <f t="shared" si="10"/>
        <v>218.21981966701065</v>
      </c>
      <c r="AI18" s="15">
        <f t="shared" si="10"/>
        <v>220.40201786368075</v>
      </c>
      <c r="AJ18" s="15">
        <f t="shared" si="10"/>
        <v>222.60603804231755</v>
      </c>
      <c r="AK18" s="15">
        <f t="shared" si="10"/>
        <v>224.83209842274073</v>
      </c>
    </row>
    <row r="19" spans="1:37">
      <c r="A19" t="s">
        <v>268</v>
      </c>
      <c r="AB19" s="34">
        <v>0.5</v>
      </c>
      <c r="AC19" s="1">
        <f>AB19</f>
        <v>0.5</v>
      </c>
      <c r="AD19" s="1">
        <f t="shared" ref="AD19:AK19" si="11">AC19</f>
        <v>0.5</v>
      </c>
      <c r="AE19" s="1">
        <f t="shared" si="11"/>
        <v>0.5</v>
      </c>
      <c r="AF19" s="1">
        <f t="shared" si="11"/>
        <v>0.5</v>
      </c>
      <c r="AG19" s="1">
        <f t="shared" si="11"/>
        <v>0.5</v>
      </c>
      <c r="AH19" s="1">
        <f t="shared" si="11"/>
        <v>0.5</v>
      </c>
      <c r="AI19" s="1">
        <f t="shared" si="11"/>
        <v>0.5</v>
      </c>
      <c r="AJ19" s="1">
        <f t="shared" si="11"/>
        <v>0.5</v>
      </c>
      <c r="AK19" s="1">
        <f t="shared" si="11"/>
        <v>0.5</v>
      </c>
    </row>
    <row r="20" spans="1:37">
      <c r="A20" t="s">
        <v>275</v>
      </c>
      <c r="AB20" s="16">
        <f>AB18*(AB19)</f>
        <v>25.696617669417449</v>
      </c>
      <c r="AC20" s="16">
        <f t="shared" ref="AC20:AK20" si="12">AC18*(AC19)</f>
        <v>83.051468307557187</v>
      </c>
      <c r="AD20" s="16">
        <f t="shared" si="12"/>
        <v>104.85247873829097</v>
      </c>
      <c r="AE20" s="16">
        <f t="shared" si="12"/>
        <v>105.90100352567389</v>
      </c>
      <c r="AF20" s="16">
        <f t="shared" si="12"/>
        <v>106.96001356093062</v>
      </c>
      <c r="AG20" s="16">
        <f t="shared" si="12"/>
        <v>108.02961369653993</v>
      </c>
      <c r="AH20" s="16">
        <f t="shared" si="12"/>
        <v>109.10990983350533</v>
      </c>
      <c r="AI20" s="16">
        <f t="shared" si="12"/>
        <v>110.20100893184038</v>
      </c>
      <c r="AJ20" s="16">
        <f t="shared" si="12"/>
        <v>111.30301902115878</v>
      </c>
      <c r="AK20" s="16">
        <f t="shared" si="12"/>
        <v>112.41604921137036</v>
      </c>
    </row>
    <row r="21" spans="1:37">
      <c r="AB21" s="16"/>
      <c r="AC21" s="16"/>
      <c r="AD21" s="16"/>
      <c r="AE21" s="16"/>
      <c r="AF21" s="16"/>
      <c r="AG21" s="16"/>
      <c r="AH21" s="16"/>
      <c r="AI21" s="16"/>
      <c r="AJ21" s="16"/>
      <c r="AK21" s="16"/>
    </row>
    <row r="22" spans="1:37">
      <c r="A22" s="7" t="s">
        <v>269</v>
      </c>
      <c r="AB22" s="16"/>
      <c r="AC22" s="16"/>
      <c r="AD22" s="16"/>
      <c r="AE22" s="16"/>
      <c r="AF22" s="16"/>
      <c r="AG22" s="16"/>
      <c r="AH22" s="16"/>
      <c r="AI22" s="16"/>
      <c r="AJ22" s="16"/>
      <c r="AK22" s="16"/>
    </row>
    <row r="23" spans="1:37">
      <c r="AB23" s="16"/>
      <c r="AC23" s="16"/>
      <c r="AD23" s="16"/>
      <c r="AE23" s="16"/>
      <c r="AF23" s="16"/>
      <c r="AG23" s="16"/>
      <c r="AH23" s="16"/>
      <c r="AI23" s="16"/>
      <c r="AJ23" s="16"/>
      <c r="AK23" s="16"/>
    </row>
    <row r="24" spans="1:37">
      <c r="A24" t="s">
        <v>268</v>
      </c>
    </row>
    <row r="26" spans="1:37">
      <c r="E26" s="1"/>
    </row>
    <row r="27" spans="1:37">
      <c r="E27" s="2"/>
    </row>
    <row r="28" spans="1:37" s="19" customFormat="1">
      <c r="A28" s="18" t="s">
        <v>157</v>
      </c>
    </row>
    <row r="30" spans="1:37">
      <c r="A30" t="s">
        <v>271</v>
      </c>
      <c r="AC30" s="1">
        <f>AC20/AB20-1</f>
        <v>2.2319999999999998</v>
      </c>
      <c r="AD30" s="1">
        <f t="shared" ref="AD30:AK30" si="13">AD20/AC20-1</f>
        <v>0.26250000000000018</v>
      </c>
      <c r="AE30" s="1">
        <f t="shared" si="13"/>
        <v>1.0000000000000009E-2</v>
      </c>
      <c r="AF30" s="1">
        <f t="shared" si="13"/>
        <v>1.0000000000000009E-2</v>
      </c>
      <c r="AG30" s="1">
        <f t="shared" si="13"/>
        <v>1.0000000000000009E-2</v>
      </c>
      <c r="AH30" s="1">
        <f t="shared" si="13"/>
        <v>1.0000000000000009E-2</v>
      </c>
      <c r="AI30" s="1">
        <f t="shared" si="13"/>
        <v>1.0000000000000009E-2</v>
      </c>
      <c r="AJ30" s="1">
        <f t="shared" si="13"/>
        <v>1.0000000000000009E-2</v>
      </c>
      <c r="AK30" s="1">
        <f t="shared" si="13"/>
        <v>1.0000000000000009E-2</v>
      </c>
    </row>
    <row r="31" spans="1:37">
      <c r="A31" t="s">
        <v>272</v>
      </c>
    </row>
    <row r="32" spans="1:37">
      <c r="A32" t="s">
        <v>270</v>
      </c>
      <c r="AB32" s="1">
        <v>0.9</v>
      </c>
      <c r="AC32" s="1">
        <v>0.9</v>
      </c>
      <c r="AD32" s="1">
        <v>0.9</v>
      </c>
      <c r="AE32" s="1">
        <v>0.9</v>
      </c>
      <c r="AF32" s="1">
        <v>0.9</v>
      </c>
      <c r="AG32" s="1">
        <v>0.9</v>
      </c>
      <c r="AH32" s="1">
        <v>0.9</v>
      </c>
      <c r="AI32" s="1">
        <v>0.9</v>
      </c>
      <c r="AJ32" s="1">
        <v>0.9</v>
      </c>
      <c r="AK32" s="1">
        <v>0.9</v>
      </c>
    </row>
    <row r="33" spans="1:5">
      <c r="E33" s="1"/>
    </row>
    <row r="34" spans="1:5">
      <c r="E34" s="1"/>
    </row>
    <row r="35" spans="1:5">
      <c r="E35" s="1"/>
    </row>
    <row r="42" spans="1:5" s="18" customFormat="1">
      <c r="A42" s="18" t="s">
        <v>158</v>
      </c>
    </row>
    <row r="55" spans="1:1" s="18" customFormat="1">
      <c r="A55" s="18" t="s">
        <v>159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77DA6-C88F-634F-B8AF-95C43C3FB620}">
  <dimension ref="A1:XFD96"/>
  <sheetViews>
    <sheetView workbookViewId="0">
      <pane xSplit="1" ySplit="2" topLeftCell="B9" activePane="bottomRight" state="frozen"/>
      <selection pane="topRight" activeCell="B1" sqref="B1"/>
      <selection pane="bottomLeft" activeCell="A2" sqref="A2"/>
      <selection pane="bottomRight" activeCell="L100" sqref="L100"/>
    </sheetView>
  </sheetViews>
  <sheetFormatPr baseColWidth="10" defaultRowHeight="16"/>
  <cols>
    <col min="1" max="1" width="36.1640625" customWidth="1"/>
    <col min="22" max="27" width="11" bestFit="1" customWidth="1"/>
    <col min="28" max="36" width="11.6640625" bestFit="1" customWidth="1"/>
  </cols>
  <sheetData>
    <row r="1" spans="1:37">
      <c r="A1" t="s">
        <v>80</v>
      </c>
      <c r="B1" t="s">
        <v>47</v>
      </c>
      <c r="C1" t="s">
        <v>48</v>
      </c>
      <c r="D1" t="s">
        <v>49</v>
      </c>
      <c r="E1" t="s">
        <v>50</v>
      </c>
      <c r="F1" t="s">
        <v>43</v>
      </c>
      <c r="G1" t="s">
        <v>44</v>
      </c>
      <c r="H1" t="s">
        <v>45</v>
      </c>
      <c r="I1" t="s">
        <v>228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U1" t="s">
        <v>81</v>
      </c>
      <c r="V1" t="s">
        <v>42</v>
      </c>
      <c r="W1" t="s">
        <v>128</v>
      </c>
      <c r="X1" t="s">
        <v>127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</row>
    <row r="3" spans="1:37" s="19" customFormat="1">
      <c r="A3" s="18" t="s">
        <v>51</v>
      </c>
    </row>
    <row r="4" spans="1:37">
      <c r="A4" t="s">
        <v>277</v>
      </c>
      <c r="AA4" s="2">
        <f>Drivers!AB20*1000</f>
        <v>25696.61766941745</v>
      </c>
      <c r="AB4" s="2">
        <f>Drivers!AC20*1000</f>
        <v>83051.468307557181</v>
      </c>
      <c r="AC4" s="2">
        <f>Drivers!AD20*1000</f>
        <v>104852.47873829097</v>
      </c>
      <c r="AD4" s="2">
        <f>Drivers!AE20*1000</f>
        <v>105901.00352567389</v>
      </c>
      <c r="AE4" s="2">
        <f>Drivers!AF20*1000</f>
        <v>106960.01356093062</v>
      </c>
      <c r="AF4" s="2">
        <f>Drivers!AG20*1000</f>
        <v>108029.61369653992</v>
      </c>
      <c r="AG4" s="2">
        <f>Drivers!AH20*1000</f>
        <v>109109.90983350533</v>
      </c>
      <c r="AH4" s="2">
        <f>Drivers!AI20*1000</f>
        <v>110201.00893184038</v>
      </c>
      <c r="AI4" s="2">
        <f>Drivers!AJ20*1000</f>
        <v>111303.01902115878</v>
      </c>
      <c r="AJ4" s="2">
        <f>Drivers!AK20*1000</f>
        <v>112416.04921137037</v>
      </c>
    </row>
    <row r="5" spans="1:37">
      <c r="A5" t="s">
        <v>276</v>
      </c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7">
      <c r="A6" t="s">
        <v>274</v>
      </c>
      <c r="C6">
        <v>246</v>
      </c>
      <c r="D6">
        <v>916</v>
      </c>
      <c r="E6">
        <f>1754-D6-C6-B6</f>
        <v>592</v>
      </c>
      <c r="F6">
        <v>244</v>
      </c>
      <c r="G6">
        <v>152</v>
      </c>
      <c r="H6">
        <v>678</v>
      </c>
      <c r="I6" s="2">
        <f>W6-H6-G6-F6</f>
        <v>106</v>
      </c>
      <c r="J6" s="2">
        <f>F8*1.05</f>
        <v>256.2</v>
      </c>
      <c r="K6" s="2">
        <f>G8*1.05</f>
        <v>159.6</v>
      </c>
      <c r="L6" s="2">
        <f>H8*1.05</f>
        <v>711.9</v>
      </c>
      <c r="M6" s="2">
        <f>I6*1.05</f>
        <v>111.30000000000001</v>
      </c>
      <c r="N6" s="2">
        <f>J6*1.05</f>
        <v>269.01</v>
      </c>
      <c r="O6" s="2">
        <f>K6*1.05</f>
        <v>167.58</v>
      </c>
      <c r="P6" s="2">
        <f>L6*1.05</f>
        <v>747.495</v>
      </c>
      <c r="Q6" s="2">
        <f>M6*1.05</f>
        <v>116.86500000000002</v>
      </c>
      <c r="U6">
        <v>545</v>
      </c>
      <c r="V6">
        <f>SUM(B6:E6)</f>
        <v>1754</v>
      </c>
      <c r="W6">
        <v>1180</v>
      </c>
      <c r="X6" s="2">
        <f>SUM(J6:M6)</f>
        <v>1238.9999999999998</v>
      </c>
      <c r="Y6" s="2">
        <f>SUM(N6:Q6)</f>
        <v>1300.95</v>
      </c>
      <c r="Z6" s="2">
        <f>Y6*1.03</f>
        <v>1339.9785000000002</v>
      </c>
    </row>
    <row r="8" spans="1:37">
      <c r="A8" t="s">
        <v>278</v>
      </c>
      <c r="C8">
        <f>C6+C5+C4</f>
        <v>246</v>
      </c>
      <c r="D8">
        <f t="shared" ref="D8:Q8" si="0">D6+D5+D4</f>
        <v>916</v>
      </c>
      <c r="E8">
        <f t="shared" si="0"/>
        <v>592</v>
      </c>
      <c r="F8">
        <f t="shared" si="0"/>
        <v>244</v>
      </c>
      <c r="G8">
        <f t="shared" si="0"/>
        <v>152</v>
      </c>
      <c r="H8">
        <f t="shared" si="0"/>
        <v>678</v>
      </c>
      <c r="I8" s="2">
        <f>I6+I5+I4</f>
        <v>106</v>
      </c>
      <c r="J8">
        <f t="shared" si="0"/>
        <v>256.2</v>
      </c>
      <c r="K8">
        <f t="shared" si="0"/>
        <v>159.6</v>
      </c>
      <c r="L8">
        <f t="shared" si="0"/>
        <v>711.9</v>
      </c>
      <c r="M8">
        <f t="shared" si="0"/>
        <v>111.30000000000001</v>
      </c>
      <c r="N8">
        <f t="shared" si="0"/>
        <v>269.01</v>
      </c>
      <c r="O8">
        <f t="shared" si="0"/>
        <v>167.58</v>
      </c>
      <c r="P8">
        <f t="shared" si="0"/>
        <v>747.495</v>
      </c>
      <c r="Q8">
        <f t="shared" si="0"/>
        <v>116.86500000000002</v>
      </c>
      <c r="U8" s="2">
        <f t="shared" ref="U8:AJ8" si="1">U6+U5+U4</f>
        <v>545</v>
      </c>
      <c r="V8" s="2">
        <f t="shared" si="1"/>
        <v>1754</v>
      </c>
      <c r="W8" s="2">
        <f>W6+W5+W4</f>
        <v>1180</v>
      </c>
      <c r="X8" s="2">
        <f>SUM(J6:M6)</f>
        <v>1238.9999999999998</v>
      </c>
      <c r="Y8" s="2">
        <f>SUM(N6:Q6)</f>
        <v>1300.95</v>
      </c>
      <c r="Z8" s="2">
        <f t="shared" si="1"/>
        <v>1339.9785000000002</v>
      </c>
      <c r="AA8" s="2">
        <f t="shared" si="1"/>
        <v>25696.61766941745</v>
      </c>
      <c r="AB8" s="2">
        <f t="shared" si="1"/>
        <v>83051.468307557181</v>
      </c>
      <c r="AC8" s="2">
        <f t="shared" si="1"/>
        <v>104852.47873829097</v>
      </c>
      <c r="AD8" s="2">
        <f t="shared" si="1"/>
        <v>105901.00352567389</v>
      </c>
      <c r="AE8" s="2">
        <f t="shared" si="1"/>
        <v>106960.01356093062</v>
      </c>
      <c r="AF8" s="2">
        <f t="shared" si="1"/>
        <v>108029.61369653992</v>
      </c>
      <c r="AG8" s="2">
        <f t="shared" si="1"/>
        <v>109109.90983350533</v>
      </c>
      <c r="AH8" s="2">
        <f t="shared" si="1"/>
        <v>110201.00893184038</v>
      </c>
      <c r="AI8" s="2">
        <f t="shared" si="1"/>
        <v>111303.01902115878</v>
      </c>
      <c r="AJ8" s="2">
        <f t="shared" si="1"/>
        <v>112416.04921137037</v>
      </c>
      <c r="AK8" s="2"/>
    </row>
    <row r="9" spans="1:37">
      <c r="A9" t="s">
        <v>282</v>
      </c>
      <c r="I9" s="2"/>
      <c r="J9" s="2"/>
      <c r="K9" s="2"/>
      <c r="L9" s="2"/>
      <c r="M9" s="2"/>
      <c r="N9" s="2"/>
      <c r="O9" s="2"/>
      <c r="P9" s="2"/>
      <c r="Q9" s="2"/>
      <c r="U9" s="2"/>
      <c r="V9" s="2"/>
      <c r="W9" s="2"/>
      <c r="X9" s="2"/>
      <c r="Y9" s="2"/>
      <c r="Z9" s="2"/>
      <c r="AA9" s="2">
        <f>AA8*(1-AA10)</f>
        <v>2569.6617669417446</v>
      </c>
      <c r="AB9" s="2">
        <f t="shared" ref="AB9:AJ9" si="2">AB8*(1-AB10)</f>
        <v>8305.146830755717</v>
      </c>
      <c r="AC9" s="2">
        <f t="shared" si="2"/>
        <v>10485.247873829096</v>
      </c>
      <c r="AD9" s="2">
        <f t="shared" si="2"/>
        <v>10590.100352567388</v>
      </c>
      <c r="AE9" s="2">
        <f t="shared" si="2"/>
        <v>10696.001356093058</v>
      </c>
      <c r="AF9" s="2">
        <f t="shared" si="2"/>
        <v>10802.961369653989</v>
      </c>
      <c r="AG9" s="2">
        <f t="shared" si="2"/>
        <v>10910.99098335053</v>
      </c>
      <c r="AH9" s="2">
        <f t="shared" si="2"/>
        <v>11020.100893184035</v>
      </c>
      <c r="AI9" s="2">
        <f t="shared" si="2"/>
        <v>11130.301902115874</v>
      </c>
      <c r="AJ9" s="2">
        <f t="shared" si="2"/>
        <v>11241.604921137034</v>
      </c>
      <c r="AK9" s="2"/>
    </row>
    <row r="10" spans="1:37">
      <c r="A10" t="s">
        <v>284</v>
      </c>
      <c r="I10" s="2"/>
      <c r="J10" s="2"/>
      <c r="K10" s="2"/>
      <c r="L10" s="2"/>
      <c r="M10" s="2"/>
      <c r="N10" s="2"/>
      <c r="O10" s="2"/>
      <c r="P10" s="2"/>
      <c r="Q10" s="2"/>
      <c r="U10" s="2"/>
      <c r="V10" s="2"/>
      <c r="W10" s="2"/>
      <c r="X10" s="2"/>
      <c r="Y10" s="2"/>
      <c r="Z10" s="2"/>
      <c r="AA10" s="1">
        <v>0.9</v>
      </c>
      <c r="AB10" s="1">
        <v>0.9</v>
      </c>
      <c r="AC10" s="1">
        <v>0.9</v>
      </c>
      <c r="AD10" s="1">
        <v>0.9</v>
      </c>
      <c r="AE10" s="1">
        <v>0.9</v>
      </c>
      <c r="AF10" s="1">
        <v>0.9</v>
      </c>
      <c r="AG10" s="1">
        <v>0.9</v>
      </c>
      <c r="AH10" s="1">
        <v>0.9</v>
      </c>
      <c r="AI10" s="1">
        <v>0.9</v>
      </c>
      <c r="AJ10" s="1">
        <v>0.9</v>
      </c>
      <c r="AK10" s="2"/>
    </row>
    <row r="11" spans="1:37">
      <c r="A11" t="s">
        <v>283</v>
      </c>
      <c r="C11" s="2">
        <f>C8-C9</f>
        <v>246</v>
      </c>
      <c r="D11" s="2">
        <f t="shared" ref="D11:H11" si="3">D8-D9</f>
        <v>916</v>
      </c>
      <c r="E11" s="2">
        <f t="shared" si="3"/>
        <v>592</v>
      </c>
      <c r="F11" s="2">
        <f t="shared" si="3"/>
        <v>244</v>
      </c>
      <c r="G11" s="2">
        <f t="shared" si="3"/>
        <v>152</v>
      </c>
      <c r="H11" s="2">
        <f t="shared" si="3"/>
        <v>678</v>
      </c>
      <c r="I11" s="2">
        <f t="shared" ref="I11:Q11" si="4">I6-I9</f>
        <v>106</v>
      </c>
      <c r="J11" s="2">
        <f t="shared" si="4"/>
        <v>256.2</v>
      </c>
      <c r="K11" s="2">
        <f t="shared" si="4"/>
        <v>159.6</v>
      </c>
      <c r="L11" s="2">
        <f t="shared" si="4"/>
        <v>711.9</v>
      </c>
      <c r="M11" s="2">
        <f t="shared" si="4"/>
        <v>111.30000000000001</v>
      </c>
      <c r="N11" s="2">
        <f t="shared" si="4"/>
        <v>269.01</v>
      </c>
      <c r="O11" s="2">
        <f t="shared" si="4"/>
        <v>167.58</v>
      </c>
      <c r="P11" s="2">
        <f t="shared" si="4"/>
        <v>747.495</v>
      </c>
      <c r="Q11" s="2">
        <f t="shared" si="4"/>
        <v>116.86500000000002</v>
      </c>
      <c r="U11" s="2">
        <f t="shared" ref="U11:AJ11" si="5">U8-U9</f>
        <v>545</v>
      </c>
      <c r="V11" s="2">
        <f t="shared" si="5"/>
        <v>1754</v>
      </c>
      <c r="W11" s="2">
        <f>W8-W9</f>
        <v>1180</v>
      </c>
      <c r="X11" s="2">
        <f t="shared" si="5"/>
        <v>1238.9999999999998</v>
      </c>
      <c r="Y11" s="2">
        <f>Y8-Y9</f>
        <v>1300.95</v>
      </c>
      <c r="Z11" s="2">
        <f t="shared" si="5"/>
        <v>1339.9785000000002</v>
      </c>
      <c r="AA11" s="2">
        <f t="shared" si="5"/>
        <v>23126.955902475704</v>
      </c>
      <c r="AB11" s="2">
        <f t="shared" si="5"/>
        <v>74746.321476801459</v>
      </c>
      <c r="AC11" s="2">
        <f t="shared" si="5"/>
        <v>94367.230864461875</v>
      </c>
      <c r="AD11" s="2">
        <f t="shared" si="5"/>
        <v>95310.903173106504</v>
      </c>
      <c r="AE11" s="2">
        <f t="shared" si="5"/>
        <v>96264.012204837563</v>
      </c>
      <c r="AF11" s="2">
        <f t="shared" si="5"/>
        <v>97226.652326885931</v>
      </c>
      <c r="AG11" s="2">
        <f t="shared" si="5"/>
        <v>98198.918850154791</v>
      </c>
      <c r="AH11" s="2">
        <f t="shared" si="5"/>
        <v>99180.908038656344</v>
      </c>
      <c r="AI11" s="2">
        <f t="shared" si="5"/>
        <v>100172.71711904291</v>
      </c>
      <c r="AJ11" s="2">
        <f t="shared" si="5"/>
        <v>101174.44429023334</v>
      </c>
    </row>
    <row r="12" spans="1:37">
      <c r="A12" t="s">
        <v>179</v>
      </c>
      <c r="B12">
        <v>11180</v>
      </c>
      <c r="C12">
        <v>10719</v>
      </c>
      <c r="D12">
        <v>13355</v>
      </c>
      <c r="E12">
        <f>47127-D12-C12-B12</f>
        <v>11873</v>
      </c>
      <c r="F12">
        <v>11738</v>
      </c>
      <c r="G12">
        <v>12057</v>
      </c>
      <c r="H12">
        <v>14610</v>
      </c>
      <c r="I12" s="2">
        <f>Schedule!K121</f>
        <v>13639</v>
      </c>
      <c r="J12" s="2">
        <f>Schedule!L121</f>
        <v>10915.061999999998</v>
      </c>
      <c r="K12" s="2">
        <f>Schedule!M121</f>
        <v>10703.006496</v>
      </c>
      <c r="L12" s="2">
        <f>Schedule!N121</f>
        <v>10788.630547968001</v>
      </c>
      <c r="M12" s="2">
        <f>Schedule!O121</f>
        <v>10874.939592351744</v>
      </c>
      <c r="N12" s="2">
        <f>Schedule!P121</f>
        <v>10961.939109090559</v>
      </c>
      <c r="O12" s="2">
        <f>Schedule!Q121</f>
        <v>11049.634621963283</v>
      </c>
      <c r="P12" s="2">
        <f>Schedule!R121</f>
        <v>11138.03169893899</v>
      </c>
      <c r="Q12" s="2">
        <f>Schedule!S121</f>
        <v>11227.135952530502</v>
      </c>
      <c r="U12">
        <v>47474</v>
      </c>
      <c r="V12">
        <f>SUM(B12:E12)</f>
        <v>47127</v>
      </c>
      <c r="W12" s="2">
        <f>SUM(F12:I12)</f>
        <v>52044</v>
      </c>
      <c r="X12" s="2">
        <f>SUM(J12:M12)</f>
        <v>43281.638636319745</v>
      </c>
      <c r="Y12" s="2">
        <f>SUM(N12:Q12)</f>
        <v>44376.741382523338</v>
      </c>
    </row>
    <row r="13" spans="1:37">
      <c r="A13" t="s">
        <v>38</v>
      </c>
      <c r="B13">
        <v>3851</v>
      </c>
      <c r="C13">
        <v>4061</v>
      </c>
      <c r="D13">
        <v>3616</v>
      </c>
      <c r="E13">
        <f>15392-D13-C13-B13</f>
        <v>3864</v>
      </c>
      <c r="F13">
        <v>4271</v>
      </c>
      <c r="G13">
        <v>4112</v>
      </c>
      <c r="H13">
        <v>4402</v>
      </c>
      <c r="I13" s="2">
        <f>W13-H13-G13-F13</f>
        <v>3770</v>
      </c>
      <c r="J13" s="2">
        <f>I13*0.75</f>
        <v>2827.5</v>
      </c>
      <c r="K13" s="2">
        <f>J13*1.008</f>
        <v>2850.12</v>
      </c>
      <c r="L13" s="2">
        <f t="shared" ref="L13:Q13" si="6">K13*1.008</f>
        <v>2872.9209599999999</v>
      </c>
      <c r="M13" s="2">
        <f t="shared" si="6"/>
        <v>2895.9043276799998</v>
      </c>
      <c r="N13" s="2">
        <f t="shared" si="6"/>
        <v>2919.0715623014398</v>
      </c>
      <c r="O13" s="2">
        <f t="shared" si="6"/>
        <v>2942.4241347998513</v>
      </c>
      <c r="P13" s="2">
        <f t="shared" si="6"/>
        <v>2965.9635278782503</v>
      </c>
      <c r="Q13" s="2">
        <f t="shared" si="6"/>
        <v>2989.6912361012764</v>
      </c>
      <c r="U13">
        <v>13537</v>
      </c>
      <c r="V13">
        <f>SUM(B13:E13)</f>
        <v>15392</v>
      </c>
      <c r="W13" s="2">
        <v>16555</v>
      </c>
      <c r="X13" s="2">
        <f>SUM(J13:M13)</f>
        <v>11446.445287680001</v>
      </c>
      <c r="Y13" s="2">
        <f>SUM(N13:Q13)</f>
        <v>11817.150461080817</v>
      </c>
      <c r="Z13" s="2">
        <f>Y13*1.3</f>
        <v>15362.295599405063</v>
      </c>
      <c r="AA13" s="2">
        <f t="shared" ref="AA13" si="7">Z13*1.3</f>
        <v>19970.984279226581</v>
      </c>
      <c r="AB13" s="2">
        <f>AA13*1.01</f>
        <v>20170.694122018846</v>
      </c>
      <c r="AC13" s="2">
        <f t="shared" ref="AC13:AJ13" si="8">AB13*1.01</f>
        <v>20372.401063239035</v>
      </c>
      <c r="AD13" s="2">
        <f t="shared" si="8"/>
        <v>20576.125073871426</v>
      </c>
      <c r="AE13" s="2">
        <f t="shared" si="8"/>
        <v>20781.886324610139</v>
      </c>
      <c r="AF13" s="2">
        <f t="shared" si="8"/>
        <v>20989.705187856242</v>
      </c>
      <c r="AG13" s="2">
        <f t="shared" si="8"/>
        <v>21199.602239734802</v>
      </c>
      <c r="AH13" s="2">
        <f t="shared" si="8"/>
        <v>21411.598262132149</v>
      </c>
      <c r="AI13" s="2">
        <f t="shared" si="8"/>
        <v>21625.714244753472</v>
      </c>
      <c r="AJ13" s="2">
        <f t="shared" si="8"/>
        <v>21841.971387201007</v>
      </c>
    </row>
    <row r="14" spans="1:37">
      <c r="A14" t="s">
        <v>102</v>
      </c>
      <c r="B14" s="2">
        <f>B12+B13</f>
        <v>15031</v>
      </c>
      <c r="C14" s="2">
        <f t="shared" ref="C14:Q14" si="9">C12+C13</f>
        <v>14780</v>
      </c>
      <c r="D14" s="2">
        <f t="shared" si="9"/>
        <v>16971</v>
      </c>
      <c r="E14" s="2">
        <f t="shared" si="9"/>
        <v>15737</v>
      </c>
      <c r="F14" s="2">
        <f t="shared" si="9"/>
        <v>16009</v>
      </c>
      <c r="G14" s="2">
        <f t="shared" si="9"/>
        <v>16169</v>
      </c>
      <c r="H14" s="2">
        <f t="shared" si="9"/>
        <v>19012</v>
      </c>
      <c r="I14" s="2">
        <f t="shared" si="9"/>
        <v>17409</v>
      </c>
      <c r="J14" s="2">
        <f t="shared" si="9"/>
        <v>13742.561999999998</v>
      </c>
      <c r="K14" s="2">
        <f t="shared" si="9"/>
        <v>13553.126496000001</v>
      </c>
      <c r="L14" s="2">
        <f t="shared" si="9"/>
        <v>13661.551507968001</v>
      </c>
      <c r="M14" s="2">
        <f t="shared" si="9"/>
        <v>13770.843920031744</v>
      </c>
      <c r="N14" s="2">
        <f t="shared" si="9"/>
        <v>13881.010671391999</v>
      </c>
      <c r="O14" s="2">
        <f t="shared" si="9"/>
        <v>13992.058756763134</v>
      </c>
      <c r="P14" s="2">
        <f t="shared" si="9"/>
        <v>14103.99522681724</v>
      </c>
      <c r="Q14" s="2">
        <f t="shared" si="9"/>
        <v>14216.827188631778</v>
      </c>
      <c r="U14" s="2">
        <f t="shared" ref="U14" si="10">U12+U13</f>
        <v>61011</v>
      </c>
      <c r="V14" s="2">
        <f t="shared" ref="V14" si="11">V12+V13</f>
        <v>62519</v>
      </c>
      <c r="W14" s="2">
        <f t="shared" ref="W14" si="12">W12+W13</f>
        <v>68599</v>
      </c>
      <c r="X14" s="2">
        <f t="shared" ref="X14" si="13">X12+X13</f>
        <v>54728.083923999744</v>
      </c>
      <c r="Y14" s="2">
        <f t="shared" ref="Y14" si="14">Y12+Y13</f>
        <v>56193.891843604157</v>
      </c>
      <c r="Z14" s="2">
        <f t="shared" ref="Z14" si="15">Z12+Z13</f>
        <v>15362.295599405063</v>
      </c>
      <c r="AA14" s="2">
        <f t="shared" ref="AA14" si="16">AA12+AA13</f>
        <v>19970.984279226581</v>
      </c>
      <c r="AB14" s="2">
        <f t="shared" ref="AB14" si="17">AB12+AB13</f>
        <v>20170.694122018846</v>
      </c>
      <c r="AC14" s="2">
        <f t="shared" ref="AC14" si="18">AC12+AC13</f>
        <v>20372.401063239035</v>
      </c>
      <c r="AD14" s="2">
        <f t="shared" ref="AD14" si="19">AD12+AD13</f>
        <v>20576.125073871426</v>
      </c>
      <c r="AE14" s="2">
        <f t="shared" ref="AE14" si="20">AE12+AE13</f>
        <v>20781.886324610139</v>
      </c>
      <c r="AF14" s="2">
        <f t="shared" ref="AF14" si="21">AF12+AF13</f>
        <v>20989.705187856242</v>
      </c>
      <c r="AG14" s="2">
        <f t="shared" ref="AG14" si="22">AG12+AG13</f>
        <v>21199.602239734802</v>
      </c>
      <c r="AH14" s="2">
        <f t="shared" ref="AH14" si="23">AH12+AH13</f>
        <v>21411.598262132149</v>
      </c>
      <c r="AI14" s="2">
        <f t="shared" ref="AI14" si="24">AI12+AI13</f>
        <v>21625.714244753472</v>
      </c>
      <c r="AJ14" s="2">
        <f t="shared" ref="AJ14" si="25">AJ12+AJ13</f>
        <v>21841.971387201007</v>
      </c>
    </row>
    <row r="15" spans="1:37">
      <c r="A15" t="s">
        <v>281</v>
      </c>
      <c r="B15" s="2">
        <f>B11-B14</f>
        <v>-15031</v>
      </c>
      <c r="C15" s="2">
        <f t="shared" ref="C15:Q15" si="26">C11-C14</f>
        <v>-14534</v>
      </c>
      <c r="D15" s="2">
        <f t="shared" si="26"/>
        <v>-16055</v>
      </c>
      <c r="E15" s="2">
        <f t="shared" si="26"/>
        <v>-15145</v>
      </c>
      <c r="F15" s="2">
        <f t="shared" si="26"/>
        <v>-15765</v>
      </c>
      <c r="G15" s="2">
        <f t="shared" si="26"/>
        <v>-16017</v>
      </c>
      <c r="H15" s="2">
        <f t="shared" si="26"/>
        <v>-18334</v>
      </c>
      <c r="I15" s="2">
        <f t="shared" si="26"/>
        <v>-17303</v>
      </c>
      <c r="J15" s="2">
        <f t="shared" si="26"/>
        <v>-13486.361999999997</v>
      </c>
      <c r="K15" s="2">
        <f t="shared" si="26"/>
        <v>-13393.526496</v>
      </c>
      <c r="L15" s="2">
        <f t="shared" si="26"/>
        <v>-12949.651507968001</v>
      </c>
      <c r="M15" s="2">
        <f t="shared" si="26"/>
        <v>-13659.543920031745</v>
      </c>
      <c r="N15" s="2">
        <f t="shared" si="26"/>
        <v>-13612.000671391999</v>
      </c>
      <c r="O15" s="2">
        <f t="shared" si="26"/>
        <v>-13824.478756763134</v>
      </c>
      <c r="P15" s="2">
        <f t="shared" si="26"/>
        <v>-13356.500226817239</v>
      </c>
      <c r="Q15" s="2">
        <f t="shared" si="26"/>
        <v>-14099.962188631778</v>
      </c>
      <c r="U15" s="2">
        <f t="shared" ref="U15" si="27">U11-U14</f>
        <v>-60466</v>
      </c>
      <c r="V15" s="2">
        <f t="shared" ref="V15" si="28">V11-V14</f>
        <v>-60765</v>
      </c>
      <c r="W15" s="2">
        <f t="shared" ref="W15" si="29">W11-W14</f>
        <v>-67419</v>
      </c>
      <c r="X15" s="2">
        <f t="shared" ref="X15" si="30">X11-X14</f>
        <v>-53489.083923999744</v>
      </c>
      <c r="Y15" s="2">
        <f t="shared" ref="Y15" si="31">Y11-Y14</f>
        <v>-54892.94184360416</v>
      </c>
      <c r="Z15" s="2">
        <f t="shared" ref="Z15" si="32">Z11-Z14</f>
        <v>-14022.317099405063</v>
      </c>
      <c r="AA15" s="2">
        <f t="shared" ref="AA15" si="33">AA11-AA14</f>
        <v>3155.9716232491228</v>
      </c>
      <c r="AB15" s="2">
        <f t="shared" ref="AB15" si="34">AB11-AB14</f>
        <v>54575.627354782613</v>
      </c>
      <c r="AC15" s="2">
        <f t="shared" ref="AC15" si="35">AC11-AC14</f>
        <v>73994.829801222833</v>
      </c>
      <c r="AD15" s="2">
        <f t="shared" ref="AD15" si="36">AD11-AD14</f>
        <v>74734.778099235074</v>
      </c>
      <c r="AE15" s="2">
        <f t="shared" ref="AE15" si="37">AE11-AE14</f>
        <v>75482.125880227424</v>
      </c>
      <c r="AF15" s="2">
        <f t="shared" ref="AF15" si="38">AF11-AF14</f>
        <v>76236.947139029682</v>
      </c>
      <c r="AG15" s="2">
        <f t="shared" ref="AG15" si="39">AG11-AG14</f>
        <v>76999.316610419992</v>
      </c>
      <c r="AH15" s="2">
        <f t="shared" ref="AH15" si="40">AH11-AH14</f>
        <v>77769.309776524198</v>
      </c>
      <c r="AI15" s="2">
        <f t="shared" ref="AI15" si="41">AI11-AI14</f>
        <v>78547.002874289436</v>
      </c>
      <c r="AJ15" s="2">
        <f t="shared" ref="AJ15" si="42">AJ11-AJ14</f>
        <v>79332.472903032336</v>
      </c>
    </row>
    <row r="16" spans="1:37">
      <c r="A16" t="s">
        <v>39</v>
      </c>
      <c r="B16">
        <v>60</v>
      </c>
      <c r="C16">
        <v>50</v>
      </c>
      <c r="D16">
        <v>41</v>
      </c>
      <c r="E16">
        <f>210-D16-C16-B16</f>
        <v>59</v>
      </c>
      <c r="F16">
        <v>67</v>
      </c>
      <c r="G16">
        <v>169</v>
      </c>
      <c r="H16">
        <v>422</v>
      </c>
      <c r="I16" s="2">
        <f>W16-H16-G16-F16</f>
        <v>609</v>
      </c>
      <c r="U16">
        <v>1302</v>
      </c>
      <c r="V16">
        <f>SUM(B16:E16)</f>
        <v>210</v>
      </c>
      <c r="W16" s="2">
        <v>1267</v>
      </c>
      <c r="X16" s="2">
        <f>SUM(J16:M16)</f>
        <v>0</v>
      </c>
      <c r="Y16" s="2">
        <f>SUM(N16:Q16)</f>
        <v>0</v>
      </c>
    </row>
    <row r="17" spans="1:36 16384:16384">
      <c r="A17" t="s">
        <v>40</v>
      </c>
      <c r="C17">
        <v>-1</v>
      </c>
      <c r="D17">
        <v>-1</v>
      </c>
      <c r="F17">
        <v>-1</v>
      </c>
      <c r="G17">
        <v>-1</v>
      </c>
      <c r="H17">
        <v>-1</v>
      </c>
      <c r="I17" s="2">
        <f>W17-H17-G17-F17</f>
        <v>1</v>
      </c>
      <c r="U17">
        <v>-6</v>
      </c>
      <c r="V17">
        <f>SUM(B17:E17)</f>
        <v>-2</v>
      </c>
      <c r="W17" s="2">
        <v>-2</v>
      </c>
      <c r="X17" s="2">
        <f>SUM(J17:M17)</f>
        <v>0</v>
      </c>
      <c r="Y17" s="2">
        <f>SUM(N17:Q17)</f>
        <v>0</v>
      </c>
    </row>
    <row r="18" spans="1:36 16384:16384">
      <c r="A18" t="s">
        <v>41</v>
      </c>
      <c r="D18">
        <v>-1</v>
      </c>
      <c r="E18">
        <v>-3</v>
      </c>
      <c r="F18">
        <v>2</v>
      </c>
      <c r="G18">
        <v>7</v>
      </c>
      <c r="H18">
        <v>1</v>
      </c>
      <c r="I18" s="2">
        <f>W18-H18-G18-F18</f>
        <v>-3</v>
      </c>
      <c r="U18">
        <v>-3</v>
      </c>
      <c r="V18">
        <f>SUM(B18:E18)</f>
        <v>-4</v>
      </c>
      <c r="W18" s="2">
        <v>7</v>
      </c>
      <c r="X18" s="2">
        <f>SUM(J18:M18)</f>
        <v>0</v>
      </c>
      <c r="Y18" s="2">
        <f>SUM(N18:Q18)</f>
        <v>0</v>
      </c>
    </row>
    <row r="19" spans="1:36 16384:16384">
      <c r="A19" t="s">
        <v>285</v>
      </c>
      <c r="B19">
        <f>B16+B17+B18</f>
        <v>60</v>
      </c>
      <c r="C19">
        <f t="shared" ref="C19:Q19" si="43">C16+C17+C18</f>
        <v>49</v>
      </c>
      <c r="D19">
        <f t="shared" si="43"/>
        <v>39</v>
      </c>
      <c r="E19">
        <f t="shared" si="43"/>
        <v>56</v>
      </c>
      <c r="F19">
        <f t="shared" si="43"/>
        <v>68</v>
      </c>
      <c r="G19">
        <f t="shared" si="43"/>
        <v>175</v>
      </c>
      <c r="H19">
        <f t="shared" si="43"/>
        <v>422</v>
      </c>
      <c r="I19">
        <f t="shared" si="43"/>
        <v>607</v>
      </c>
      <c r="J19">
        <f t="shared" si="43"/>
        <v>0</v>
      </c>
      <c r="K19">
        <f t="shared" si="43"/>
        <v>0</v>
      </c>
      <c r="L19">
        <f t="shared" si="43"/>
        <v>0</v>
      </c>
      <c r="M19">
        <f t="shared" si="43"/>
        <v>0</v>
      </c>
      <c r="N19">
        <f t="shared" si="43"/>
        <v>0</v>
      </c>
      <c r="O19">
        <f t="shared" si="43"/>
        <v>0</v>
      </c>
      <c r="P19">
        <f t="shared" si="43"/>
        <v>0</v>
      </c>
      <c r="Q19">
        <f t="shared" si="43"/>
        <v>0</v>
      </c>
      <c r="U19">
        <f t="shared" ref="U19" si="44">U16+U17+U18</f>
        <v>1293</v>
      </c>
      <c r="V19">
        <f t="shared" ref="V19" si="45">V16+V17+V18</f>
        <v>204</v>
      </c>
      <c r="W19" s="2">
        <f>W16+W17+W18</f>
        <v>1272</v>
      </c>
      <c r="X19">
        <f t="shared" ref="X19" si="46">X16+X17+X18</f>
        <v>0</v>
      </c>
      <c r="Y19">
        <f t="shared" ref="Y19" si="47">Y16+Y17+Y18</f>
        <v>0</v>
      </c>
      <c r="Z19">
        <f t="shared" ref="Z19" si="48">Z16+Z17+Z18</f>
        <v>0</v>
      </c>
      <c r="AA19">
        <f t="shared" ref="AA19" si="49">AA16+AA17+AA18</f>
        <v>0</v>
      </c>
      <c r="AB19">
        <f t="shared" ref="AB19" si="50">AB16+AB17+AB18</f>
        <v>0</v>
      </c>
      <c r="AC19">
        <f t="shared" ref="AC19" si="51">AC16+AC17+AC18</f>
        <v>0</v>
      </c>
      <c r="AD19">
        <f t="shared" ref="AD19" si="52">AD16+AD17+AD18</f>
        <v>0</v>
      </c>
      <c r="AE19">
        <f t="shared" ref="AE19" si="53">AE16+AE17+AE18</f>
        <v>0</v>
      </c>
      <c r="AF19">
        <f t="shared" ref="AF19" si="54">AF16+AF17+AF18</f>
        <v>0</v>
      </c>
      <c r="AG19">
        <f t="shared" ref="AG19" si="55">AG16+AG17+AG18</f>
        <v>0</v>
      </c>
      <c r="AH19">
        <f t="shared" ref="AH19" si="56">AH16+AH17+AH18</f>
        <v>0</v>
      </c>
      <c r="AI19">
        <f t="shared" ref="AI19" si="57">AI16+AI17+AI18</f>
        <v>0</v>
      </c>
      <c r="AJ19">
        <f t="shared" ref="AJ19" si="58">AJ16+AJ17+AJ18</f>
        <v>0</v>
      </c>
    </row>
    <row r="20" spans="1:36 16384:16384">
      <c r="A20" t="s">
        <v>281</v>
      </c>
      <c r="B20" s="2">
        <f>B15+B19</f>
        <v>-14971</v>
      </c>
      <c r="C20" s="2">
        <f t="shared" ref="C20:Q20" si="59">C15+C19</f>
        <v>-14485</v>
      </c>
      <c r="D20" s="2">
        <f t="shared" si="59"/>
        <v>-16016</v>
      </c>
      <c r="E20" s="2">
        <f t="shared" si="59"/>
        <v>-15089</v>
      </c>
      <c r="F20" s="2">
        <f t="shared" si="59"/>
        <v>-15697</v>
      </c>
      <c r="G20" s="2">
        <f t="shared" si="59"/>
        <v>-15842</v>
      </c>
      <c r="H20" s="2">
        <f t="shared" si="59"/>
        <v>-17912</v>
      </c>
      <c r="I20" s="2">
        <f t="shared" si="59"/>
        <v>-16696</v>
      </c>
      <c r="J20" s="2">
        <f t="shared" si="59"/>
        <v>-13486.361999999997</v>
      </c>
      <c r="K20" s="2">
        <f t="shared" si="59"/>
        <v>-13393.526496</v>
      </c>
      <c r="L20" s="2">
        <f t="shared" si="59"/>
        <v>-12949.651507968001</v>
      </c>
      <c r="M20" s="2">
        <f t="shared" si="59"/>
        <v>-13659.543920031745</v>
      </c>
      <c r="N20" s="2">
        <f t="shared" si="59"/>
        <v>-13612.000671391999</v>
      </c>
      <c r="O20" s="2">
        <f t="shared" si="59"/>
        <v>-13824.478756763134</v>
      </c>
      <c r="P20" s="2">
        <f t="shared" si="59"/>
        <v>-13356.500226817239</v>
      </c>
      <c r="Q20" s="2">
        <f t="shared" si="59"/>
        <v>-14099.962188631778</v>
      </c>
      <c r="U20" s="2">
        <f t="shared" ref="U20" si="60">U15+U19</f>
        <v>-59173</v>
      </c>
      <c r="V20" s="2">
        <f t="shared" ref="V20" si="61">V15+V19</f>
        <v>-60561</v>
      </c>
      <c r="W20" s="2">
        <f t="shared" ref="W20" si="62">W15+W19</f>
        <v>-66147</v>
      </c>
      <c r="X20" s="2">
        <f t="shared" ref="X20" si="63">X15+X19</f>
        <v>-53489.083923999744</v>
      </c>
      <c r="Y20" s="2">
        <f t="shared" ref="Y20" si="64">Y15+Y19</f>
        <v>-54892.94184360416</v>
      </c>
      <c r="Z20" s="2">
        <f t="shared" ref="Z20" si="65">Z15+Z19</f>
        <v>-14022.317099405063</v>
      </c>
      <c r="AA20" s="2">
        <f t="shared" ref="AA20" si="66">AA15+AA19</f>
        <v>3155.9716232491228</v>
      </c>
      <c r="AB20" s="2">
        <f t="shared" ref="AB20" si="67">AB15+AB19</f>
        <v>54575.627354782613</v>
      </c>
      <c r="AC20" s="2">
        <f t="shared" ref="AC20" si="68">AC15+AC19</f>
        <v>73994.829801222833</v>
      </c>
      <c r="AD20" s="2">
        <f t="shared" ref="AD20" si="69">AD15+AD19</f>
        <v>74734.778099235074</v>
      </c>
      <c r="AE20" s="2">
        <f t="shared" ref="AE20" si="70">AE15+AE19</f>
        <v>75482.125880227424</v>
      </c>
      <c r="AF20" s="2">
        <f t="shared" ref="AF20" si="71">AF15+AF19</f>
        <v>76236.947139029682</v>
      </c>
      <c r="AG20" s="2">
        <f t="shared" ref="AG20" si="72">AG15+AG19</f>
        <v>76999.316610419992</v>
      </c>
      <c r="AH20" s="2">
        <f t="shared" ref="AH20" si="73">AH15+AH19</f>
        <v>77769.309776524198</v>
      </c>
      <c r="AI20" s="2">
        <f t="shared" ref="AI20" si="74">AI15+AI19</f>
        <v>78547.002874289436</v>
      </c>
      <c r="AJ20" s="2">
        <f t="shared" ref="AJ20" si="75">AJ15+AJ19</f>
        <v>79332.472903032336</v>
      </c>
    </row>
    <row r="21" spans="1:36 16384:16384">
      <c r="A21" t="s">
        <v>286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 16384:16384">
      <c r="A22" t="s">
        <v>84</v>
      </c>
      <c r="B22" s="2">
        <f>B20-B21</f>
        <v>-14971</v>
      </c>
      <c r="C22" s="2">
        <f t="shared" ref="C22:Q22" si="76">C20-C21</f>
        <v>-14485</v>
      </c>
      <c r="D22" s="2">
        <f t="shared" si="76"/>
        <v>-16016</v>
      </c>
      <c r="E22" s="2">
        <f t="shared" si="76"/>
        <v>-15089</v>
      </c>
      <c r="F22" s="2">
        <f t="shared" si="76"/>
        <v>-15697</v>
      </c>
      <c r="G22" s="2">
        <f t="shared" si="76"/>
        <v>-15842</v>
      </c>
      <c r="H22" s="2">
        <f t="shared" si="76"/>
        <v>-17912</v>
      </c>
      <c r="I22" s="2">
        <f t="shared" si="76"/>
        <v>-16696</v>
      </c>
      <c r="J22" s="2">
        <f t="shared" si="76"/>
        <v>-13486.361999999997</v>
      </c>
      <c r="K22" s="2">
        <f t="shared" si="76"/>
        <v>-13393.526496</v>
      </c>
      <c r="L22" s="2">
        <f t="shared" si="76"/>
        <v>-12949.651507968001</v>
      </c>
      <c r="M22" s="2">
        <f t="shared" si="76"/>
        <v>-13659.543920031745</v>
      </c>
      <c r="N22" s="2">
        <f t="shared" si="76"/>
        <v>-13612.000671391999</v>
      </c>
      <c r="O22" s="2">
        <f t="shared" si="76"/>
        <v>-13824.478756763134</v>
      </c>
      <c r="P22" s="2">
        <f t="shared" si="76"/>
        <v>-13356.500226817239</v>
      </c>
      <c r="Q22" s="2">
        <f t="shared" si="76"/>
        <v>-14099.962188631778</v>
      </c>
      <c r="U22" s="2">
        <f t="shared" ref="U22" si="77">U20-U21</f>
        <v>-59173</v>
      </c>
      <c r="V22" s="2">
        <f t="shared" ref="V22" si="78">V20-V21</f>
        <v>-60561</v>
      </c>
      <c r="W22" s="2">
        <f t="shared" ref="W22" si="79">W20-W21</f>
        <v>-66147</v>
      </c>
      <c r="X22" s="2">
        <f t="shared" ref="X22" si="80">X20-X21</f>
        <v>-53489.083923999744</v>
      </c>
      <c r="Y22" s="2">
        <f t="shared" ref="Y22" si="81">Y20-Y21</f>
        <v>-54892.94184360416</v>
      </c>
      <c r="Z22" s="2">
        <f t="shared" ref="Z22" si="82">Z20-Z21</f>
        <v>-14022.317099405063</v>
      </c>
      <c r="AA22" s="2">
        <f t="shared" ref="AA22" si="83">AA20-AA21</f>
        <v>3155.9716232491228</v>
      </c>
      <c r="AB22" s="2">
        <f t="shared" ref="AB22" si="84">AB20-AB21</f>
        <v>54575.627354782613</v>
      </c>
      <c r="AC22" s="2">
        <f t="shared" ref="AC22" si="85">AC20-AC21</f>
        <v>73994.829801222833</v>
      </c>
      <c r="AD22" s="2">
        <f t="shared" ref="AD22" si="86">AD20-AD21</f>
        <v>74734.778099235074</v>
      </c>
      <c r="AE22" s="2">
        <f t="shared" ref="AE22" si="87">AE20-AE21</f>
        <v>75482.125880227424</v>
      </c>
      <c r="AF22" s="2">
        <f t="shared" ref="AF22" si="88">AF20-AF21</f>
        <v>76236.947139029682</v>
      </c>
      <c r="AG22" s="2">
        <f t="shared" ref="AG22" si="89">AG20-AG21</f>
        <v>76999.316610419992</v>
      </c>
      <c r="AH22" s="2">
        <f t="shared" ref="AH22" si="90">AH20-AH21</f>
        <v>77769.309776524198</v>
      </c>
      <c r="AI22" s="2">
        <f t="shared" ref="AI22" si="91">AI20-AI21</f>
        <v>78547.002874289436</v>
      </c>
      <c r="AJ22" s="2">
        <f t="shared" ref="AJ22" si="92">AJ20-AJ21</f>
        <v>79332.472903032336</v>
      </c>
      <c r="XFD22" s="2"/>
    </row>
    <row r="23" spans="1:36 16384:16384">
      <c r="A23" t="s">
        <v>46</v>
      </c>
      <c r="B23" s="16">
        <v>41.545050000000003</v>
      </c>
      <c r="C23" s="16">
        <v>52.049424000000002</v>
      </c>
      <c r="D23" s="16">
        <v>55.336936000000001</v>
      </c>
      <c r="E23" s="16">
        <f>55.329711*4-D23-C23-B23</f>
        <v>72.387433999999999</v>
      </c>
      <c r="F23" s="16">
        <v>71.969007000000005</v>
      </c>
      <c r="G23" s="16">
        <v>72.106223999999997</v>
      </c>
      <c r="H23" s="16">
        <v>72.108113000000003</v>
      </c>
      <c r="I23" s="16">
        <f>W23*4-H23-G23-F23</f>
        <v>70.718572000000023</v>
      </c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>
        <v>35.835743999999998</v>
      </c>
      <c r="V23" s="16">
        <f>AVERAGE(B23:E23)</f>
        <v>55.329711000000003</v>
      </c>
      <c r="W23">
        <v>71.725479000000007</v>
      </c>
    </row>
    <row r="24" spans="1:36 16384:16384">
      <c r="A24" t="s">
        <v>287</v>
      </c>
      <c r="B24" s="16">
        <f>B22/B23/1000</f>
        <v>-0.36035580652809412</v>
      </c>
      <c r="C24" s="16">
        <f t="shared" ref="C24:Q24" si="93">C22/C23/1000</f>
        <v>-0.27829318533861197</v>
      </c>
      <c r="D24" s="16">
        <f t="shared" si="93"/>
        <v>-0.28942693899785127</v>
      </c>
      <c r="E24" s="16">
        <f t="shared" si="93"/>
        <v>-0.20844778114389304</v>
      </c>
      <c r="F24" s="16">
        <f t="shared" si="93"/>
        <v>-0.21810777519828778</v>
      </c>
      <c r="G24" s="16">
        <f t="shared" si="93"/>
        <v>-0.2197036416717647</v>
      </c>
      <c r="H24" s="16">
        <f t="shared" si="93"/>
        <v>-0.24840478074915093</v>
      </c>
      <c r="I24" s="16">
        <f t="shared" si="93"/>
        <v>-0.23609074006754541</v>
      </c>
      <c r="J24" s="16" t="e">
        <f t="shared" si="93"/>
        <v>#DIV/0!</v>
      </c>
      <c r="K24" s="16" t="e">
        <f t="shared" si="93"/>
        <v>#DIV/0!</v>
      </c>
      <c r="L24" s="16" t="e">
        <f t="shared" si="93"/>
        <v>#DIV/0!</v>
      </c>
      <c r="M24" s="16" t="e">
        <f t="shared" si="93"/>
        <v>#DIV/0!</v>
      </c>
      <c r="N24" s="16" t="e">
        <f t="shared" si="93"/>
        <v>#DIV/0!</v>
      </c>
      <c r="O24" s="16" t="e">
        <f t="shared" si="93"/>
        <v>#DIV/0!</v>
      </c>
      <c r="P24" s="16" t="e">
        <f t="shared" si="93"/>
        <v>#DIV/0!</v>
      </c>
      <c r="Q24" s="16" t="e">
        <f t="shared" si="93"/>
        <v>#DIV/0!</v>
      </c>
      <c r="R24" s="16"/>
      <c r="S24" s="16"/>
      <c r="T24" s="16"/>
      <c r="U24" s="16">
        <f>U22/U23/1000</f>
        <v>-1.6512284494498009</v>
      </c>
      <c r="V24" s="16">
        <f t="shared" ref="V24" si="94">V22/V23/1000</f>
        <v>-1.0945475569174759</v>
      </c>
      <c r="W24" s="16">
        <f t="shared" ref="W24" si="95">W22/W23/1000</f>
        <v>-0.92222458354025061</v>
      </c>
      <c r="X24" s="16" t="e">
        <f t="shared" ref="X24" si="96">X22/X23/1000</f>
        <v>#DIV/0!</v>
      </c>
      <c r="Y24" s="16" t="e">
        <f t="shared" ref="Y24" si="97">Y22/Y23/1000</f>
        <v>#DIV/0!</v>
      </c>
      <c r="Z24" s="16" t="e">
        <f t="shared" ref="Z24" si="98">Z22/Z23/1000</f>
        <v>#DIV/0!</v>
      </c>
      <c r="AA24" s="16" t="e">
        <f t="shared" ref="AA24" si="99">AA22/AA23/1000</f>
        <v>#DIV/0!</v>
      </c>
      <c r="AB24" s="16" t="e">
        <f t="shared" ref="AB24" si="100">AB22/AB23/1000</f>
        <v>#DIV/0!</v>
      </c>
      <c r="AC24" s="16" t="e">
        <f t="shared" ref="AC24" si="101">AC22/AC23/1000</f>
        <v>#DIV/0!</v>
      </c>
      <c r="AD24" s="16" t="e">
        <f t="shared" ref="AD24" si="102">AD22/AD23/1000</f>
        <v>#DIV/0!</v>
      </c>
      <c r="AE24" s="16" t="e">
        <f t="shared" ref="AE24" si="103">AE22/AE23/1000</f>
        <v>#DIV/0!</v>
      </c>
      <c r="AF24" s="16" t="e">
        <f t="shared" ref="AF24" si="104">AF22/AF23/1000</f>
        <v>#DIV/0!</v>
      </c>
      <c r="AG24" s="16" t="e">
        <f t="shared" ref="AG24" si="105">AG22/AG23/1000</f>
        <v>#DIV/0!</v>
      </c>
      <c r="AH24" s="16" t="e">
        <f t="shared" ref="AH24" si="106">AH22/AH23/1000</f>
        <v>#DIV/0!</v>
      </c>
      <c r="AI24" s="16" t="e">
        <f t="shared" ref="AI24" si="107">AI22/AI23/1000</f>
        <v>#DIV/0!</v>
      </c>
      <c r="AJ24" s="16" t="e">
        <f t="shared" ref="AJ24" si="108">AJ22/AJ23/1000</f>
        <v>#DIV/0!</v>
      </c>
    </row>
    <row r="25" spans="1:36 16384:16384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7" spans="1:36 16384:16384" s="18" customFormat="1">
      <c r="A27" s="18" t="s">
        <v>52</v>
      </c>
    </row>
    <row r="29" spans="1:36 16384:16384">
      <c r="A29" t="s">
        <v>53</v>
      </c>
      <c r="B29">
        <v>26704</v>
      </c>
      <c r="C29">
        <v>29244</v>
      </c>
      <c r="D29">
        <v>62925</v>
      </c>
      <c r="E29">
        <v>16438</v>
      </c>
      <c r="F29">
        <v>20851</v>
      </c>
      <c r="G29">
        <v>30901</v>
      </c>
      <c r="H29">
        <v>15622</v>
      </c>
      <c r="I29">
        <v>15861</v>
      </c>
      <c r="U29">
        <v>32507</v>
      </c>
      <c r="V29">
        <f>E29</f>
        <v>16438</v>
      </c>
    </row>
    <row r="30" spans="1:36 16384:16384">
      <c r="A30" t="s">
        <v>55</v>
      </c>
      <c r="B30">
        <v>67648</v>
      </c>
      <c r="C30">
        <v>86218</v>
      </c>
      <c r="D30">
        <v>87129</v>
      </c>
      <c r="E30">
        <v>112150</v>
      </c>
      <c r="F30">
        <v>99667</v>
      </c>
      <c r="G30">
        <v>75890</v>
      </c>
      <c r="H30">
        <v>76034</v>
      </c>
      <c r="I30">
        <v>61768</v>
      </c>
      <c r="U30">
        <v>67937</v>
      </c>
      <c r="V30">
        <f t="shared" ref="V30:V34" si="109">E30</f>
        <v>112150</v>
      </c>
    </row>
    <row r="31" spans="1:36 16384:16384">
      <c r="A31" t="s">
        <v>54</v>
      </c>
      <c r="C31">
        <v>1000</v>
      </c>
      <c r="D31">
        <v>1000</v>
      </c>
      <c r="H31">
        <v>1500</v>
      </c>
    </row>
    <row r="32" spans="1:36 16384:16384">
      <c r="A32" t="s">
        <v>57</v>
      </c>
      <c r="B32">
        <v>6845</v>
      </c>
      <c r="C32">
        <v>6219</v>
      </c>
      <c r="D32">
        <v>5548</v>
      </c>
      <c r="E32">
        <v>4721</v>
      </c>
      <c r="F32">
        <v>3900</v>
      </c>
      <c r="G32">
        <v>4306</v>
      </c>
      <c r="H32">
        <v>4302</v>
      </c>
      <c r="I32">
        <v>2153</v>
      </c>
      <c r="U32">
        <v>6402</v>
      </c>
      <c r="V32">
        <f t="shared" si="109"/>
        <v>4721</v>
      </c>
    </row>
    <row r="33" spans="1:22">
      <c r="A33" t="s">
        <v>58</v>
      </c>
      <c r="B33">
        <f t="shared" ref="B33:I33" si="110">B29+B30+B31+B32</f>
        <v>101197</v>
      </c>
      <c r="C33">
        <f t="shared" si="110"/>
        <v>122681</v>
      </c>
      <c r="D33">
        <f t="shared" si="110"/>
        <v>156602</v>
      </c>
      <c r="E33">
        <f t="shared" si="110"/>
        <v>133309</v>
      </c>
      <c r="F33">
        <f t="shared" si="110"/>
        <v>124418</v>
      </c>
      <c r="G33">
        <f t="shared" si="110"/>
        <v>111097</v>
      </c>
      <c r="H33">
        <f t="shared" si="110"/>
        <v>97458</v>
      </c>
      <c r="I33">
        <f t="shared" si="110"/>
        <v>79782</v>
      </c>
      <c r="U33">
        <f>U29+U30+U31+U32</f>
        <v>106846</v>
      </c>
      <c r="V33">
        <f>V29+V30+V31+V32</f>
        <v>133309</v>
      </c>
    </row>
    <row r="34" spans="1:22">
      <c r="A34" t="s">
        <v>56</v>
      </c>
      <c r="E34">
        <v>8041</v>
      </c>
      <c r="V34">
        <f t="shared" si="109"/>
        <v>8041</v>
      </c>
    </row>
    <row r="35" spans="1:22">
      <c r="A35" t="s">
        <v>59</v>
      </c>
      <c r="B35">
        <v>10174</v>
      </c>
      <c r="C35">
        <v>9928</v>
      </c>
      <c r="D35">
        <v>9625</v>
      </c>
      <c r="E35">
        <v>9088</v>
      </c>
      <c r="F35">
        <v>9082</v>
      </c>
      <c r="G35">
        <v>8464</v>
      </c>
      <c r="H35">
        <v>7901</v>
      </c>
      <c r="I35">
        <v>7323</v>
      </c>
      <c r="U35">
        <v>10776</v>
      </c>
      <c r="V35">
        <f t="shared" ref="V35:V39" si="111">E35</f>
        <v>9088</v>
      </c>
    </row>
    <row r="36" spans="1:22">
      <c r="A36" t="s">
        <v>60</v>
      </c>
      <c r="B36">
        <v>15065</v>
      </c>
      <c r="C36">
        <v>15008</v>
      </c>
      <c r="D36">
        <v>14455</v>
      </c>
      <c r="E36">
        <v>13889</v>
      </c>
      <c r="F36">
        <v>14893</v>
      </c>
      <c r="G36">
        <v>15034</v>
      </c>
      <c r="H36">
        <v>14240</v>
      </c>
      <c r="I36">
        <v>14356</v>
      </c>
      <c r="U36">
        <v>15527</v>
      </c>
      <c r="V36">
        <f t="shared" si="111"/>
        <v>13889</v>
      </c>
    </row>
    <row r="37" spans="1:22">
      <c r="A37" t="s">
        <v>61</v>
      </c>
      <c r="B37">
        <v>1097</v>
      </c>
      <c r="C37">
        <v>1097</v>
      </c>
      <c r="D37">
        <v>1097</v>
      </c>
      <c r="E37">
        <v>1097</v>
      </c>
      <c r="F37">
        <v>1097</v>
      </c>
      <c r="G37">
        <v>1097</v>
      </c>
      <c r="H37">
        <v>1097</v>
      </c>
      <c r="I37">
        <v>1097</v>
      </c>
      <c r="U37">
        <v>1097</v>
      </c>
      <c r="V37">
        <f t="shared" si="111"/>
        <v>1097</v>
      </c>
    </row>
    <row r="38" spans="1:22">
      <c r="A38" t="s">
        <v>62</v>
      </c>
      <c r="B38">
        <v>8208</v>
      </c>
      <c r="C38">
        <v>8164</v>
      </c>
      <c r="D38">
        <v>8750</v>
      </c>
      <c r="E38">
        <v>9309</v>
      </c>
      <c r="F38">
        <v>9797</v>
      </c>
      <c r="G38">
        <v>7836</v>
      </c>
      <c r="H38">
        <v>7529</v>
      </c>
      <c r="I38">
        <v>8300</v>
      </c>
      <c r="U38">
        <v>9590</v>
      </c>
      <c r="V38">
        <f t="shared" si="111"/>
        <v>9309</v>
      </c>
    </row>
    <row r="39" spans="1:22">
      <c r="A39" t="s">
        <v>63</v>
      </c>
      <c r="B39">
        <v>4</v>
      </c>
      <c r="C39">
        <v>6</v>
      </c>
      <c r="D39">
        <v>7</v>
      </c>
      <c r="E39">
        <v>3</v>
      </c>
      <c r="F39">
        <v>22</v>
      </c>
      <c r="G39">
        <v>17</v>
      </c>
      <c r="H39">
        <v>12</v>
      </c>
      <c r="I39">
        <v>7</v>
      </c>
      <c r="U39">
        <v>4</v>
      </c>
      <c r="V39">
        <f t="shared" si="111"/>
        <v>3</v>
      </c>
    </row>
    <row r="40" spans="1:22">
      <c r="A40" t="s">
        <v>64</v>
      </c>
      <c r="B40">
        <f>B33+B35+B36+B37+B38+B39+B34</f>
        <v>135745</v>
      </c>
      <c r="C40">
        <f t="shared" ref="C40:I40" si="112">C33+C35+C36+C37+C38+C39+C34</f>
        <v>156884</v>
      </c>
      <c r="D40">
        <f t="shared" si="112"/>
        <v>190536</v>
      </c>
      <c r="E40">
        <f t="shared" si="112"/>
        <v>174736</v>
      </c>
      <c r="F40">
        <f t="shared" si="112"/>
        <v>159309</v>
      </c>
      <c r="G40">
        <f t="shared" si="112"/>
        <v>143545</v>
      </c>
      <c r="H40">
        <f t="shared" si="112"/>
        <v>128237</v>
      </c>
      <c r="I40">
        <f t="shared" si="112"/>
        <v>110865</v>
      </c>
      <c r="U40">
        <f t="shared" ref="U40:V40" si="113">U33+U35+U36+U37+U38+U39+U34</f>
        <v>143840</v>
      </c>
      <c r="V40">
        <f t="shared" si="113"/>
        <v>174736</v>
      </c>
    </row>
    <row r="42" spans="1:22">
      <c r="A42" t="s">
        <v>65</v>
      </c>
      <c r="B42">
        <v>1563</v>
      </c>
      <c r="C42">
        <v>2121</v>
      </c>
      <c r="D42">
        <v>2522</v>
      </c>
      <c r="E42">
        <v>1944</v>
      </c>
      <c r="F42">
        <v>2409</v>
      </c>
      <c r="G42">
        <v>1502</v>
      </c>
      <c r="H42">
        <v>1718</v>
      </c>
      <c r="I42">
        <v>1785</v>
      </c>
      <c r="U42">
        <v>1995</v>
      </c>
      <c r="V42">
        <f t="shared" ref="V42:V46" si="114">E42</f>
        <v>1944</v>
      </c>
    </row>
    <row r="43" spans="1:22">
      <c r="A43" t="s">
        <v>66</v>
      </c>
      <c r="B43">
        <v>2802</v>
      </c>
      <c r="C43">
        <v>3615</v>
      </c>
      <c r="D43">
        <v>3984</v>
      </c>
      <c r="E43">
        <v>4402</v>
      </c>
      <c r="F43">
        <v>2668</v>
      </c>
      <c r="G43">
        <v>3249</v>
      </c>
      <c r="H43">
        <v>4770</v>
      </c>
      <c r="I43">
        <v>5290</v>
      </c>
      <c r="U43">
        <v>3773</v>
      </c>
      <c r="V43">
        <f t="shared" si="114"/>
        <v>4402</v>
      </c>
    </row>
    <row r="44" spans="1:22">
      <c r="A44" t="s">
        <v>67</v>
      </c>
      <c r="C44">
        <v>904</v>
      </c>
      <c r="D44">
        <v>988</v>
      </c>
      <c r="E44">
        <v>531</v>
      </c>
      <c r="F44">
        <v>314</v>
      </c>
      <c r="G44">
        <v>149</v>
      </c>
      <c r="H44">
        <v>971</v>
      </c>
      <c r="I44">
        <v>882</v>
      </c>
      <c r="V44">
        <f t="shared" si="114"/>
        <v>531</v>
      </c>
    </row>
    <row r="45" spans="1:22">
      <c r="A45" t="s">
        <v>234</v>
      </c>
      <c r="B45">
        <v>2620</v>
      </c>
      <c r="C45">
        <v>2982</v>
      </c>
      <c r="D45">
        <v>3085</v>
      </c>
      <c r="E45">
        <v>3191</v>
      </c>
      <c r="F45">
        <v>4261</v>
      </c>
      <c r="G45">
        <v>3993</v>
      </c>
      <c r="H45">
        <v>4130</v>
      </c>
      <c r="I45">
        <v>4152</v>
      </c>
      <c r="U45">
        <v>2531</v>
      </c>
      <c r="V45">
        <f t="shared" si="114"/>
        <v>3191</v>
      </c>
    </row>
    <row r="46" spans="1:22">
      <c r="A46" t="s">
        <v>68</v>
      </c>
      <c r="B46">
        <v>1</v>
      </c>
      <c r="C46">
        <v>11</v>
      </c>
      <c r="D46">
        <v>12</v>
      </c>
      <c r="E46">
        <v>12</v>
      </c>
      <c r="F46">
        <v>12</v>
      </c>
      <c r="G46">
        <v>13</v>
      </c>
      <c r="H46">
        <v>13</v>
      </c>
      <c r="I46">
        <v>13</v>
      </c>
      <c r="U46">
        <v>2</v>
      </c>
      <c r="V46">
        <f t="shared" si="114"/>
        <v>12</v>
      </c>
    </row>
    <row r="47" spans="1:22">
      <c r="A47" t="s">
        <v>69</v>
      </c>
      <c r="B47">
        <f t="shared" ref="B47:I47" si="115">B42+B43+B44+B45+B46</f>
        <v>6986</v>
      </c>
      <c r="C47">
        <f t="shared" si="115"/>
        <v>9633</v>
      </c>
      <c r="D47">
        <f t="shared" si="115"/>
        <v>10591</v>
      </c>
      <c r="E47">
        <f t="shared" si="115"/>
        <v>10080</v>
      </c>
      <c r="F47">
        <f t="shared" si="115"/>
        <v>9664</v>
      </c>
      <c r="G47">
        <f t="shared" si="115"/>
        <v>8906</v>
      </c>
      <c r="H47">
        <f t="shared" si="115"/>
        <v>11602</v>
      </c>
      <c r="I47">
        <f t="shared" si="115"/>
        <v>12122</v>
      </c>
      <c r="U47">
        <f>U42+U43+U44+U45+U46</f>
        <v>8301</v>
      </c>
      <c r="V47">
        <f>V42+V43+V44+V45+V46</f>
        <v>10080</v>
      </c>
    </row>
    <row r="49" spans="1:22">
      <c r="A49" t="s">
        <v>233</v>
      </c>
      <c r="B49">
        <v>19578</v>
      </c>
      <c r="C49">
        <v>19018</v>
      </c>
      <c r="D49">
        <v>18211</v>
      </c>
      <c r="E49">
        <v>17372</v>
      </c>
      <c r="F49">
        <v>17336</v>
      </c>
      <c r="G49">
        <v>17278</v>
      </c>
      <c r="H49">
        <v>16199</v>
      </c>
      <c r="I49">
        <v>16129</v>
      </c>
      <c r="U49">
        <v>20273</v>
      </c>
      <c r="V49">
        <f t="shared" ref="V49:V50" si="116">E49</f>
        <v>17372</v>
      </c>
    </row>
    <row r="50" spans="1:22">
      <c r="A50" t="s">
        <v>70</v>
      </c>
      <c r="B50">
        <v>131</v>
      </c>
      <c r="C50">
        <v>24</v>
      </c>
      <c r="D50">
        <v>21</v>
      </c>
      <c r="E50">
        <v>18</v>
      </c>
      <c r="F50">
        <v>15</v>
      </c>
      <c r="G50">
        <v>11</v>
      </c>
      <c r="H50">
        <v>8</v>
      </c>
      <c r="I50">
        <v>4</v>
      </c>
      <c r="U50">
        <v>131</v>
      </c>
      <c r="V50">
        <f t="shared" si="116"/>
        <v>18</v>
      </c>
    </row>
    <row r="51" spans="1:22">
      <c r="A51" t="s">
        <v>82</v>
      </c>
      <c r="C51">
        <v>131</v>
      </c>
      <c r="D51">
        <v>131</v>
      </c>
    </row>
    <row r="52" spans="1:22">
      <c r="A52" t="s">
        <v>71</v>
      </c>
      <c r="B52">
        <f>B49+B50+B51</f>
        <v>19709</v>
      </c>
      <c r="C52">
        <f>C49+C50+C51</f>
        <v>19173</v>
      </c>
      <c r="D52">
        <f t="shared" ref="D52:H52" si="117">D49+D50+D51</f>
        <v>18363</v>
      </c>
      <c r="E52">
        <f t="shared" si="117"/>
        <v>17390</v>
      </c>
      <c r="F52">
        <f t="shared" si="117"/>
        <v>17351</v>
      </c>
      <c r="G52">
        <f t="shared" si="117"/>
        <v>17289</v>
      </c>
      <c r="H52">
        <f t="shared" si="117"/>
        <v>16207</v>
      </c>
      <c r="I52">
        <f t="shared" ref="I52" si="118">I49+I50+I51</f>
        <v>16133</v>
      </c>
      <c r="U52">
        <f>U49+U50</f>
        <v>20404</v>
      </c>
      <c r="V52">
        <f>V49+V50</f>
        <v>17390</v>
      </c>
    </row>
    <row r="53" spans="1:22">
      <c r="A53" t="s">
        <v>72</v>
      </c>
      <c r="B53">
        <f t="shared" ref="B53:H53" si="119">B47+B52</f>
        <v>26695</v>
      </c>
      <c r="C53">
        <f t="shared" si="119"/>
        <v>28806</v>
      </c>
      <c r="D53">
        <f t="shared" si="119"/>
        <v>28954</v>
      </c>
      <c r="E53">
        <f t="shared" si="119"/>
        <v>27470</v>
      </c>
      <c r="F53">
        <f t="shared" si="119"/>
        <v>27015</v>
      </c>
      <c r="G53">
        <f t="shared" si="119"/>
        <v>26195</v>
      </c>
      <c r="H53">
        <f t="shared" si="119"/>
        <v>27809</v>
      </c>
      <c r="I53">
        <f t="shared" ref="I53" si="120">I47+I52</f>
        <v>28255</v>
      </c>
      <c r="U53">
        <f>U47+U52</f>
        <v>28705</v>
      </c>
      <c r="V53">
        <f>V47+V52</f>
        <v>27470</v>
      </c>
    </row>
    <row r="55" spans="1:22">
      <c r="A55" t="s">
        <v>73</v>
      </c>
      <c r="B55">
        <v>41</v>
      </c>
      <c r="C55">
        <v>52</v>
      </c>
      <c r="D55">
        <v>70</v>
      </c>
      <c r="E55">
        <v>70</v>
      </c>
      <c r="F55">
        <v>70</v>
      </c>
      <c r="G55">
        <v>70</v>
      </c>
      <c r="H55">
        <v>70</v>
      </c>
      <c r="I55">
        <v>71</v>
      </c>
      <c r="U55">
        <v>38</v>
      </c>
      <c r="V55">
        <f t="shared" ref="V55:V58" si="121">E55</f>
        <v>70</v>
      </c>
    </row>
    <row r="56" spans="1:22">
      <c r="A56" t="s">
        <v>74</v>
      </c>
      <c r="B56">
        <v>354286</v>
      </c>
      <c r="C56">
        <v>387782</v>
      </c>
      <c r="D56">
        <v>437286</v>
      </c>
      <c r="E56">
        <v>438113</v>
      </c>
      <c r="F56">
        <v>439138</v>
      </c>
      <c r="G56">
        <v>440124</v>
      </c>
      <c r="H56">
        <v>441072</v>
      </c>
      <c r="I56">
        <v>442237</v>
      </c>
      <c r="U56">
        <v>345394</v>
      </c>
      <c r="V56">
        <f t="shared" si="121"/>
        <v>438113</v>
      </c>
    </row>
    <row r="57" spans="1:22">
      <c r="A57" t="s">
        <v>75</v>
      </c>
      <c r="B57">
        <v>5</v>
      </c>
      <c r="C57">
        <v>11</v>
      </c>
      <c r="D57">
        <v>9</v>
      </c>
      <c r="E57">
        <v>-45</v>
      </c>
      <c r="F57">
        <v>-345</v>
      </c>
      <c r="G57">
        <v>-433</v>
      </c>
      <c r="H57">
        <v>-391</v>
      </c>
      <c r="I57">
        <v>-161</v>
      </c>
      <c r="U57">
        <v>14</v>
      </c>
      <c r="V57">
        <f t="shared" si="121"/>
        <v>-45</v>
      </c>
    </row>
    <row r="58" spans="1:22" customFormat="1">
      <c r="A58" t="s">
        <v>76</v>
      </c>
      <c r="B58">
        <v>-245282</v>
      </c>
      <c r="C58">
        <v>-259767</v>
      </c>
      <c r="D58">
        <v>-275783</v>
      </c>
      <c r="E58">
        <v>-290872</v>
      </c>
      <c r="F58">
        <v>-306569</v>
      </c>
      <c r="G58">
        <v>-322411</v>
      </c>
      <c r="H58">
        <v>-340323</v>
      </c>
      <c r="I58">
        <v>-357019</v>
      </c>
      <c r="U58">
        <v>-230311</v>
      </c>
      <c r="V58">
        <f t="shared" si="121"/>
        <v>-290872</v>
      </c>
    </row>
    <row r="59" spans="1:22" customFormat="1">
      <c r="A59" t="s">
        <v>297</v>
      </c>
      <c r="I59">
        <v>-2518</v>
      </c>
    </row>
    <row r="60" spans="1:22" customFormat="1">
      <c r="A60" t="s">
        <v>77</v>
      </c>
      <c r="B60">
        <f>B55+B56+B57+B58+B59</f>
        <v>109050</v>
      </c>
      <c r="C60">
        <f t="shared" ref="C60:H60" si="122">C55+C56+C57+C58+C59</f>
        <v>128078</v>
      </c>
      <c r="D60">
        <f t="shared" si="122"/>
        <v>161582</v>
      </c>
      <c r="E60">
        <f t="shared" si="122"/>
        <v>147266</v>
      </c>
      <c r="F60">
        <f t="shared" si="122"/>
        <v>132294</v>
      </c>
      <c r="G60">
        <f t="shared" si="122"/>
        <v>117350</v>
      </c>
      <c r="H60">
        <f t="shared" si="122"/>
        <v>100428</v>
      </c>
      <c r="I60">
        <f>I55+I56+I57+I58+I59</f>
        <v>82610</v>
      </c>
      <c r="U60">
        <f>U55+U56+U57+U58</f>
        <v>115135</v>
      </c>
      <c r="V60">
        <f>V55+V56+V57+V58</f>
        <v>147266</v>
      </c>
    </row>
    <row r="62" spans="1:22" customFormat="1">
      <c r="A62" t="s">
        <v>78</v>
      </c>
      <c r="B62">
        <f>+B60+B53</f>
        <v>135745</v>
      </c>
      <c r="C62">
        <f t="shared" ref="C62:D62" si="123">+C60+C53</f>
        <v>156884</v>
      </c>
      <c r="D62">
        <f t="shared" si="123"/>
        <v>190536</v>
      </c>
      <c r="E62">
        <f>+E60+E53</f>
        <v>174736</v>
      </c>
      <c r="F62">
        <f t="shared" ref="F62:H62" si="124">+F60+F53</f>
        <v>159309</v>
      </c>
      <c r="G62">
        <f t="shared" si="124"/>
        <v>143545</v>
      </c>
      <c r="H62">
        <f t="shared" si="124"/>
        <v>128237</v>
      </c>
      <c r="I62">
        <f>+I60+I53</f>
        <v>110865</v>
      </c>
      <c r="U62">
        <f>+U60+U53</f>
        <v>143840</v>
      </c>
      <c r="V62">
        <f>+V60+V53</f>
        <v>174736</v>
      </c>
    </row>
    <row r="63" spans="1:22" customFormat="1">
      <c r="A63" t="s">
        <v>79</v>
      </c>
      <c r="B63">
        <f>B62-B40</f>
        <v>0</v>
      </c>
      <c r="C63">
        <f t="shared" ref="C63:D63" si="125">C62-C40</f>
        <v>0</v>
      </c>
      <c r="D63">
        <f t="shared" si="125"/>
        <v>0</v>
      </c>
      <c r="E63">
        <f>E62-E40</f>
        <v>0</v>
      </c>
      <c r="F63">
        <f>F62-F40</f>
        <v>0</v>
      </c>
      <c r="G63">
        <f>G62-G40</f>
        <v>0</v>
      </c>
      <c r="H63">
        <f>H62-H40</f>
        <v>0</v>
      </c>
      <c r="I63">
        <f>I62-I40</f>
        <v>0</v>
      </c>
      <c r="U63">
        <f>U62-U40</f>
        <v>0</v>
      </c>
      <c r="V63">
        <f>V62-V40</f>
        <v>0</v>
      </c>
    </row>
    <row r="65" spans="1:23" s="19" customFormat="1">
      <c r="A65" s="18" t="s">
        <v>83</v>
      </c>
    </row>
    <row r="67" spans="1:23" customFormat="1">
      <c r="A67" t="s">
        <v>84</v>
      </c>
      <c r="B67" s="2">
        <f>B22</f>
        <v>-14971</v>
      </c>
      <c r="C67" s="2">
        <f t="shared" ref="C67:I67" si="126">C22</f>
        <v>-14485</v>
      </c>
      <c r="D67" s="2">
        <f t="shared" si="126"/>
        <v>-16016</v>
      </c>
      <c r="E67" s="2">
        <f t="shared" si="126"/>
        <v>-15089</v>
      </c>
      <c r="F67" s="2">
        <f t="shared" si="126"/>
        <v>-15697</v>
      </c>
      <c r="G67" s="2">
        <f t="shared" si="126"/>
        <v>-15842</v>
      </c>
      <c r="H67" s="2">
        <f t="shared" si="126"/>
        <v>-17912</v>
      </c>
      <c r="I67" s="2">
        <f t="shared" si="126"/>
        <v>-16696</v>
      </c>
      <c r="U67" s="2">
        <f>U22</f>
        <v>-59173</v>
      </c>
      <c r="V67" s="2">
        <f>V22</f>
        <v>-60561</v>
      </c>
      <c r="W67" s="2">
        <f>W22</f>
        <v>-66147</v>
      </c>
    </row>
    <row r="68" spans="1:23" customFormat="1">
      <c r="A68" t="s">
        <v>85</v>
      </c>
      <c r="B68">
        <v>626</v>
      </c>
      <c r="C68">
        <f>1232-B68</f>
        <v>606</v>
      </c>
      <c r="D68">
        <f>1832-C68-B68</f>
        <v>600</v>
      </c>
      <c r="E68">
        <f>2443-D68-C68-B68</f>
        <v>611</v>
      </c>
      <c r="F68">
        <v>601</v>
      </c>
      <c r="G68">
        <f>1257-F68</f>
        <v>656</v>
      </c>
      <c r="H68">
        <f>1907-G68-F68</f>
        <v>650</v>
      </c>
      <c r="I68">
        <f>W68-H68-G68-F68</f>
        <v>613</v>
      </c>
      <c r="U68">
        <v>2636</v>
      </c>
      <c r="V68">
        <f t="shared" ref="V68:V70" si="127">SUM(B68:E68)</f>
        <v>2443</v>
      </c>
      <c r="W68">
        <v>2520</v>
      </c>
    </row>
    <row r="69" spans="1:23" customFormat="1">
      <c r="A69" t="s">
        <v>86</v>
      </c>
      <c r="B69">
        <v>877</v>
      </c>
      <c r="C69">
        <f>1753-B69</f>
        <v>876</v>
      </c>
      <c r="D69">
        <f>2561-C69-B69</f>
        <v>808</v>
      </c>
      <c r="E69">
        <f>3361-D69-C69-B69</f>
        <v>800</v>
      </c>
      <c r="F69">
        <v>890</v>
      </c>
      <c r="G69">
        <f>1867-F69</f>
        <v>977</v>
      </c>
      <c r="H69">
        <f>2761-G69-F69</f>
        <v>894</v>
      </c>
      <c r="I69">
        <f t="shared" ref="I69:I78" si="128">W69-H69-G69-F69</f>
        <v>878</v>
      </c>
      <c r="U69">
        <v>3907</v>
      </c>
      <c r="V69">
        <f t="shared" si="127"/>
        <v>3361</v>
      </c>
      <c r="W69">
        <v>3639</v>
      </c>
    </row>
    <row r="70" spans="1:23" customFormat="1">
      <c r="A70" t="s">
        <v>87</v>
      </c>
      <c r="B70">
        <v>105</v>
      </c>
      <c r="C70">
        <f>184-B70</f>
        <v>79</v>
      </c>
      <c r="D70">
        <f>243-C70-B70</f>
        <v>59</v>
      </c>
      <c r="E70">
        <f>261-D70-C70-B70</f>
        <v>18</v>
      </c>
      <c r="F70">
        <v>-11</v>
      </c>
      <c r="G70">
        <f>-87-F70</f>
        <v>-76</v>
      </c>
      <c r="H70">
        <f>-364-G70-F70</f>
        <v>-277</v>
      </c>
      <c r="I70">
        <f t="shared" si="128"/>
        <v>-408</v>
      </c>
      <c r="U70">
        <v>-21</v>
      </c>
      <c r="V70">
        <f t="shared" si="127"/>
        <v>261</v>
      </c>
      <c r="W70">
        <v>-772</v>
      </c>
    </row>
    <row r="71" spans="1:23" customFormat="1">
      <c r="A71" t="s">
        <v>132</v>
      </c>
      <c r="B71">
        <v>462</v>
      </c>
      <c r="C71">
        <f>979-B71</f>
        <v>517</v>
      </c>
      <c r="D71">
        <f>1532-C71-B71</f>
        <v>553</v>
      </c>
      <c r="E71">
        <f>V71-D71-C71-B71</f>
        <v>566</v>
      </c>
      <c r="F71">
        <v>769</v>
      </c>
      <c r="G71">
        <f>1554-F71</f>
        <v>785</v>
      </c>
      <c r="H71">
        <f>2347-G71-F71</f>
        <v>793</v>
      </c>
      <c r="I71">
        <f t="shared" si="128"/>
        <v>802</v>
      </c>
      <c r="U71">
        <v>1736</v>
      </c>
      <c r="V71">
        <v>2098</v>
      </c>
      <c r="W71">
        <v>3149</v>
      </c>
    </row>
    <row r="72" spans="1:23" customFormat="1">
      <c r="A72" t="s">
        <v>54</v>
      </c>
      <c r="C72">
        <v>-1000</v>
      </c>
      <c r="E72">
        <f>V72-D72-C72-B72</f>
        <v>1000</v>
      </c>
      <c r="H72">
        <v>-1500</v>
      </c>
      <c r="I72">
        <f t="shared" si="128"/>
        <v>1500</v>
      </c>
    </row>
    <row r="73" spans="1:23" customFormat="1">
      <c r="A73" t="s">
        <v>57</v>
      </c>
      <c r="B73">
        <v>-443</v>
      </c>
      <c r="C73">
        <f>183-B73</f>
        <v>626</v>
      </c>
      <c r="D73">
        <f>854-C73-B73</f>
        <v>671</v>
      </c>
      <c r="E73">
        <f>V73-D73-C73-B73</f>
        <v>827</v>
      </c>
      <c r="F73">
        <v>821</v>
      </c>
      <c r="G73">
        <f>415-F73</f>
        <v>-406</v>
      </c>
      <c r="H73">
        <f>419-G73-F73</f>
        <v>4</v>
      </c>
      <c r="I73">
        <f t="shared" si="128"/>
        <v>2149</v>
      </c>
      <c r="U73">
        <v>7273</v>
      </c>
      <c r="V73">
        <v>1681</v>
      </c>
      <c r="W73">
        <v>2568</v>
      </c>
    </row>
    <row r="74" spans="1:23" customFormat="1">
      <c r="A74" t="s">
        <v>88</v>
      </c>
      <c r="B74">
        <v>1382</v>
      </c>
      <c r="C74">
        <f>1426-B74</f>
        <v>44</v>
      </c>
      <c r="D74">
        <f>840-C74-B74</f>
        <v>-586</v>
      </c>
      <c r="E74">
        <f t="shared" ref="E74:E78" si="129">V74-D74-C74-B74</f>
        <v>-559</v>
      </c>
      <c r="F74">
        <v>-488</v>
      </c>
      <c r="G74">
        <f>1473-F74</f>
        <v>1961</v>
      </c>
      <c r="H74">
        <f>1780-G74-F74</f>
        <v>307</v>
      </c>
      <c r="I74">
        <f t="shared" si="128"/>
        <v>-771</v>
      </c>
      <c r="U74">
        <v>6791</v>
      </c>
      <c r="V74">
        <v>281</v>
      </c>
      <c r="W74">
        <v>1009</v>
      </c>
    </row>
    <row r="75" spans="1:23" customFormat="1">
      <c r="A75" t="s">
        <v>89</v>
      </c>
      <c r="B75">
        <v>-1408</v>
      </c>
      <c r="C75">
        <f>-260-B75</f>
        <v>1148</v>
      </c>
      <c r="D75">
        <f>455-C75-B75</f>
        <v>715</v>
      </c>
      <c r="E75">
        <f t="shared" si="129"/>
        <v>83</v>
      </c>
      <c r="F75">
        <v>-1387</v>
      </c>
      <c r="G75">
        <f>-1599-F75</f>
        <v>-212</v>
      </c>
      <c r="H75">
        <f>107-G75-F75</f>
        <v>1706</v>
      </c>
      <c r="I75">
        <f t="shared" si="128"/>
        <v>590</v>
      </c>
      <c r="U75">
        <v>-349</v>
      </c>
      <c r="V75">
        <v>538</v>
      </c>
      <c r="W75">
        <v>697</v>
      </c>
    </row>
    <row r="76" spans="1:23" customFormat="1">
      <c r="A76" t="s">
        <v>67</v>
      </c>
      <c r="C76">
        <f>904-B76</f>
        <v>904</v>
      </c>
      <c r="D76">
        <f>988-C76-B76</f>
        <v>84</v>
      </c>
      <c r="E76">
        <f t="shared" si="129"/>
        <v>-457</v>
      </c>
      <c r="F76">
        <v>-217</v>
      </c>
      <c r="G76">
        <f>-382-F76</f>
        <v>-165</v>
      </c>
      <c r="H76">
        <f>440-G76-F76</f>
        <v>822</v>
      </c>
      <c r="I76">
        <f t="shared" si="128"/>
        <v>-89</v>
      </c>
      <c r="U76">
        <v>-544</v>
      </c>
      <c r="V76">
        <v>531</v>
      </c>
      <c r="W76">
        <v>351</v>
      </c>
    </row>
    <row r="77" spans="1:23" customFormat="1">
      <c r="A77" t="s">
        <v>90</v>
      </c>
      <c r="B77">
        <v>-606</v>
      </c>
      <c r="C77">
        <f>-1264-B77</f>
        <v>-658</v>
      </c>
      <c r="D77">
        <f>-1968-C77-B77</f>
        <v>-704</v>
      </c>
      <c r="E77">
        <f t="shared" si="129"/>
        <v>-864</v>
      </c>
      <c r="F77">
        <v>-739</v>
      </c>
      <c r="G77">
        <f>-1991-F77</f>
        <v>-1252</v>
      </c>
      <c r="H77">
        <f>-2932-G77-F77</f>
        <v>-941</v>
      </c>
      <c r="I77">
        <f t="shared" si="128"/>
        <v>-966</v>
      </c>
      <c r="U77">
        <f>-2000+131</f>
        <v>-1869</v>
      </c>
      <c r="V77">
        <f>-2701+-131</f>
        <v>-2832</v>
      </c>
      <c r="W77">
        <v>-3898</v>
      </c>
    </row>
    <row r="78" spans="1:23" customFormat="1">
      <c r="A78" t="s">
        <v>63</v>
      </c>
      <c r="C78">
        <v>-2</v>
      </c>
      <c r="D78">
        <v>-1</v>
      </c>
      <c r="E78">
        <f t="shared" si="129"/>
        <v>4</v>
      </c>
      <c r="F78">
        <v>-19</v>
      </c>
      <c r="G78">
        <f>-14-F78</f>
        <v>5</v>
      </c>
      <c r="H78">
        <f>-9-G78-F78</f>
        <v>5</v>
      </c>
      <c r="I78">
        <f t="shared" si="128"/>
        <v>5</v>
      </c>
      <c r="U78">
        <v>60</v>
      </c>
      <c r="V78">
        <v>1</v>
      </c>
      <c r="W78">
        <v>-4</v>
      </c>
    </row>
    <row r="79" spans="1:23" customFormat="1">
      <c r="A79" t="s">
        <v>91</v>
      </c>
      <c r="B79">
        <f t="shared" ref="B79:I79" si="130">B67+SUM(B68:B78)</f>
        <v>-13976</v>
      </c>
      <c r="C79">
        <f t="shared" si="130"/>
        <v>-11345</v>
      </c>
      <c r="D79">
        <f t="shared" si="130"/>
        <v>-13817</v>
      </c>
      <c r="E79">
        <f t="shared" si="130"/>
        <v>-13060</v>
      </c>
      <c r="F79">
        <f t="shared" si="130"/>
        <v>-15477</v>
      </c>
      <c r="G79">
        <f t="shared" si="130"/>
        <v>-13569</v>
      </c>
      <c r="H79">
        <f t="shared" si="130"/>
        <v>-15449</v>
      </c>
      <c r="I79">
        <f t="shared" si="130"/>
        <v>-12393</v>
      </c>
      <c r="U79">
        <f>U67+SUM(U68:U78)</f>
        <v>-39553</v>
      </c>
      <c r="V79">
        <f>V67+SUM(V68:V78)</f>
        <v>-52198</v>
      </c>
      <c r="W79">
        <f>W67+SUM(W68:W78)</f>
        <v>-56888</v>
      </c>
    </row>
    <row r="81" spans="1:23" customFormat="1">
      <c r="A81" t="s">
        <v>92</v>
      </c>
      <c r="B81">
        <v>-27091</v>
      </c>
      <c r="C81">
        <f>-74010-B81</f>
        <v>-46919</v>
      </c>
      <c r="D81">
        <f>-97981-C81-B81</f>
        <v>-23971</v>
      </c>
      <c r="E81">
        <f t="shared" ref="E81:E84" si="131">V81-D81-C81-B81</f>
        <v>-69885</v>
      </c>
      <c r="F81">
        <v>-12121</v>
      </c>
      <c r="G81">
        <f>-41116-F81</f>
        <v>-28995</v>
      </c>
      <c r="H81">
        <f>-66191-G81-F81</f>
        <v>-25075</v>
      </c>
      <c r="I81">
        <f t="shared" ref="I81:I84" si="132">W81-H81-G81-F81</f>
        <v>-16596</v>
      </c>
      <c r="U81">
        <v>-86474</v>
      </c>
      <c r="V81">
        <v>-167866</v>
      </c>
      <c r="W81">
        <v>-82787</v>
      </c>
    </row>
    <row r="82" spans="1:23" customFormat="1">
      <c r="A82" t="s">
        <v>93</v>
      </c>
      <c r="B82">
        <v>25996</v>
      </c>
      <c r="C82">
        <f>54272-B82</f>
        <v>28276</v>
      </c>
      <c r="D82">
        <f>77272-C82-B82</f>
        <v>23000</v>
      </c>
      <c r="E82">
        <f t="shared" si="131"/>
        <v>36750</v>
      </c>
      <c r="F82">
        <v>32356</v>
      </c>
      <c r="G82">
        <f>85116-F82</f>
        <v>52760</v>
      </c>
      <c r="H82">
        <f>110366-G82-F82</f>
        <v>25250</v>
      </c>
      <c r="I82">
        <f t="shared" si="132"/>
        <v>31500</v>
      </c>
      <c r="U82">
        <v>90836</v>
      </c>
      <c r="V82">
        <v>114022</v>
      </c>
      <c r="W82">
        <v>141866</v>
      </c>
    </row>
    <row r="83" spans="1:23" customFormat="1">
      <c r="A83" t="s">
        <v>229</v>
      </c>
      <c r="B83">
        <v>1270</v>
      </c>
      <c r="I83">
        <f t="shared" si="132"/>
        <v>0</v>
      </c>
      <c r="U83">
        <v>28515</v>
      </c>
      <c r="V83">
        <v>1270</v>
      </c>
    </row>
    <row r="84" spans="1:23" customFormat="1">
      <c r="A84" t="s">
        <v>94</v>
      </c>
      <c r="B84">
        <v>-21</v>
      </c>
      <c r="C84">
        <f>-123-B84</f>
        <v>-102</v>
      </c>
      <c r="D84">
        <f>-507-C84-B84</f>
        <v>-384</v>
      </c>
      <c r="E84">
        <f t="shared" si="131"/>
        <v>-172</v>
      </c>
      <c r="F84">
        <v>-477</v>
      </c>
      <c r="G84">
        <f>-629-F84</f>
        <v>-152</v>
      </c>
      <c r="H84">
        <f>-685-G84-F84</f>
        <v>-56</v>
      </c>
      <c r="I84">
        <f t="shared" si="132"/>
        <v>-43</v>
      </c>
      <c r="U84">
        <v>-395</v>
      </c>
      <c r="V84">
        <v>-679</v>
      </c>
      <c r="W84">
        <v>-728</v>
      </c>
    </row>
    <row r="85" spans="1:23" customFormat="1">
      <c r="A85" t="s">
        <v>95</v>
      </c>
      <c r="B85">
        <f t="shared" ref="B85:I85" si="133">B81+B82+B83+B84</f>
        <v>154</v>
      </c>
      <c r="C85">
        <f t="shared" si="133"/>
        <v>-18745</v>
      </c>
      <c r="D85">
        <f t="shared" si="133"/>
        <v>-1355</v>
      </c>
      <c r="E85">
        <f t="shared" si="133"/>
        <v>-33307</v>
      </c>
      <c r="F85">
        <f t="shared" si="133"/>
        <v>19758</v>
      </c>
      <c r="G85">
        <f t="shared" si="133"/>
        <v>23613</v>
      </c>
      <c r="H85">
        <f t="shared" si="133"/>
        <v>119</v>
      </c>
      <c r="I85">
        <f t="shared" si="133"/>
        <v>14861</v>
      </c>
      <c r="U85">
        <f>U81+U82+U83+U84</f>
        <v>32482</v>
      </c>
      <c r="V85">
        <f>V81+V82+V83+V84</f>
        <v>-53253</v>
      </c>
      <c r="W85">
        <f>W81+W82+W83+W84</f>
        <v>58351</v>
      </c>
    </row>
    <row r="87" spans="1:23" customFormat="1">
      <c r="A87" t="s">
        <v>96</v>
      </c>
      <c r="B87">
        <v>-1</v>
      </c>
      <c r="C87">
        <f>-3-B87</f>
        <v>-2</v>
      </c>
      <c r="D87">
        <v>-3</v>
      </c>
      <c r="E87">
        <f t="shared" ref="E87:E89" si="134">V87-D87-C87-B87</f>
        <v>-2</v>
      </c>
      <c r="F87">
        <v>-3</v>
      </c>
      <c r="G87">
        <f>-6-F87</f>
        <v>-3</v>
      </c>
      <c r="H87">
        <v>-3</v>
      </c>
      <c r="I87">
        <f t="shared" ref="I87:I91" si="135">W87-H87-G87-F87</f>
        <v>-4</v>
      </c>
      <c r="U87">
        <v>-208</v>
      </c>
      <c r="V87">
        <v>-8</v>
      </c>
      <c r="W87">
        <v>-13</v>
      </c>
    </row>
    <row r="88" spans="1:23" customFormat="1">
      <c r="A88" t="s">
        <v>97</v>
      </c>
      <c r="B88">
        <v>8052</v>
      </c>
      <c r="C88">
        <f>32578-B88+8050</f>
        <v>32576</v>
      </c>
      <c r="D88">
        <f>81167-B88-C88+8047</f>
        <v>48586</v>
      </c>
      <c r="E88">
        <f t="shared" si="134"/>
        <v>-125</v>
      </c>
      <c r="I88">
        <f t="shared" si="135"/>
        <v>198</v>
      </c>
      <c r="U88">
        <v>13544</v>
      </c>
      <c r="V88">
        <f>8047+81042</f>
        <v>89089</v>
      </c>
      <c r="W88">
        <v>198</v>
      </c>
    </row>
    <row r="89" spans="1:23" customFormat="1">
      <c r="A89" t="s">
        <v>133</v>
      </c>
      <c r="B89">
        <v>33</v>
      </c>
      <c r="C89">
        <f>97-B89</f>
        <v>64</v>
      </c>
      <c r="D89">
        <f>367-C89-B89</f>
        <v>270</v>
      </c>
      <c r="E89">
        <f t="shared" si="134"/>
        <v>7</v>
      </c>
      <c r="F89">
        <v>135</v>
      </c>
      <c r="G89">
        <f>144-F89</f>
        <v>9</v>
      </c>
      <c r="H89">
        <f>198-G89-F89</f>
        <v>54</v>
      </c>
      <c r="I89">
        <f t="shared" si="135"/>
        <v>95</v>
      </c>
      <c r="U89">
        <v>58</v>
      </c>
      <c r="V89">
        <v>374</v>
      </c>
      <c r="W89">
        <v>293</v>
      </c>
    </row>
    <row r="90" spans="1:23" customFormat="1">
      <c r="A90" t="s">
        <v>98</v>
      </c>
      <c r="B90">
        <v>-65</v>
      </c>
      <c r="C90">
        <f>-73-B90</f>
        <v>-8</v>
      </c>
      <c r="V90">
        <v>-73</v>
      </c>
    </row>
    <row r="91" spans="1:23" customFormat="1">
      <c r="A91" t="s">
        <v>298</v>
      </c>
      <c r="I91">
        <f t="shared" si="135"/>
        <v>-2518</v>
      </c>
      <c r="W91">
        <v>-2518</v>
      </c>
    </row>
    <row r="92" spans="1:23" customFormat="1">
      <c r="A92" t="s">
        <v>199</v>
      </c>
      <c r="B92">
        <f t="shared" ref="B92:I92" si="136">B87+B88+B89+B90</f>
        <v>8019</v>
      </c>
      <c r="C92">
        <f>C87+C88+C89+C90+C91</f>
        <v>32630</v>
      </c>
      <c r="D92">
        <f t="shared" ref="D92:I92" si="137">D87+D88+D89+D90+D91</f>
        <v>48853</v>
      </c>
      <c r="E92">
        <f t="shared" si="137"/>
        <v>-120</v>
      </c>
      <c r="F92">
        <f t="shared" si="137"/>
        <v>132</v>
      </c>
      <c r="G92">
        <f t="shared" si="137"/>
        <v>6</v>
      </c>
      <c r="H92">
        <f t="shared" si="137"/>
        <v>51</v>
      </c>
      <c r="I92">
        <f t="shared" si="137"/>
        <v>-2229</v>
      </c>
      <c r="U92">
        <f>U87+U88+U89+U90</f>
        <v>13394</v>
      </c>
      <c r="V92">
        <f>V87+V88+V89+V90</f>
        <v>89382</v>
      </c>
      <c r="W92">
        <f>W87+W88+W89+W90+W91</f>
        <v>-2040</v>
      </c>
    </row>
    <row r="94" spans="1:23" customFormat="1">
      <c r="A94" t="s">
        <v>99</v>
      </c>
      <c r="B94">
        <f>B79+B85+B92</f>
        <v>-5803</v>
      </c>
      <c r="C94">
        <f t="shared" ref="C94:H94" si="138">C79+C85+C92</f>
        <v>2540</v>
      </c>
      <c r="D94">
        <f t="shared" si="138"/>
        <v>33681</v>
      </c>
      <c r="E94">
        <f t="shared" si="138"/>
        <v>-46487</v>
      </c>
      <c r="F94">
        <f t="shared" si="138"/>
        <v>4413</v>
      </c>
      <c r="G94">
        <f t="shared" si="138"/>
        <v>10050</v>
      </c>
      <c r="H94">
        <f t="shared" si="138"/>
        <v>-15279</v>
      </c>
      <c r="I94">
        <f>I79+I85+I92</f>
        <v>239</v>
      </c>
      <c r="U94">
        <f>U92+U85+U79</f>
        <v>6323</v>
      </c>
      <c r="V94">
        <f>V92+V85+V79</f>
        <v>-16069</v>
      </c>
      <c r="W94">
        <f>W92+W85+W79</f>
        <v>-577</v>
      </c>
    </row>
    <row r="95" spans="1:23" customFormat="1">
      <c r="A95" t="s">
        <v>100</v>
      </c>
      <c r="B95">
        <f>U29+U37</f>
        <v>33604</v>
      </c>
      <c r="C95">
        <f>B96</f>
        <v>27801</v>
      </c>
      <c r="D95">
        <f t="shared" ref="D95:E95" si="139">C96</f>
        <v>30341</v>
      </c>
      <c r="E95">
        <f t="shared" si="139"/>
        <v>64022</v>
      </c>
      <c r="F95">
        <f>E96</f>
        <v>17535</v>
      </c>
      <c r="G95">
        <f t="shared" ref="G95:I95" si="140">F96</f>
        <v>21948</v>
      </c>
      <c r="H95">
        <f t="shared" si="140"/>
        <v>31998</v>
      </c>
      <c r="I95">
        <f t="shared" si="140"/>
        <v>16719</v>
      </c>
      <c r="U95">
        <v>27281</v>
      </c>
      <c r="V95">
        <f>U96</f>
        <v>33604</v>
      </c>
      <c r="W95">
        <f>V96</f>
        <v>17535</v>
      </c>
    </row>
    <row r="96" spans="1:23" customFormat="1">
      <c r="A96" t="s">
        <v>101</v>
      </c>
      <c r="B96">
        <f>B95+B94</f>
        <v>27801</v>
      </c>
      <c r="C96">
        <f>C95+C94</f>
        <v>30341</v>
      </c>
      <c r="D96">
        <f>D95+D94</f>
        <v>64022</v>
      </c>
      <c r="E96">
        <f t="shared" ref="E96:F96" si="141">E95+E94</f>
        <v>17535</v>
      </c>
      <c r="F96">
        <f t="shared" si="141"/>
        <v>21948</v>
      </c>
      <c r="G96">
        <f t="shared" ref="G96" si="142">G95+G94</f>
        <v>31998</v>
      </c>
      <c r="H96">
        <f t="shared" ref="H96:I96" si="143">H95+H94</f>
        <v>16719</v>
      </c>
      <c r="I96">
        <f>I95+I94</f>
        <v>16958</v>
      </c>
      <c r="U96">
        <f>U95+U94</f>
        <v>33604</v>
      </c>
      <c r="V96">
        <f>V95+V94</f>
        <v>17535</v>
      </c>
      <c r="W96">
        <f>W95+W94</f>
        <v>16958</v>
      </c>
    </row>
  </sheetData>
  <pageMargins left="0.7" right="0.7" top="0.75" bottom="0.75" header="0.3" footer="0.3"/>
  <pageSetup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E3603-FC4C-3740-B4AF-256B2D80958F}">
  <dimension ref="B4:O14"/>
  <sheetViews>
    <sheetView workbookViewId="0">
      <selection activeCell="F30" sqref="F30"/>
    </sheetView>
  </sheetViews>
  <sheetFormatPr baseColWidth="10" defaultRowHeight="16"/>
  <cols>
    <col min="3" max="3" width="11.83203125" bestFit="1" customWidth="1"/>
  </cols>
  <sheetData>
    <row r="4" spans="2:15">
      <c r="C4" t="s">
        <v>127</v>
      </c>
      <c r="D4" t="s">
        <v>134</v>
      </c>
      <c r="E4" t="s">
        <v>135</v>
      </c>
      <c r="F4" t="s">
        <v>136</v>
      </c>
      <c r="G4" t="s">
        <v>137</v>
      </c>
      <c r="H4" t="s">
        <v>138</v>
      </c>
      <c r="I4" t="s">
        <v>139</v>
      </c>
      <c r="J4" t="s">
        <v>140</v>
      </c>
      <c r="K4" t="s">
        <v>141</v>
      </c>
      <c r="L4" t="s">
        <v>142</v>
      </c>
      <c r="M4" t="s">
        <v>143</v>
      </c>
      <c r="N4" t="s">
        <v>144</v>
      </c>
      <c r="O4" t="s">
        <v>145</v>
      </c>
    </row>
    <row r="5" spans="2:15">
      <c r="B5" t="s">
        <v>84</v>
      </c>
      <c r="C5" s="2">
        <f>Model!X22</f>
        <v>-53489.083923999744</v>
      </c>
      <c r="D5" s="2">
        <f>Model!Y22</f>
        <v>-54892.94184360416</v>
      </c>
      <c r="E5" s="2">
        <f>Model!Z22</f>
        <v>-14022.317099405063</v>
      </c>
      <c r="F5" s="2">
        <f>Model!AA22</f>
        <v>3155.9716232491228</v>
      </c>
      <c r="G5" s="2">
        <f>Model!AB22</f>
        <v>54575.627354782613</v>
      </c>
      <c r="H5" s="2">
        <f>Model!AC22</f>
        <v>73994.829801222833</v>
      </c>
      <c r="I5" s="2">
        <f>Model!AD22</f>
        <v>74734.778099235074</v>
      </c>
      <c r="J5" s="2">
        <f>Model!AE22</f>
        <v>75482.125880227424</v>
      </c>
      <c r="K5" s="2">
        <f>Model!AF22</f>
        <v>76236.947139029682</v>
      </c>
      <c r="L5" s="2">
        <f>Model!AG22</f>
        <v>76999.316610419992</v>
      </c>
      <c r="M5" s="2">
        <f>Model!AH22</f>
        <v>77769.309776524198</v>
      </c>
      <c r="N5" s="2">
        <f>Model!AI22</f>
        <v>78547.002874289436</v>
      </c>
      <c r="O5" s="2">
        <f>Model!AJ22</f>
        <v>79332.472903032336</v>
      </c>
    </row>
    <row r="7" spans="2:15">
      <c r="B7" t="s">
        <v>289</v>
      </c>
      <c r="C7" s="24">
        <f>NPV(0.15,C5:O5)</f>
        <v>101454.96906194469</v>
      </c>
    </row>
    <row r="8" spans="2:15">
      <c r="B8" t="s">
        <v>291</v>
      </c>
      <c r="C8" s="16">
        <f>Model!H23</f>
        <v>72.108113000000003</v>
      </c>
    </row>
    <row r="9" spans="2:15">
      <c r="B9" t="s">
        <v>290</v>
      </c>
      <c r="C9" s="2">
        <f>0.7*C8*1000</f>
        <v>50475.679100000001</v>
      </c>
    </row>
    <row r="10" spans="2:15">
      <c r="B10" t="s">
        <v>99</v>
      </c>
      <c r="C10">
        <f>Model!H29+Model!H30</f>
        <v>91656</v>
      </c>
    </row>
    <row r="11" spans="2:15">
      <c r="B11" t="s">
        <v>292</v>
      </c>
      <c r="C11" s="2">
        <f>C9-C10</f>
        <v>-41180.320899999999</v>
      </c>
    </row>
    <row r="13" spans="2:15">
      <c r="B13" t="s">
        <v>293</v>
      </c>
      <c r="C13" s="24">
        <f>C7+C10</f>
        <v>193110.96906194469</v>
      </c>
    </row>
    <row r="14" spans="2:15">
      <c r="B14" t="s">
        <v>294</v>
      </c>
      <c r="C14" s="24">
        <f>C13/C8/1000</f>
        <v>2.6780754762219985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5FFD-CE7B-1149-835F-06DEE9A7D48A}">
  <dimension ref="A2:AK148"/>
  <sheetViews>
    <sheetView tabSelected="1" zoomScale="1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Z61" sqref="Z61"/>
    </sheetView>
  </sheetViews>
  <sheetFormatPr baseColWidth="10" defaultRowHeight="16"/>
  <cols>
    <col min="1" max="1" width="26" customWidth="1"/>
    <col min="11" max="11" width="10.83203125" style="35"/>
    <col min="24" max="24" width="10.83203125" style="35"/>
  </cols>
  <sheetData>
    <row r="2" spans="1:37">
      <c r="B2" t="s">
        <v>146</v>
      </c>
      <c r="C2" t="s">
        <v>147</v>
      </c>
      <c r="D2" t="s">
        <v>47</v>
      </c>
      <c r="E2" t="s">
        <v>48</v>
      </c>
      <c r="F2" t="s">
        <v>49</v>
      </c>
      <c r="G2" t="s">
        <v>50</v>
      </c>
      <c r="H2" t="s">
        <v>43</v>
      </c>
      <c r="I2" t="s">
        <v>44</v>
      </c>
      <c r="J2" t="s">
        <v>45</v>
      </c>
      <c r="K2" s="35" t="s">
        <v>300</v>
      </c>
      <c r="L2" t="s">
        <v>148</v>
      </c>
      <c r="M2" t="s">
        <v>149</v>
      </c>
      <c r="N2" t="s">
        <v>150</v>
      </c>
      <c r="O2" t="s">
        <v>151</v>
      </c>
      <c r="P2" t="s">
        <v>152</v>
      </c>
      <c r="Q2" t="s">
        <v>153</v>
      </c>
      <c r="R2" t="s">
        <v>154</v>
      </c>
      <c r="S2" t="s">
        <v>155</v>
      </c>
      <c r="U2" t="s">
        <v>131</v>
      </c>
      <c r="V2" t="s">
        <v>81</v>
      </c>
      <c r="W2" t="s">
        <v>42</v>
      </c>
      <c r="X2" s="35" t="s">
        <v>299</v>
      </c>
      <c r="Y2" t="s">
        <v>127</v>
      </c>
      <c r="Z2" t="s">
        <v>134</v>
      </c>
      <c r="AA2" t="s">
        <v>135</v>
      </c>
      <c r="AB2" t="s">
        <v>136</v>
      </c>
      <c r="AC2" t="s">
        <v>137</v>
      </c>
      <c r="AD2" t="s">
        <v>138</v>
      </c>
      <c r="AE2" t="s">
        <v>139</v>
      </c>
      <c r="AF2" t="s">
        <v>140</v>
      </c>
      <c r="AG2" t="s">
        <v>141</v>
      </c>
      <c r="AH2" t="s">
        <v>142</v>
      </c>
      <c r="AI2" t="s">
        <v>143</v>
      </c>
      <c r="AJ2" t="s">
        <v>144</v>
      </c>
      <c r="AK2" t="s">
        <v>145</v>
      </c>
    </row>
    <row r="5" spans="1:37">
      <c r="A5" s="7" t="s">
        <v>182</v>
      </c>
    </row>
    <row r="6" spans="1:37">
      <c r="A6" t="s">
        <v>221</v>
      </c>
    </row>
    <row r="7" spans="1:37" s="30" customFormat="1">
      <c r="A7" s="29" t="s">
        <v>160</v>
      </c>
      <c r="D7" s="30">
        <v>26703</v>
      </c>
      <c r="E7" s="30">
        <v>29243</v>
      </c>
      <c r="F7" s="30">
        <v>59424</v>
      </c>
      <c r="G7" s="30">
        <v>16437</v>
      </c>
      <c r="H7" s="30">
        <v>20851</v>
      </c>
      <c r="I7" s="30">
        <v>21912</v>
      </c>
      <c r="J7" s="30">
        <v>13627</v>
      </c>
      <c r="K7" s="36">
        <f>X7</f>
        <v>15861</v>
      </c>
      <c r="V7" s="30">
        <v>32506</v>
      </c>
      <c r="W7" s="30">
        <f>G7</f>
        <v>16437</v>
      </c>
      <c r="X7" s="36">
        <v>15861</v>
      </c>
    </row>
    <row r="8" spans="1:37">
      <c r="A8" s="23" t="s">
        <v>161</v>
      </c>
      <c r="F8">
        <v>3500</v>
      </c>
      <c r="I8">
        <v>8989</v>
      </c>
      <c r="J8">
        <v>1995</v>
      </c>
    </row>
    <row r="9" spans="1:37">
      <c r="A9" s="23" t="s">
        <v>222</v>
      </c>
      <c r="D9">
        <f>D7+D8</f>
        <v>26703</v>
      </c>
      <c r="E9">
        <f t="shared" ref="E9:K9" si="0">E7+E8</f>
        <v>29243</v>
      </c>
      <c r="F9">
        <f t="shared" si="0"/>
        <v>62924</v>
      </c>
      <c r="G9">
        <f t="shared" si="0"/>
        <v>16437</v>
      </c>
      <c r="H9">
        <f t="shared" si="0"/>
        <v>20851</v>
      </c>
      <c r="I9">
        <f t="shared" si="0"/>
        <v>30901</v>
      </c>
      <c r="J9">
        <f t="shared" si="0"/>
        <v>15622</v>
      </c>
      <c r="K9">
        <f t="shared" si="0"/>
        <v>15861</v>
      </c>
      <c r="V9">
        <f t="shared" ref="V9:W9" si="1">V7+V8</f>
        <v>32506</v>
      </c>
      <c r="W9">
        <f t="shared" si="1"/>
        <v>16437</v>
      </c>
    </row>
    <row r="11" spans="1:37">
      <c r="A11" s="7" t="s">
        <v>197</v>
      </c>
    </row>
    <row r="12" spans="1:37">
      <c r="A12" s="23" t="s">
        <v>162</v>
      </c>
      <c r="D12">
        <v>42469</v>
      </c>
      <c r="E12">
        <v>67959</v>
      </c>
      <c r="F12">
        <v>78962</v>
      </c>
      <c r="G12">
        <v>106277</v>
      </c>
      <c r="H12">
        <v>88100</v>
      </c>
      <c r="I12">
        <v>56614</v>
      </c>
      <c r="J12">
        <v>56758</v>
      </c>
      <c r="V12">
        <v>40477</v>
      </c>
      <c r="W12">
        <f>G12</f>
        <v>106277</v>
      </c>
    </row>
    <row r="13" spans="1:37" s="22" customFormat="1">
      <c r="A13" s="21" t="s">
        <v>166</v>
      </c>
      <c r="D13" s="22">
        <f t="shared" ref="D13:K13" si="2">D14+D15</f>
        <v>42469</v>
      </c>
      <c r="E13" s="22">
        <f t="shared" si="2"/>
        <v>67959</v>
      </c>
      <c r="F13" s="22">
        <f t="shared" si="2"/>
        <v>78962</v>
      </c>
      <c r="G13" s="22">
        <f t="shared" si="2"/>
        <v>106277</v>
      </c>
      <c r="H13" s="22">
        <f t="shared" si="2"/>
        <v>88100</v>
      </c>
      <c r="I13" s="22">
        <f t="shared" si="2"/>
        <v>56614</v>
      </c>
      <c r="J13" s="22">
        <f t="shared" si="2"/>
        <v>56758</v>
      </c>
      <c r="K13" s="22">
        <f t="shared" si="2"/>
        <v>44375</v>
      </c>
      <c r="V13" s="22">
        <f>V14+V15</f>
        <v>40477</v>
      </c>
      <c r="W13" s="22">
        <f>W14+W15</f>
        <v>106277</v>
      </c>
      <c r="X13" s="37"/>
    </row>
    <row r="14" spans="1:37">
      <c r="A14" s="23" t="s">
        <v>167</v>
      </c>
      <c r="D14">
        <v>42466</v>
      </c>
      <c r="E14">
        <v>67947</v>
      </c>
      <c r="F14">
        <f>82450-3500</f>
        <v>78950</v>
      </c>
      <c r="G14">
        <v>106298</v>
      </c>
      <c r="H14">
        <v>88342</v>
      </c>
      <c r="I14">
        <v>56852</v>
      </c>
      <c r="J14">
        <v>56943</v>
      </c>
      <c r="K14" s="35">
        <v>44437</v>
      </c>
      <c r="V14">
        <v>40467</v>
      </c>
      <c r="W14" s="30">
        <f>G14</f>
        <v>106298</v>
      </c>
    </row>
    <row r="15" spans="1:37">
      <c r="A15" s="23" t="s">
        <v>168</v>
      </c>
      <c r="D15">
        <v>3</v>
      </c>
      <c r="E15">
        <v>12</v>
      </c>
      <c r="F15">
        <v>12</v>
      </c>
      <c r="G15">
        <v>-21</v>
      </c>
      <c r="H15">
        <v>-242</v>
      </c>
      <c r="I15">
        <v>-238</v>
      </c>
      <c r="J15">
        <v>-185</v>
      </c>
      <c r="K15" s="35">
        <v>-62</v>
      </c>
      <c r="V15">
        <v>10</v>
      </c>
      <c r="W15">
        <f>G15</f>
        <v>-21</v>
      </c>
    </row>
    <row r="16" spans="1:37">
      <c r="A16" s="23"/>
    </row>
    <row r="17" spans="1:24">
      <c r="A17" s="23" t="s">
        <v>163</v>
      </c>
      <c r="D17">
        <v>16376</v>
      </c>
      <c r="E17">
        <v>9481</v>
      </c>
      <c r="F17">
        <v>4413</v>
      </c>
      <c r="G17">
        <v>5873</v>
      </c>
      <c r="H17">
        <v>3617</v>
      </c>
      <c r="V17">
        <v>18637</v>
      </c>
      <c r="W17">
        <f t="shared" ref="W17:W22" si="3">G17</f>
        <v>5873</v>
      </c>
    </row>
    <row r="18" spans="1:24" s="22" customFormat="1">
      <c r="A18" s="21" t="s">
        <v>163</v>
      </c>
      <c r="D18" s="22">
        <f>D19+D20</f>
        <v>16376</v>
      </c>
      <c r="E18" s="22">
        <f>E19+E20</f>
        <v>9481</v>
      </c>
      <c r="F18" s="22">
        <f>F19+F20</f>
        <v>4413</v>
      </c>
      <c r="G18" s="22">
        <f>G19+G20</f>
        <v>5873</v>
      </c>
      <c r="H18" s="22">
        <f>H19+H20</f>
        <v>3617</v>
      </c>
      <c r="K18" s="37"/>
      <c r="V18" s="22">
        <f>V19+V20</f>
        <v>18637</v>
      </c>
      <c r="W18" s="22">
        <f>W19+W20</f>
        <v>5873</v>
      </c>
      <c r="X18" s="37"/>
    </row>
    <row r="19" spans="1:24">
      <c r="A19" s="23" t="s">
        <v>167</v>
      </c>
      <c r="D19">
        <v>16378</v>
      </c>
      <c r="E19">
        <v>9484</v>
      </c>
      <c r="F19">
        <v>4416</v>
      </c>
      <c r="G19">
        <v>5876</v>
      </c>
      <c r="H19">
        <v>3620</v>
      </c>
      <c r="V19">
        <v>18634</v>
      </c>
      <c r="W19" s="30">
        <f>G19</f>
        <v>5876</v>
      </c>
    </row>
    <row r="20" spans="1:24">
      <c r="A20" s="23" t="s">
        <v>168</v>
      </c>
      <c r="D20">
        <v>-2</v>
      </c>
      <c r="E20">
        <v>-3</v>
      </c>
      <c r="F20">
        <v>-3</v>
      </c>
      <c r="G20">
        <v>-3</v>
      </c>
      <c r="H20">
        <v>-3</v>
      </c>
      <c r="V20">
        <v>3</v>
      </c>
      <c r="W20">
        <f>G20</f>
        <v>-3</v>
      </c>
    </row>
    <row r="21" spans="1:24">
      <c r="A21" s="23"/>
    </row>
    <row r="22" spans="1:24">
      <c r="A22" s="23" t="s">
        <v>164</v>
      </c>
      <c r="D22">
        <v>8803</v>
      </c>
      <c r="E22">
        <v>8778</v>
      </c>
      <c r="F22">
        <v>3754</v>
      </c>
      <c r="G22">
        <v>8041</v>
      </c>
      <c r="H22">
        <v>7950</v>
      </c>
      <c r="I22">
        <v>19276</v>
      </c>
      <c r="J22">
        <v>19276</v>
      </c>
      <c r="V22">
        <v>8823</v>
      </c>
      <c r="W22">
        <f t="shared" si="3"/>
        <v>8041</v>
      </c>
    </row>
    <row r="23" spans="1:24" s="22" customFormat="1">
      <c r="A23" s="21" t="s">
        <v>164</v>
      </c>
      <c r="D23" s="22">
        <f t="shared" ref="D23:K23" si="4">D24+D25</f>
        <v>8803</v>
      </c>
      <c r="E23" s="22">
        <f t="shared" si="4"/>
        <v>8778</v>
      </c>
      <c r="F23" s="22">
        <f t="shared" si="4"/>
        <v>3754</v>
      </c>
      <c r="G23" s="22">
        <f t="shared" si="4"/>
        <v>8041</v>
      </c>
      <c r="H23" s="22">
        <f t="shared" si="4"/>
        <v>7950</v>
      </c>
      <c r="I23" s="22">
        <f t="shared" si="4"/>
        <v>19276</v>
      </c>
      <c r="J23" s="22">
        <f t="shared" si="4"/>
        <v>19276</v>
      </c>
      <c r="K23" s="22">
        <f t="shared" si="4"/>
        <v>17393</v>
      </c>
      <c r="V23" s="22">
        <f>V24+V25</f>
        <v>8823</v>
      </c>
      <c r="W23" s="22">
        <f>W24+W25</f>
        <v>8041</v>
      </c>
      <c r="X23" s="37"/>
    </row>
    <row r="24" spans="1:24">
      <c r="A24" s="23" t="s">
        <v>167</v>
      </c>
      <c r="D24">
        <v>8799</v>
      </c>
      <c r="E24">
        <v>8776</v>
      </c>
      <c r="F24">
        <v>3754</v>
      </c>
      <c r="G24">
        <v>8062</v>
      </c>
      <c r="H24">
        <v>8050</v>
      </c>
      <c r="I24">
        <v>19471</v>
      </c>
      <c r="J24">
        <v>19482</v>
      </c>
      <c r="K24" s="35">
        <v>17492</v>
      </c>
      <c r="V24">
        <v>8822</v>
      </c>
      <c r="W24" s="30">
        <f>G24</f>
        <v>8062</v>
      </c>
    </row>
    <row r="25" spans="1:24">
      <c r="A25" s="23" t="s">
        <v>168</v>
      </c>
      <c r="D25">
        <v>4</v>
      </c>
      <c r="E25">
        <v>2</v>
      </c>
      <c r="G25">
        <v>-21</v>
      </c>
      <c r="H25">
        <v>-100</v>
      </c>
      <c r="I25">
        <v>-195</v>
      </c>
      <c r="J25">
        <v>-206</v>
      </c>
      <c r="K25" s="35">
        <v>-99</v>
      </c>
      <c r="V25">
        <v>1</v>
      </c>
      <c r="W25">
        <f>G25</f>
        <v>-21</v>
      </c>
    </row>
    <row r="26" spans="1:24">
      <c r="A26" s="23"/>
    </row>
    <row r="27" spans="1:24" s="22" customFormat="1">
      <c r="A27" s="21" t="s">
        <v>220</v>
      </c>
      <c r="D27" s="22">
        <f t="shared" ref="D27:J29" si="5">D13+D18+D23</f>
        <v>67648</v>
      </c>
      <c r="E27" s="22">
        <f t="shared" si="5"/>
        <v>86218</v>
      </c>
      <c r="F27" s="22">
        <f t="shared" si="5"/>
        <v>87129</v>
      </c>
      <c r="G27" s="22">
        <f t="shared" si="5"/>
        <v>120191</v>
      </c>
      <c r="H27" s="22">
        <f t="shared" si="5"/>
        <v>99667</v>
      </c>
      <c r="I27" s="22">
        <f t="shared" si="5"/>
        <v>75890</v>
      </c>
      <c r="J27" s="22">
        <f t="shared" si="5"/>
        <v>76034</v>
      </c>
      <c r="K27" s="22">
        <f>K13+K18+K23</f>
        <v>61768</v>
      </c>
      <c r="V27" s="22">
        <f t="shared" ref="V27:W29" si="6">V13+V18+V23</f>
        <v>67937</v>
      </c>
      <c r="W27" s="22">
        <f t="shared" si="6"/>
        <v>120191</v>
      </c>
      <c r="X27" s="37"/>
    </row>
    <row r="28" spans="1:24">
      <c r="A28" s="23" t="s">
        <v>167</v>
      </c>
      <c r="D28">
        <f t="shared" si="5"/>
        <v>67643</v>
      </c>
      <c r="E28">
        <f t="shared" si="5"/>
        <v>86207</v>
      </c>
      <c r="F28">
        <f t="shared" si="5"/>
        <v>87120</v>
      </c>
      <c r="G28">
        <f t="shared" si="5"/>
        <v>120236</v>
      </c>
      <c r="H28">
        <f t="shared" si="5"/>
        <v>100012</v>
      </c>
      <c r="I28">
        <f t="shared" si="5"/>
        <v>76323</v>
      </c>
      <c r="J28">
        <f t="shared" si="5"/>
        <v>76425</v>
      </c>
      <c r="K28">
        <f t="shared" ref="K28" si="7">K14+K19+K24</f>
        <v>61929</v>
      </c>
      <c r="V28">
        <f t="shared" si="6"/>
        <v>67923</v>
      </c>
      <c r="W28">
        <f t="shared" si="6"/>
        <v>120236</v>
      </c>
    </row>
    <row r="29" spans="1:24" s="26" customFormat="1">
      <c r="A29" s="25" t="s">
        <v>168</v>
      </c>
      <c r="D29" s="26">
        <f t="shared" si="5"/>
        <v>5</v>
      </c>
      <c r="E29" s="26">
        <f t="shared" si="5"/>
        <v>11</v>
      </c>
      <c r="F29" s="26">
        <f t="shared" si="5"/>
        <v>9</v>
      </c>
      <c r="G29" s="26">
        <f t="shared" si="5"/>
        <v>-45</v>
      </c>
      <c r="H29" s="26">
        <f t="shared" si="5"/>
        <v>-345</v>
      </c>
      <c r="I29" s="26">
        <f t="shared" si="5"/>
        <v>-433</v>
      </c>
      <c r="J29" s="26">
        <f t="shared" si="5"/>
        <v>-391</v>
      </c>
      <c r="K29" s="26">
        <f t="shared" ref="K29" si="8">K15+K20+K25</f>
        <v>-161</v>
      </c>
      <c r="V29" s="26">
        <f t="shared" si="6"/>
        <v>14</v>
      </c>
      <c r="W29" s="26">
        <f t="shared" si="6"/>
        <v>-45</v>
      </c>
      <c r="X29" s="38"/>
    </row>
    <row r="30" spans="1:24" s="26" customFormat="1">
      <c r="A30" s="25"/>
      <c r="K30" s="38"/>
      <c r="X30" s="38"/>
    </row>
    <row r="31" spans="1:24" s="28" customFormat="1">
      <c r="A31" s="27" t="s">
        <v>223</v>
      </c>
      <c r="D31" s="28">
        <f t="shared" ref="D31:J31" si="9">D23+D18+D13+D9</f>
        <v>94351</v>
      </c>
      <c r="E31" s="28">
        <f t="shared" si="9"/>
        <v>115461</v>
      </c>
      <c r="F31" s="28">
        <f t="shared" si="9"/>
        <v>150053</v>
      </c>
      <c r="G31" s="28">
        <f t="shared" si="9"/>
        <v>136628</v>
      </c>
      <c r="H31" s="28">
        <f t="shared" si="9"/>
        <v>120518</v>
      </c>
      <c r="I31" s="28">
        <f t="shared" si="9"/>
        <v>106791</v>
      </c>
      <c r="J31" s="28">
        <f t="shared" si="9"/>
        <v>91656</v>
      </c>
      <c r="K31" s="39"/>
      <c r="V31" s="28">
        <f>V22+V17+V12+V8+V7</f>
        <v>100443</v>
      </c>
      <c r="W31" s="28">
        <f>W22+W17+W12+W8+W7</f>
        <v>136628</v>
      </c>
      <c r="X31" s="39"/>
    </row>
    <row r="32" spans="1:24" s="7" customFormat="1">
      <c r="K32" s="40"/>
      <c r="X32" s="40"/>
    </row>
    <row r="33" spans="1:11">
      <c r="A33" t="s">
        <v>296</v>
      </c>
      <c r="E33">
        <f>E29-D29</f>
        <v>6</v>
      </c>
      <c r="F33">
        <f t="shared" ref="F33:K33" si="10">F29-E29</f>
        <v>-2</v>
      </c>
      <c r="G33">
        <f t="shared" si="10"/>
        <v>-54</v>
      </c>
      <c r="H33">
        <f t="shared" si="10"/>
        <v>-300</v>
      </c>
      <c r="I33">
        <f t="shared" si="10"/>
        <v>-88</v>
      </c>
      <c r="J33">
        <f t="shared" si="10"/>
        <v>42</v>
      </c>
      <c r="K33">
        <f t="shared" si="10"/>
        <v>230</v>
      </c>
    </row>
    <row r="34" spans="1:11">
      <c r="A34" t="s">
        <v>295</v>
      </c>
      <c r="E34">
        <f>E35-E33</f>
        <v>44</v>
      </c>
      <c r="F34">
        <f t="shared" ref="F34:K34" si="11">F35-F33</f>
        <v>43</v>
      </c>
      <c r="G34">
        <f t="shared" si="11"/>
        <v>113</v>
      </c>
      <c r="H34">
        <f t="shared" si="11"/>
        <v>367</v>
      </c>
      <c r="I34">
        <f t="shared" si="11"/>
        <v>257</v>
      </c>
      <c r="J34">
        <f t="shared" si="11"/>
        <v>380</v>
      </c>
      <c r="K34">
        <f t="shared" si="11"/>
        <v>379</v>
      </c>
    </row>
    <row r="35" spans="1:11">
      <c r="A35" t="s">
        <v>39</v>
      </c>
      <c r="D35">
        <f>Model!B16</f>
        <v>60</v>
      </c>
      <c r="E35">
        <f>Model!C16</f>
        <v>50</v>
      </c>
      <c r="F35">
        <f>Model!D16</f>
        <v>41</v>
      </c>
      <c r="G35">
        <f>Model!E16</f>
        <v>59</v>
      </c>
      <c r="H35">
        <f>Model!F16</f>
        <v>67</v>
      </c>
      <c r="I35">
        <f>Model!G16</f>
        <v>169</v>
      </c>
      <c r="J35">
        <f>Model!H16</f>
        <v>422</v>
      </c>
      <c r="K35">
        <f>Model!I16</f>
        <v>609</v>
      </c>
    </row>
    <row r="37" spans="1:11">
      <c r="A37" t="s">
        <v>288</v>
      </c>
      <c r="E37">
        <f>(E31+D31)/2</f>
        <v>104906</v>
      </c>
      <c r="F37" s="2">
        <f t="shared" ref="F37:K37" si="12">(F31+E31)/2</f>
        <v>132757</v>
      </c>
      <c r="G37" s="2">
        <f t="shared" si="12"/>
        <v>143340.5</v>
      </c>
      <c r="H37" s="2">
        <f t="shared" si="12"/>
        <v>128573</v>
      </c>
      <c r="I37" s="2">
        <f t="shared" si="12"/>
        <v>113654.5</v>
      </c>
      <c r="J37" s="2">
        <f t="shared" si="12"/>
        <v>99223.5</v>
      </c>
      <c r="K37" s="2">
        <f t="shared" si="12"/>
        <v>45828</v>
      </c>
    </row>
    <row r="38" spans="1:11">
      <c r="A38" t="s">
        <v>279</v>
      </c>
      <c r="D38" s="10"/>
      <c r="E38" s="11">
        <f>E35/E37</f>
        <v>4.766171620307704E-4</v>
      </c>
      <c r="F38" s="11">
        <f t="shared" ref="F38:I38" si="13">F35/F37</f>
        <v>3.0883493902393095E-4</v>
      </c>
      <c r="G38" s="11">
        <f t="shared" si="13"/>
        <v>4.1160732661041366E-4</v>
      </c>
      <c r="H38" s="11">
        <f t="shared" si="13"/>
        <v>5.2110474205315264E-4</v>
      </c>
      <c r="I38" s="11">
        <f t="shared" si="13"/>
        <v>1.4869626807561514E-3</v>
      </c>
      <c r="J38" s="11">
        <f>J35/J37</f>
        <v>4.2530247370834526E-3</v>
      </c>
      <c r="K38" s="11">
        <f>K35/K37</f>
        <v>1.3288819062581827E-2</v>
      </c>
    </row>
    <row r="39" spans="1:11">
      <c r="D39" s="10"/>
      <c r="E39" s="11"/>
      <c r="F39" s="11"/>
      <c r="G39" s="11"/>
      <c r="H39" s="11"/>
      <c r="I39" s="11"/>
      <c r="J39" s="11"/>
    </row>
    <row r="40" spans="1:11">
      <c r="D40" s="10"/>
      <c r="E40" s="11"/>
      <c r="F40" s="11"/>
      <c r="G40" s="11"/>
      <c r="H40" s="11"/>
      <c r="I40" s="11"/>
      <c r="J40" s="11"/>
    </row>
    <row r="41" spans="1:11">
      <c r="D41" s="10"/>
      <c r="E41" s="10"/>
      <c r="F41" s="10"/>
      <c r="G41" s="10"/>
      <c r="H41" s="10"/>
      <c r="I41" s="10"/>
      <c r="J41" s="10"/>
    </row>
    <row r="42" spans="1:11">
      <c r="A42" t="s">
        <v>87</v>
      </c>
      <c r="D42">
        <f>Model!B70</f>
        <v>105</v>
      </c>
      <c r="E42">
        <f>Model!C70</f>
        <v>79</v>
      </c>
      <c r="F42">
        <f>Model!D70</f>
        <v>59</v>
      </c>
      <c r="G42">
        <f>Model!E70</f>
        <v>18</v>
      </c>
      <c r="H42">
        <f>Model!F70</f>
        <v>-11</v>
      </c>
      <c r="I42">
        <f>Model!G70</f>
        <v>-76</v>
      </c>
      <c r="J42">
        <f>Model!H70</f>
        <v>-277</v>
      </c>
      <c r="K42">
        <f>Model!I70</f>
        <v>-408</v>
      </c>
    </row>
    <row r="43" spans="1:11">
      <c r="A43" t="s">
        <v>92</v>
      </c>
      <c r="D43">
        <f>Model!B81</f>
        <v>-27091</v>
      </c>
      <c r="E43">
        <f>Model!C81</f>
        <v>-46919</v>
      </c>
      <c r="F43">
        <f>Model!D81</f>
        <v>-23971</v>
      </c>
      <c r="G43">
        <f>Model!E81</f>
        <v>-69885</v>
      </c>
      <c r="H43">
        <f>Model!F81</f>
        <v>-12121</v>
      </c>
      <c r="I43">
        <f>Model!G81</f>
        <v>-28995</v>
      </c>
      <c r="J43">
        <f>Model!H81</f>
        <v>-25075</v>
      </c>
      <c r="K43">
        <f>Model!I81</f>
        <v>-16596</v>
      </c>
    </row>
    <row r="44" spans="1:11">
      <c r="A44" t="s">
        <v>93</v>
      </c>
      <c r="D44">
        <f>Model!B82</f>
        <v>25996</v>
      </c>
      <c r="E44">
        <f>Model!C82</f>
        <v>28276</v>
      </c>
      <c r="F44">
        <f>Model!D82</f>
        <v>23000</v>
      </c>
      <c r="G44">
        <f>Model!E82</f>
        <v>36750</v>
      </c>
      <c r="H44">
        <f>Model!F82</f>
        <v>32356</v>
      </c>
      <c r="I44">
        <f>Model!G82</f>
        <v>52760</v>
      </c>
      <c r="J44">
        <f>Model!H82</f>
        <v>25250</v>
      </c>
      <c r="K44">
        <f>Model!I82</f>
        <v>31500</v>
      </c>
    </row>
    <row r="45" spans="1:11">
      <c r="A45" t="s">
        <v>229</v>
      </c>
      <c r="D45">
        <f>Model!B83</f>
        <v>1270</v>
      </c>
      <c r="E45">
        <f>Model!C83</f>
        <v>0</v>
      </c>
      <c r="F45">
        <f>Model!D83</f>
        <v>0</v>
      </c>
      <c r="G45">
        <f>Model!E83</f>
        <v>0</v>
      </c>
      <c r="H45">
        <f>Model!F83</f>
        <v>0</v>
      </c>
      <c r="I45">
        <f>Model!G83</f>
        <v>0</v>
      </c>
      <c r="J45">
        <f>Model!H83</f>
        <v>0</v>
      </c>
      <c r="K45">
        <f>Model!I83</f>
        <v>0</v>
      </c>
    </row>
    <row r="46" spans="1:11">
      <c r="A46" t="s">
        <v>280</v>
      </c>
      <c r="D46">
        <f>D43+D44+D45</f>
        <v>175</v>
      </c>
      <c r="E46">
        <f t="shared" ref="E46:K46" si="14">E43+E44+E45</f>
        <v>-18643</v>
      </c>
      <c r="F46">
        <f>F43+F44+F45</f>
        <v>-971</v>
      </c>
      <c r="G46">
        <f t="shared" si="14"/>
        <v>-33135</v>
      </c>
      <c r="H46">
        <f t="shared" si="14"/>
        <v>20235</v>
      </c>
      <c r="I46">
        <f t="shared" si="14"/>
        <v>23765</v>
      </c>
      <c r="J46">
        <f t="shared" si="14"/>
        <v>175</v>
      </c>
      <c r="K46">
        <f t="shared" si="14"/>
        <v>14904</v>
      </c>
    </row>
    <row r="48" spans="1:11">
      <c r="A48" s="7" t="s">
        <v>169</v>
      </c>
    </row>
    <row r="49" spans="1:24" s="30" customFormat="1">
      <c r="A49" s="29" t="s">
        <v>170</v>
      </c>
      <c r="C49" s="30">
        <f>V49</f>
        <v>7793</v>
      </c>
      <c r="D49" s="30">
        <v>7829</v>
      </c>
      <c r="E49" s="30">
        <v>7871</v>
      </c>
      <c r="F49" s="30">
        <v>8019</v>
      </c>
      <c r="G49" s="30">
        <v>8274</v>
      </c>
      <c r="H49" s="30">
        <v>8600</v>
      </c>
      <c r="I49" s="30">
        <v>9196</v>
      </c>
      <c r="J49" s="30">
        <v>9263</v>
      </c>
      <c r="K49" s="36">
        <v>9313</v>
      </c>
      <c r="V49" s="30">
        <v>7793</v>
      </c>
      <c r="W49" s="30">
        <f>G49</f>
        <v>8274</v>
      </c>
      <c r="X49" s="36">
        <f>K49</f>
        <v>9313</v>
      </c>
    </row>
    <row r="50" spans="1:24">
      <c r="A50" s="23" t="s">
        <v>171</v>
      </c>
      <c r="C50">
        <f>V50</f>
        <v>769</v>
      </c>
      <c r="D50">
        <v>769</v>
      </c>
      <c r="E50">
        <v>769</v>
      </c>
      <c r="F50">
        <v>756</v>
      </c>
      <c r="G50">
        <v>756</v>
      </c>
      <c r="H50">
        <v>795</v>
      </c>
      <c r="I50">
        <v>795</v>
      </c>
      <c r="J50">
        <v>793</v>
      </c>
      <c r="K50" s="35">
        <v>793</v>
      </c>
      <c r="V50">
        <v>769</v>
      </c>
      <c r="W50">
        <f>G50</f>
        <v>756</v>
      </c>
      <c r="X50" s="43">
        <f t="shared" ref="X50:X53" si="15">K50</f>
        <v>793</v>
      </c>
    </row>
    <row r="51" spans="1:24">
      <c r="A51" s="23" t="s">
        <v>172</v>
      </c>
      <c r="C51">
        <f t="shared" ref="C51:C53" si="16">V51</f>
        <v>421</v>
      </c>
      <c r="D51">
        <v>421</v>
      </c>
      <c r="E51">
        <v>421</v>
      </c>
      <c r="F51">
        <v>420</v>
      </c>
      <c r="G51">
        <v>500</v>
      </c>
      <c r="H51">
        <v>500</v>
      </c>
      <c r="I51">
        <v>500</v>
      </c>
      <c r="J51">
        <v>500</v>
      </c>
      <c r="K51" s="35">
        <v>500</v>
      </c>
      <c r="V51">
        <v>421</v>
      </c>
      <c r="W51">
        <f t="shared" ref="W51:W53" si="17">G51</f>
        <v>500</v>
      </c>
      <c r="X51" s="43">
        <f t="shared" si="15"/>
        <v>500</v>
      </c>
    </row>
    <row r="52" spans="1:24">
      <c r="A52" s="23" t="s">
        <v>173</v>
      </c>
      <c r="C52">
        <f t="shared" si="16"/>
        <v>9514</v>
      </c>
      <c r="D52">
        <v>9514</v>
      </c>
      <c r="E52">
        <v>9514</v>
      </c>
      <c r="F52">
        <v>9561</v>
      </c>
      <c r="G52">
        <v>9561</v>
      </c>
      <c r="H52">
        <v>9566</v>
      </c>
      <c r="I52">
        <v>9820</v>
      </c>
      <c r="J52">
        <v>9820</v>
      </c>
      <c r="K52" s="35">
        <v>9820</v>
      </c>
      <c r="V52">
        <v>9514</v>
      </c>
      <c r="W52">
        <f t="shared" si="17"/>
        <v>9561</v>
      </c>
      <c r="X52" s="43">
        <f t="shared" si="15"/>
        <v>9820</v>
      </c>
    </row>
    <row r="53" spans="1:24">
      <c r="A53" s="23" t="s">
        <v>176</v>
      </c>
      <c r="C53">
        <f t="shared" si="16"/>
        <v>528</v>
      </c>
      <c r="D53">
        <v>516</v>
      </c>
      <c r="E53">
        <v>823</v>
      </c>
      <c r="F53">
        <v>884</v>
      </c>
      <c r="G53">
        <v>623</v>
      </c>
      <c r="H53">
        <v>848</v>
      </c>
      <c r="I53">
        <v>37</v>
      </c>
      <c r="J53">
        <v>52</v>
      </c>
      <c r="K53" s="35">
        <v>37</v>
      </c>
      <c r="V53">
        <v>528</v>
      </c>
      <c r="W53">
        <f t="shared" si="17"/>
        <v>623</v>
      </c>
      <c r="X53" s="43">
        <f t="shared" si="15"/>
        <v>37</v>
      </c>
    </row>
    <row r="54" spans="1:24">
      <c r="A54" s="23" t="s">
        <v>175</v>
      </c>
      <c r="C54">
        <f t="shared" ref="C54:K54" si="18">SUM(C49:C53)</f>
        <v>19025</v>
      </c>
      <c r="D54">
        <f t="shared" si="18"/>
        <v>19049</v>
      </c>
      <c r="E54">
        <f t="shared" si="18"/>
        <v>19398</v>
      </c>
      <c r="F54">
        <f t="shared" si="18"/>
        <v>19640</v>
      </c>
      <c r="G54">
        <f t="shared" si="18"/>
        <v>19714</v>
      </c>
      <c r="H54">
        <f t="shared" si="18"/>
        <v>20309</v>
      </c>
      <c r="I54">
        <f t="shared" si="18"/>
        <v>20348</v>
      </c>
      <c r="J54">
        <f t="shared" si="18"/>
        <v>20428</v>
      </c>
      <c r="K54">
        <f t="shared" si="18"/>
        <v>20463</v>
      </c>
      <c r="V54">
        <f>SUM(V49:V53)</f>
        <v>19025</v>
      </c>
      <c r="W54">
        <f>SUM(W49:W53)</f>
        <v>19714</v>
      </c>
      <c r="X54" s="44">
        <f>SUM(X49:X53)</f>
        <v>20463</v>
      </c>
    </row>
    <row r="55" spans="1:24">
      <c r="A55" s="23"/>
      <c r="X55" s="43"/>
    </row>
    <row r="56" spans="1:24">
      <c r="A56" s="7" t="s">
        <v>198</v>
      </c>
    </row>
    <row r="57" spans="1:24">
      <c r="A57" s="23" t="s">
        <v>170</v>
      </c>
      <c r="D57">
        <f t="shared" ref="D57:K57" si="19">D49-C49</f>
        <v>36</v>
      </c>
      <c r="E57">
        <f t="shared" si="19"/>
        <v>42</v>
      </c>
      <c r="F57">
        <f t="shared" si="19"/>
        <v>148</v>
      </c>
      <c r="G57">
        <f t="shared" si="19"/>
        <v>255</v>
      </c>
      <c r="H57">
        <f t="shared" si="19"/>
        <v>326</v>
      </c>
      <c r="I57">
        <f t="shared" si="19"/>
        <v>596</v>
      </c>
      <c r="J57">
        <f t="shared" si="19"/>
        <v>67</v>
      </c>
      <c r="K57">
        <f t="shared" si="19"/>
        <v>50</v>
      </c>
      <c r="W57">
        <f>W49-V49</f>
        <v>481</v>
      </c>
      <c r="X57">
        <f>SUM(H57:K57)</f>
        <v>1039</v>
      </c>
    </row>
    <row r="58" spans="1:24">
      <c r="A58" s="23" t="s">
        <v>171</v>
      </c>
      <c r="D58">
        <f t="shared" ref="D58:F62" si="20">D50-C50</f>
        <v>0</v>
      </c>
      <c r="E58">
        <f t="shared" si="20"/>
        <v>0</v>
      </c>
      <c r="F58">
        <f t="shared" si="20"/>
        <v>-13</v>
      </c>
      <c r="H58">
        <f>H50-G50</f>
        <v>39</v>
      </c>
      <c r="J58">
        <f>J50-I50</f>
        <v>-2</v>
      </c>
      <c r="K58"/>
      <c r="W58">
        <f t="shared" ref="W58:W62" si="21">W50-V50</f>
        <v>-13</v>
      </c>
      <c r="X58">
        <f t="shared" ref="X58:X63" si="22">SUM(H58:K58)</f>
        <v>37</v>
      </c>
    </row>
    <row r="59" spans="1:24">
      <c r="A59" s="23" t="s">
        <v>172</v>
      </c>
      <c r="D59">
        <f t="shared" si="20"/>
        <v>0</v>
      </c>
      <c r="E59">
        <f t="shared" si="20"/>
        <v>0</v>
      </c>
      <c r="F59">
        <f t="shared" si="20"/>
        <v>-1</v>
      </c>
      <c r="G59">
        <f>G51-F51</f>
        <v>80</v>
      </c>
      <c r="K59"/>
      <c r="W59">
        <f t="shared" si="21"/>
        <v>79</v>
      </c>
      <c r="X59"/>
    </row>
    <row r="60" spans="1:24">
      <c r="A60" s="23" t="s">
        <v>204</v>
      </c>
      <c r="D60">
        <f t="shared" si="20"/>
        <v>0</v>
      </c>
      <c r="E60">
        <f t="shared" si="20"/>
        <v>0</v>
      </c>
      <c r="F60">
        <f t="shared" si="20"/>
        <v>47</v>
      </c>
      <c r="H60">
        <f t="shared" ref="H60:I62" si="23">H52-G52</f>
        <v>5</v>
      </c>
      <c r="I60">
        <f t="shared" si="23"/>
        <v>254</v>
      </c>
      <c r="K60"/>
      <c r="W60">
        <f t="shared" si="21"/>
        <v>47</v>
      </c>
      <c r="X60">
        <f t="shared" si="22"/>
        <v>259</v>
      </c>
    </row>
    <row r="61" spans="1:24">
      <c r="A61" s="23" t="s">
        <v>176</v>
      </c>
      <c r="D61">
        <f t="shared" si="20"/>
        <v>-12</v>
      </c>
      <c r="E61">
        <f t="shared" si="20"/>
        <v>307</v>
      </c>
      <c r="F61">
        <f t="shared" si="20"/>
        <v>61</v>
      </c>
      <c r="G61">
        <f>G53-F53</f>
        <v>-261</v>
      </c>
      <c r="H61">
        <f t="shared" si="23"/>
        <v>225</v>
      </c>
      <c r="I61">
        <f t="shared" si="23"/>
        <v>-811</v>
      </c>
      <c r="J61">
        <f>J53-I53</f>
        <v>15</v>
      </c>
      <c r="K61">
        <f>K53-J53</f>
        <v>-15</v>
      </c>
      <c r="W61">
        <f t="shared" si="21"/>
        <v>95</v>
      </c>
      <c r="X61">
        <f t="shared" si="22"/>
        <v>-586</v>
      </c>
    </row>
    <row r="62" spans="1:24">
      <c r="A62" s="23" t="s">
        <v>175</v>
      </c>
      <c r="D62">
        <f t="shared" si="20"/>
        <v>24</v>
      </c>
      <c r="E62">
        <f t="shared" si="20"/>
        <v>349</v>
      </c>
      <c r="F62">
        <f t="shared" si="20"/>
        <v>242</v>
      </c>
      <c r="G62">
        <f>G54-F54</f>
        <v>74</v>
      </c>
      <c r="H62">
        <f t="shared" si="23"/>
        <v>595</v>
      </c>
      <c r="I62">
        <f t="shared" si="23"/>
        <v>39</v>
      </c>
      <c r="J62">
        <f>J54-I54</f>
        <v>80</v>
      </c>
      <c r="K62">
        <f>K54-J54</f>
        <v>35</v>
      </c>
      <c r="W62">
        <f t="shared" si="21"/>
        <v>689</v>
      </c>
      <c r="X62">
        <f t="shared" si="22"/>
        <v>749</v>
      </c>
    </row>
    <row r="63" spans="1:24">
      <c r="A63" s="23" t="s">
        <v>202</v>
      </c>
      <c r="D63">
        <f>-Model!B84</f>
        <v>21</v>
      </c>
      <c r="E63">
        <f>-Model!C84</f>
        <v>102</v>
      </c>
      <c r="F63">
        <f>-Model!D84</f>
        <v>384</v>
      </c>
      <c r="G63">
        <f>-Model!E84</f>
        <v>172</v>
      </c>
      <c r="H63">
        <f>-Model!F84</f>
        <v>477</v>
      </c>
      <c r="I63">
        <f>-Model!G84</f>
        <v>152</v>
      </c>
      <c r="J63">
        <f>-Model!H84</f>
        <v>56</v>
      </c>
      <c r="K63">
        <f>-Model!I84</f>
        <v>43</v>
      </c>
      <c r="W63">
        <f>SUM(D63:G63)</f>
        <v>679</v>
      </c>
      <c r="X63">
        <f t="shared" si="22"/>
        <v>728</v>
      </c>
    </row>
    <row r="64" spans="1:24">
      <c r="A64" s="23"/>
    </row>
    <row r="65" spans="1:24">
      <c r="A65" s="20" t="s">
        <v>203</v>
      </c>
    </row>
    <row r="66" spans="1:24">
      <c r="A66" s="23" t="s">
        <v>171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W66">
        <v>3</v>
      </c>
      <c r="X66">
        <v>3</v>
      </c>
    </row>
    <row r="67" spans="1:24">
      <c r="A67" s="23" t="s">
        <v>172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W67">
        <v>5</v>
      </c>
      <c r="X67">
        <v>5</v>
      </c>
    </row>
    <row r="68" spans="1:24">
      <c r="A68" s="23" t="s">
        <v>170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W68">
        <v>5</v>
      </c>
      <c r="X68">
        <v>5</v>
      </c>
    </row>
    <row r="69" spans="1:24">
      <c r="A69" s="23" t="s">
        <v>301</v>
      </c>
      <c r="G69" s="16">
        <f>AVERAGE(G66:G68)</f>
        <v>4.333333333333333</v>
      </c>
      <c r="H69" s="16">
        <f t="shared" ref="H69:K69" si="24">AVERAGE(H66:H68)</f>
        <v>4.333333333333333</v>
      </c>
      <c r="I69" s="16">
        <f t="shared" si="24"/>
        <v>4.333333333333333</v>
      </c>
      <c r="J69" s="16">
        <f t="shared" si="24"/>
        <v>4.333333333333333</v>
      </c>
      <c r="K69" s="16">
        <f t="shared" si="24"/>
        <v>4.333333333333333</v>
      </c>
      <c r="W69" s="16">
        <f>AVERAGE(W66:W68)</f>
        <v>4.333333333333333</v>
      </c>
      <c r="X69" s="16">
        <f t="shared" ref="X69" si="25">AVERAGE(X66:X68)</f>
        <v>4.333333333333333</v>
      </c>
    </row>
    <row r="70" spans="1:24">
      <c r="A70" s="20" t="s">
        <v>201</v>
      </c>
      <c r="D70" s="16">
        <f>(-(D75-D74)/D74)/4</f>
        <v>4.3130990415335466</v>
      </c>
      <c r="E70" s="16">
        <f>(-(E75-E74)/E74)/4</f>
        <v>4.3457095709570961</v>
      </c>
      <c r="F70" s="16">
        <f>(-(F75-F74)/F74)/4</f>
        <v>4.260416666666667</v>
      </c>
      <c r="G70" s="16">
        <f>(-(G75-G74)/G74)/4</f>
        <v>3.9684942716857612</v>
      </c>
      <c r="H70" s="16">
        <f>(-(H75-H74)/H74)/4</f>
        <v>4.0278702163061562</v>
      </c>
      <c r="I70" s="16">
        <f>(-(I75-I74)/I74)/4</f>
        <v>3.475609756097561</v>
      </c>
      <c r="J70" s="16">
        <f>(-(J75-J74)/J74)/4</f>
        <v>3.288846153846154</v>
      </c>
      <c r="K70" s="16">
        <f>(-(K75-K74)/K74)/4</f>
        <v>3.2365415986949428</v>
      </c>
      <c r="W70" s="16">
        <f>(-(W75-W74)/W74)</f>
        <v>4.7200163733115019</v>
      </c>
      <c r="X70" s="16">
        <f>(-(X75-X74)/X74)</f>
        <v>4.8196856906534329</v>
      </c>
    </row>
    <row r="71" spans="1:24">
      <c r="A71" s="20"/>
      <c r="D71" s="16"/>
      <c r="E71" s="16"/>
      <c r="F71" s="16"/>
      <c r="G71" s="16"/>
      <c r="H71" s="16"/>
      <c r="I71" s="16"/>
      <c r="J71" s="16"/>
      <c r="K71" s="16"/>
      <c r="W71" s="16"/>
    </row>
    <row r="72" spans="1:24">
      <c r="A72" s="23"/>
      <c r="K72" s="35">
        <f>K73-J73</f>
        <v>-613</v>
      </c>
    </row>
    <row r="73" spans="1:24">
      <c r="A73" s="23" t="s">
        <v>174</v>
      </c>
      <c r="C73">
        <f t="shared" ref="C73" si="26">V73</f>
        <v>-8249</v>
      </c>
      <c r="D73">
        <v>-8875</v>
      </c>
      <c r="E73">
        <v>-9470</v>
      </c>
      <c r="F73">
        <v>-10015</v>
      </c>
      <c r="G73">
        <v>-10626</v>
      </c>
      <c r="H73">
        <v>-11227</v>
      </c>
      <c r="I73">
        <v>-11884</v>
      </c>
      <c r="J73">
        <v>-12527</v>
      </c>
      <c r="K73">
        <v>-13140</v>
      </c>
      <c r="V73">
        <v>-8249</v>
      </c>
      <c r="W73">
        <f t="shared" ref="W73:X73" si="27">G73</f>
        <v>-10626</v>
      </c>
      <c r="X73">
        <f t="shared" si="27"/>
        <v>-11227</v>
      </c>
    </row>
    <row r="74" spans="1:24">
      <c r="A74" s="23" t="s">
        <v>200</v>
      </c>
      <c r="D74">
        <f>-Model!B68</f>
        <v>-626</v>
      </c>
      <c r="E74">
        <f>-Model!C68</f>
        <v>-606</v>
      </c>
      <c r="F74">
        <f>-Model!D68</f>
        <v>-600</v>
      </c>
      <c r="G74">
        <f>-Model!E68</f>
        <v>-611</v>
      </c>
      <c r="H74">
        <f>-Model!F68</f>
        <v>-601</v>
      </c>
      <c r="I74">
        <f>-Model!G68</f>
        <v>-656</v>
      </c>
      <c r="J74">
        <f>-Model!H68</f>
        <v>-650</v>
      </c>
      <c r="K74">
        <f>-Model!I68</f>
        <v>-613</v>
      </c>
      <c r="V74">
        <f>-Model!U68</f>
        <v>-2636</v>
      </c>
      <c r="W74">
        <f>SUM(D74:G74)</f>
        <v>-2443</v>
      </c>
      <c r="X74">
        <f>SUM(E74:H74)</f>
        <v>-2418</v>
      </c>
    </row>
    <row r="75" spans="1:24" s="26" customFormat="1">
      <c r="A75" s="25" t="s">
        <v>59</v>
      </c>
      <c r="C75" s="26">
        <f t="shared" ref="C75:J75" si="28">C54+C73</f>
        <v>10776</v>
      </c>
      <c r="D75" s="26">
        <f t="shared" si="28"/>
        <v>10174</v>
      </c>
      <c r="E75" s="26">
        <f t="shared" si="28"/>
        <v>9928</v>
      </c>
      <c r="F75" s="26">
        <f t="shared" si="28"/>
        <v>9625</v>
      </c>
      <c r="G75" s="26">
        <f t="shared" si="28"/>
        <v>9088</v>
      </c>
      <c r="H75" s="26">
        <f t="shared" si="28"/>
        <v>9082</v>
      </c>
      <c r="I75" s="26">
        <f t="shared" si="28"/>
        <v>8464</v>
      </c>
      <c r="J75" s="26">
        <f t="shared" si="28"/>
        <v>7901</v>
      </c>
      <c r="K75" s="26">
        <f>K54+K73</f>
        <v>7323</v>
      </c>
      <c r="V75" s="26">
        <f>V54+V73</f>
        <v>10776</v>
      </c>
      <c r="W75" s="26">
        <f>W54+W73</f>
        <v>9088</v>
      </c>
      <c r="X75" s="26">
        <f>X54+X73</f>
        <v>9236</v>
      </c>
    </row>
    <row r="77" spans="1:24">
      <c r="A77" s="7" t="s">
        <v>66</v>
      </c>
    </row>
    <row r="78" spans="1:24" s="30" customFormat="1">
      <c r="A78" s="29" t="s">
        <v>177</v>
      </c>
      <c r="C78" s="30">
        <f>V78</f>
        <v>3005</v>
      </c>
      <c r="D78" s="30">
        <v>1436</v>
      </c>
      <c r="E78" s="30">
        <v>2248</v>
      </c>
      <c r="F78" s="30">
        <v>2640</v>
      </c>
      <c r="G78" s="30">
        <v>3495</v>
      </c>
      <c r="H78" s="30">
        <v>1546</v>
      </c>
      <c r="I78" s="30">
        <v>2203</v>
      </c>
      <c r="J78" s="30">
        <v>2960</v>
      </c>
      <c r="K78" s="36">
        <v>3401</v>
      </c>
      <c r="V78" s="30">
        <v>3005</v>
      </c>
      <c r="W78" s="30">
        <v>3495</v>
      </c>
      <c r="X78" s="36"/>
    </row>
    <row r="79" spans="1:24">
      <c r="A79" s="23" t="s">
        <v>178</v>
      </c>
      <c r="C79">
        <f>V79</f>
        <v>215</v>
      </c>
      <c r="D79">
        <v>454</v>
      </c>
      <c r="E79">
        <v>475</v>
      </c>
      <c r="F79">
        <v>497</v>
      </c>
      <c r="G79">
        <v>298</v>
      </c>
      <c r="H79">
        <v>398</v>
      </c>
      <c r="I79">
        <v>632</v>
      </c>
      <c r="J79">
        <v>471</v>
      </c>
      <c r="K79" s="35">
        <v>152</v>
      </c>
      <c r="V79">
        <v>215</v>
      </c>
      <c r="W79">
        <v>298</v>
      </c>
    </row>
    <row r="80" spans="1:24">
      <c r="A80" s="23" t="s">
        <v>179</v>
      </c>
      <c r="C80">
        <f t="shared" ref="C80:C81" si="29">V80</f>
        <v>230</v>
      </c>
      <c r="D80">
        <v>577</v>
      </c>
      <c r="E80">
        <v>647</v>
      </c>
      <c r="F80">
        <v>586</v>
      </c>
      <c r="G80">
        <v>336</v>
      </c>
      <c r="H80">
        <v>450</v>
      </c>
      <c r="I80">
        <v>216</v>
      </c>
      <c r="J80">
        <v>999</v>
      </c>
      <c r="K80" s="35">
        <v>1624</v>
      </c>
      <c r="V80">
        <v>230</v>
      </c>
      <c r="W80">
        <v>336</v>
      </c>
    </row>
    <row r="81" spans="1:24">
      <c r="A81" s="23" t="s">
        <v>180</v>
      </c>
      <c r="C81">
        <f t="shared" si="29"/>
        <v>323</v>
      </c>
      <c r="D81">
        <v>335</v>
      </c>
      <c r="E81">
        <v>254</v>
      </c>
      <c r="F81">
        <v>261</v>
      </c>
      <c r="G81">
        <v>273</v>
      </c>
      <c r="H81">
        <v>274</v>
      </c>
      <c r="I81">
        <v>198</v>
      </c>
      <c r="J81">
        <v>340</v>
      </c>
      <c r="K81" s="35">
        <v>1134</v>
      </c>
      <c r="V81">
        <v>323</v>
      </c>
      <c r="W81">
        <v>273</v>
      </c>
    </row>
    <row r="82" spans="1:24" s="26" customFormat="1">
      <c r="A82" s="25" t="s">
        <v>181</v>
      </c>
      <c r="C82" s="26">
        <f>V82</f>
        <v>3773</v>
      </c>
      <c r="D82" s="26">
        <f t="shared" ref="D82:K82" si="30">D78+D79+D80+D81</f>
        <v>2802</v>
      </c>
      <c r="E82" s="26">
        <f t="shared" si="30"/>
        <v>3624</v>
      </c>
      <c r="F82" s="26">
        <f t="shared" si="30"/>
        <v>3984</v>
      </c>
      <c r="G82" s="26">
        <f t="shared" si="30"/>
        <v>4402</v>
      </c>
      <c r="H82" s="26">
        <f t="shared" si="30"/>
        <v>2668</v>
      </c>
      <c r="I82" s="26">
        <f t="shared" si="30"/>
        <v>3249</v>
      </c>
      <c r="J82" s="26">
        <f t="shared" si="30"/>
        <v>4770</v>
      </c>
      <c r="K82" s="26">
        <f t="shared" si="30"/>
        <v>6311</v>
      </c>
      <c r="V82" s="26">
        <f>V78+V79+V80+V81</f>
        <v>3773</v>
      </c>
      <c r="W82" s="26">
        <f>W78+W79+W80+W81</f>
        <v>4402</v>
      </c>
      <c r="X82" s="38"/>
    </row>
    <row r="84" spans="1:24">
      <c r="A84" s="7" t="s">
        <v>215</v>
      </c>
    </row>
    <row r="85" spans="1:24">
      <c r="A85" t="s">
        <v>216</v>
      </c>
      <c r="G85">
        <f>W85</f>
        <v>979</v>
      </c>
      <c r="K85" s="35">
        <f>X85</f>
        <v>887</v>
      </c>
      <c r="V85">
        <v>856</v>
      </c>
      <c r="W85">
        <v>979</v>
      </c>
      <c r="X85" s="35">
        <v>887</v>
      </c>
    </row>
    <row r="86" spans="1:24">
      <c r="A86" t="s">
        <v>62</v>
      </c>
      <c r="G86">
        <f t="shared" ref="G86:G88" si="31">W86</f>
        <v>2721</v>
      </c>
      <c r="K86" s="35">
        <f t="shared" ref="K86:K88" si="32">X86</f>
        <v>320</v>
      </c>
      <c r="V86">
        <v>4771</v>
      </c>
      <c r="W86">
        <v>2721</v>
      </c>
      <c r="X86" s="35">
        <v>320</v>
      </c>
    </row>
    <row r="87" spans="1:24">
      <c r="A87" t="s">
        <v>302</v>
      </c>
      <c r="G87">
        <f t="shared" si="31"/>
        <v>710</v>
      </c>
      <c r="K87" s="35">
        <f t="shared" si="32"/>
        <v>771</v>
      </c>
      <c r="V87">
        <v>528</v>
      </c>
      <c r="W87">
        <v>710</v>
      </c>
      <c r="X87" s="35">
        <v>771</v>
      </c>
    </row>
    <row r="88" spans="1:24">
      <c r="A88" t="s">
        <v>217</v>
      </c>
      <c r="G88">
        <f t="shared" si="31"/>
        <v>311</v>
      </c>
      <c r="K88" s="35">
        <f t="shared" si="32"/>
        <v>175</v>
      </c>
      <c r="V88">
        <v>247</v>
      </c>
      <c r="W88">
        <v>311</v>
      </c>
      <c r="X88" s="35">
        <v>175</v>
      </c>
    </row>
    <row r="89" spans="1:24">
      <c r="A89" t="s">
        <v>218</v>
      </c>
      <c r="G89">
        <f>G88+G87+G86+G85</f>
        <v>4721</v>
      </c>
      <c r="K89">
        <f t="shared" ref="H89:K89" si="33">K88+K87+K86+K85</f>
        <v>2153</v>
      </c>
      <c r="V89">
        <f>V85+V86+V87+V88</f>
        <v>6402</v>
      </c>
      <c r="W89">
        <f>W85+W86+W87+W88</f>
        <v>4721</v>
      </c>
      <c r="X89">
        <f>X85+X86+X87+X88</f>
        <v>2153</v>
      </c>
    </row>
    <row r="93" spans="1:24">
      <c r="A93" s="7" t="s">
        <v>183</v>
      </c>
    </row>
    <row r="94" spans="1:24" s="30" customFormat="1">
      <c r="A94" s="29" t="s">
        <v>184</v>
      </c>
      <c r="D94" s="30">
        <v>2548117</v>
      </c>
      <c r="E94" s="30">
        <v>2548117</v>
      </c>
      <c r="F94" s="30">
        <v>2548117</v>
      </c>
      <c r="G94" s="30">
        <f>W94</f>
        <v>2548117</v>
      </c>
      <c r="H94" s="30">
        <v>2548117</v>
      </c>
      <c r="I94" s="30">
        <v>2548117</v>
      </c>
      <c r="J94" s="30">
        <v>2548117</v>
      </c>
      <c r="K94" s="30">
        <v>2548117</v>
      </c>
      <c r="W94" s="30">
        <v>2548117</v>
      </c>
      <c r="X94" s="36"/>
    </row>
    <row r="95" spans="1:24">
      <c r="A95" s="23" t="s">
        <v>185</v>
      </c>
      <c r="D95">
        <v>1663868</v>
      </c>
      <c r="E95">
        <v>1807951</v>
      </c>
      <c r="F95">
        <v>1866393</v>
      </c>
      <c r="G95">
        <f>W95</f>
        <v>2032515</v>
      </c>
      <c r="H95">
        <v>2279425</v>
      </c>
      <c r="I95">
        <v>2707904</v>
      </c>
      <c r="J95">
        <v>3028542</v>
      </c>
      <c r="K95" s="35">
        <v>3328011</v>
      </c>
      <c r="W95">
        <v>2032515</v>
      </c>
    </row>
    <row r="96" spans="1:24">
      <c r="A96" s="23" t="s">
        <v>186</v>
      </c>
      <c r="D96">
        <v>708443</v>
      </c>
      <c r="E96">
        <v>20480</v>
      </c>
      <c r="G96">
        <f>W96</f>
        <v>21569</v>
      </c>
      <c r="I96">
        <v>20705</v>
      </c>
      <c r="K96" s="35">
        <v>52648</v>
      </c>
      <c r="W96">
        <v>21569</v>
      </c>
    </row>
    <row r="97" spans="1:24" s="26" customFormat="1">
      <c r="A97" s="25" t="s">
        <v>165</v>
      </c>
      <c r="D97" s="26">
        <f t="shared" ref="D97:K97" si="34">D96+D95+D94</f>
        <v>4920428</v>
      </c>
      <c r="E97" s="26">
        <f t="shared" si="34"/>
        <v>4376548</v>
      </c>
      <c r="F97" s="26">
        <f t="shared" si="34"/>
        <v>4414510</v>
      </c>
      <c r="G97" s="26">
        <f t="shared" si="34"/>
        <v>4602201</v>
      </c>
      <c r="H97" s="26">
        <f t="shared" si="34"/>
        <v>4827542</v>
      </c>
      <c r="I97" s="26">
        <f t="shared" si="34"/>
        <v>5276726</v>
      </c>
      <c r="J97" s="26">
        <f t="shared" si="34"/>
        <v>5576659</v>
      </c>
      <c r="K97" s="26">
        <f t="shared" si="34"/>
        <v>5928776</v>
      </c>
      <c r="W97" s="26">
        <f>W96+W95+W94</f>
        <v>4602201</v>
      </c>
      <c r="X97" s="38"/>
    </row>
    <row r="99" spans="1:24" s="7" customFormat="1">
      <c r="A99" s="7" t="s">
        <v>187</v>
      </c>
      <c r="K99" s="40"/>
      <c r="X99" s="40"/>
    </row>
    <row r="100" spans="1:24" s="30" customFormat="1">
      <c r="A100" s="29" t="s">
        <v>188</v>
      </c>
      <c r="D100" s="30">
        <v>415</v>
      </c>
      <c r="E100" s="30">
        <v>359</v>
      </c>
      <c r="F100" s="30">
        <v>319</v>
      </c>
      <c r="G100" s="30">
        <f>W100</f>
        <v>1373</v>
      </c>
      <c r="H100" s="30">
        <v>375</v>
      </c>
      <c r="I100" s="30">
        <v>378</v>
      </c>
      <c r="J100" s="30">
        <v>390</v>
      </c>
      <c r="K100" s="36">
        <f>X100-J100-I100-H100</f>
        <v>422</v>
      </c>
      <c r="V100" s="30">
        <v>1724</v>
      </c>
      <c r="W100" s="30">
        <v>1373</v>
      </c>
      <c r="X100" s="36">
        <v>1565</v>
      </c>
    </row>
    <row r="101" spans="1:24">
      <c r="A101" s="23" t="s">
        <v>38</v>
      </c>
      <c r="D101">
        <v>462</v>
      </c>
      <c r="E101">
        <v>517</v>
      </c>
      <c r="F101">
        <v>489</v>
      </c>
      <c r="G101">
        <f>W101</f>
        <v>1988</v>
      </c>
      <c r="H101">
        <v>515</v>
      </c>
      <c r="I101">
        <v>599</v>
      </c>
      <c r="J101">
        <v>504</v>
      </c>
      <c r="K101" s="43">
        <f>X101-J101-I101-H101</f>
        <v>456</v>
      </c>
      <c r="V101">
        <v>2183</v>
      </c>
      <c r="W101">
        <v>1988</v>
      </c>
      <c r="X101" s="35">
        <v>2074</v>
      </c>
    </row>
    <row r="102" spans="1:24" s="26" customFormat="1">
      <c r="A102" s="25" t="s">
        <v>165</v>
      </c>
      <c r="D102" s="26">
        <f t="shared" ref="D102:K102" si="35">D101+D100</f>
        <v>877</v>
      </c>
      <c r="E102" s="26">
        <f t="shared" si="35"/>
        <v>876</v>
      </c>
      <c r="F102" s="26">
        <f t="shared" si="35"/>
        <v>808</v>
      </c>
      <c r="G102" s="26">
        <f t="shared" si="35"/>
        <v>3361</v>
      </c>
      <c r="H102" s="26">
        <f t="shared" si="35"/>
        <v>890</v>
      </c>
      <c r="I102" s="26">
        <f t="shared" si="35"/>
        <v>977</v>
      </c>
      <c r="J102" s="26">
        <f t="shared" si="35"/>
        <v>894</v>
      </c>
      <c r="K102" s="26">
        <f>K101+K100</f>
        <v>878</v>
      </c>
      <c r="V102" s="26">
        <f>V101+V100</f>
        <v>3907</v>
      </c>
      <c r="W102" s="26">
        <f>W101+W100</f>
        <v>3361</v>
      </c>
      <c r="X102" s="26">
        <f>X101+X100</f>
        <v>3639</v>
      </c>
    </row>
    <row r="103" spans="1:24" s="30" customFormat="1">
      <c r="A103" s="29" t="s">
        <v>189</v>
      </c>
      <c r="D103" s="30">
        <v>699</v>
      </c>
      <c r="E103" s="30">
        <v>800</v>
      </c>
      <c r="F103" s="30">
        <v>744</v>
      </c>
      <c r="G103" s="30">
        <f>W103</f>
        <v>2969</v>
      </c>
      <c r="H103" s="30">
        <v>820</v>
      </c>
      <c r="I103" s="30">
        <v>845</v>
      </c>
      <c r="J103" s="30">
        <v>764</v>
      </c>
      <c r="K103" s="36">
        <f>X103-J103-I103-H103</f>
        <v>739</v>
      </c>
      <c r="V103" s="30">
        <v>3200</v>
      </c>
      <c r="W103" s="30">
        <v>2969</v>
      </c>
      <c r="X103" s="36">
        <v>3168</v>
      </c>
    </row>
    <row r="104" spans="1:24">
      <c r="A104" s="23" t="s">
        <v>190</v>
      </c>
      <c r="D104">
        <v>172</v>
      </c>
      <c r="E104">
        <v>62</v>
      </c>
      <c r="F104">
        <v>50</v>
      </c>
      <c r="G104">
        <f>W104</f>
        <v>334</v>
      </c>
      <c r="H104">
        <v>53</v>
      </c>
      <c r="I104">
        <v>113</v>
      </c>
      <c r="J104">
        <v>111</v>
      </c>
      <c r="K104" s="43">
        <f t="shared" ref="K104:K106" si="36">X104-J104-I104-H104</f>
        <v>119</v>
      </c>
      <c r="V104">
        <v>680</v>
      </c>
      <c r="W104">
        <v>334</v>
      </c>
      <c r="X104" s="35">
        <v>396</v>
      </c>
    </row>
    <row r="105" spans="1:24">
      <c r="A105" s="23" t="s">
        <v>186</v>
      </c>
      <c r="D105">
        <v>6</v>
      </c>
      <c r="E105">
        <v>14</v>
      </c>
      <c r="F105">
        <v>14</v>
      </c>
      <c r="G105">
        <f>W105</f>
        <v>58</v>
      </c>
      <c r="H105">
        <v>17</v>
      </c>
      <c r="I105">
        <v>19</v>
      </c>
      <c r="J105">
        <v>19</v>
      </c>
      <c r="K105" s="43">
        <f t="shared" si="36"/>
        <v>20</v>
      </c>
      <c r="V105">
        <v>27</v>
      </c>
      <c r="W105">
        <v>58</v>
      </c>
      <c r="X105" s="35">
        <v>75</v>
      </c>
    </row>
    <row r="106" spans="1:24" s="26" customFormat="1">
      <c r="A106" s="25" t="s">
        <v>165</v>
      </c>
      <c r="D106" s="26">
        <f t="shared" ref="D106:K106" si="37">D103+D104+D105</f>
        <v>877</v>
      </c>
      <c r="E106" s="26">
        <f t="shared" si="37"/>
        <v>876</v>
      </c>
      <c r="F106" s="26">
        <f t="shared" si="37"/>
        <v>808</v>
      </c>
      <c r="G106" s="26">
        <f t="shared" si="37"/>
        <v>3361</v>
      </c>
      <c r="H106" s="26">
        <f t="shared" si="37"/>
        <v>890</v>
      </c>
      <c r="I106" s="26">
        <f t="shared" si="37"/>
        <v>977</v>
      </c>
      <c r="J106" s="26">
        <f t="shared" si="37"/>
        <v>894</v>
      </c>
      <c r="K106" s="26">
        <f>K103+K104+K105</f>
        <v>878</v>
      </c>
      <c r="V106" s="26">
        <f>V103+V104+V105</f>
        <v>3907</v>
      </c>
      <c r="W106" s="26">
        <f>W103+W104+W105</f>
        <v>3361</v>
      </c>
      <c r="X106" s="26">
        <f>X103+X104+X105</f>
        <v>3639</v>
      </c>
    </row>
    <row r="108" spans="1:24">
      <c r="A108" s="7" t="s">
        <v>205</v>
      </c>
    </row>
    <row r="109" spans="1:24">
      <c r="A109" t="s">
        <v>206</v>
      </c>
      <c r="V109">
        <v>6.2</v>
      </c>
      <c r="W109">
        <v>6.2</v>
      </c>
    </row>
    <row r="110" spans="1:24">
      <c r="A110" t="s">
        <v>207</v>
      </c>
      <c r="V110" s="31">
        <v>6.0000000000000001E-3</v>
      </c>
      <c r="W110" s="1">
        <v>0.01</v>
      </c>
    </row>
    <row r="111" spans="1:24">
      <c r="A111" t="s">
        <v>208</v>
      </c>
      <c r="V111" s="31">
        <v>0.84899999999999998</v>
      </c>
      <c r="W111" s="31">
        <v>0.84899999999999998</v>
      </c>
    </row>
    <row r="113" spans="1:37">
      <c r="A113" s="7" t="s">
        <v>191</v>
      </c>
    </row>
    <row r="114" spans="1:37" s="30" customFormat="1">
      <c r="A114" s="29" t="s">
        <v>192</v>
      </c>
      <c r="D114" s="30">
        <v>977</v>
      </c>
      <c r="E114" s="30">
        <v>1035</v>
      </c>
      <c r="F114" s="30">
        <v>983</v>
      </c>
      <c r="G114" s="30">
        <f>W114-F114-E114-D114</f>
        <v>582</v>
      </c>
      <c r="H114" s="30">
        <v>766</v>
      </c>
      <c r="I114" s="30">
        <v>750</v>
      </c>
      <c r="J114" s="30">
        <v>1326</v>
      </c>
      <c r="K114" s="36">
        <f>X114-J114-I114-H114</f>
        <v>594</v>
      </c>
      <c r="L114" s="30">
        <f>K114/2</f>
        <v>297</v>
      </c>
      <c r="V114" s="30">
        <v>8970</v>
      </c>
      <c r="W114" s="30">
        <v>3577</v>
      </c>
      <c r="X114" s="35">
        <v>3436</v>
      </c>
    </row>
    <row r="115" spans="1:37">
      <c r="A115" s="23" t="s">
        <v>107</v>
      </c>
      <c r="D115">
        <v>90</v>
      </c>
      <c r="E115">
        <v>407</v>
      </c>
      <c r="F115">
        <v>1776</v>
      </c>
      <c r="G115">
        <f>W115-E115-F115-D115</f>
        <v>916</v>
      </c>
      <c r="H115">
        <v>517</v>
      </c>
      <c r="I115">
        <v>238</v>
      </c>
      <c r="J115">
        <v>1734</v>
      </c>
      <c r="K115" s="35">
        <f t="shared" ref="K115:K120" si="38">X115-J115-I115-H115</f>
        <v>1891</v>
      </c>
      <c r="L115" s="2">
        <f t="shared" ref="L115:S115" si="39">K115*1.008</f>
        <v>1906.1279999999999</v>
      </c>
      <c r="M115" s="2">
        <f t="shared" si="39"/>
        <v>1921.3770239999999</v>
      </c>
      <c r="N115" s="2">
        <f t="shared" si="39"/>
        <v>1936.748040192</v>
      </c>
      <c r="O115" s="2">
        <f t="shared" si="39"/>
        <v>1952.2420245135361</v>
      </c>
      <c r="P115" s="2">
        <f t="shared" si="39"/>
        <v>1967.8599607096444</v>
      </c>
      <c r="Q115" s="2">
        <f t="shared" si="39"/>
        <v>1983.6028403953217</v>
      </c>
      <c r="R115" s="2">
        <f t="shared" si="39"/>
        <v>1999.4716631184842</v>
      </c>
      <c r="S115" s="2">
        <f t="shared" si="39"/>
        <v>2015.4674364234322</v>
      </c>
      <c r="W115">
        <v>3189</v>
      </c>
      <c r="X115" s="35">
        <v>4380</v>
      </c>
      <c r="Y115" s="2">
        <f>SUM(L115:O115)</f>
        <v>7716.4950887055365</v>
      </c>
      <c r="Z115" s="2">
        <f>SUM(P115:S115)</f>
        <v>7966.4019006468825</v>
      </c>
      <c r="AA115" s="2">
        <f>Z115*1.01</f>
        <v>8046.0659196533516</v>
      </c>
      <c r="AB115" s="2">
        <f t="shared" ref="AB115:AK115" si="40">AA115*1.01</f>
        <v>8126.5265788498855</v>
      </c>
      <c r="AC115" s="2">
        <f t="shared" si="40"/>
        <v>8207.7918446383846</v>
      </c>
      <c r="AD115" s="2">
        <f t="shared" si="40"/>
        <v>8289.8697630847691</v>
      </c>
      <c r="AE115" s="2">
        <f t="shared" si="40"/>
        <v>8372.768460715617</v>
      </c>
      <c r="AF115" s="2">
        <f t="shared" si="40"/>
        <v>8456.4961453227734</v>
      </c>
      <c r="AG115" s="2">
        <f t="shared" si="40"/>
        <v>8541.0611067760019</v>
      </c>
      <c r="AH115" s="2">
        <f t="shared" si="40"/>
        <v>8626.4717178437622</v>
      </c>
      <c r="AI115" s="2">
        <f t="shared" si="40"/>
        <v>8712.7364350221997</v>
      </c>
      <c r="AJ115" s="2">
        <f t="shared" si="40"/>
        <v>8799.8637993724224</v>
      </c>
      <c r="AK115" s="2">
        <f t="shared" si="40"/>
        <v>8887.862437366146</v>
      </c>
    </row>
    <row r="116" spans="1:37">
      <c r="A116" s="23" t="s">
        <v>193</v>
      </c>
      <c r="D116">
        <v>1741</v>
      </c>
      <c r="E116">
        <v>673</v>
      </c>
      <c r="F116">
        <v>2258</v>
      </c>
      <c r="G116">
        <f t="shared" ref="G116:G120" si="41">W116-E116-F116-D116</f>
        <v>1827</v>
      </c>
      <c r="H116">
        <v>1132</v>
      </c>
      <c r="I116">
        <v>926</v>
      </c>
      <c r="J116">
        <v>1080</v>
      </c>
      <c r="K116" s="35">
        <f t="shared" si="38"/>
        <v>1059</v>
      </c>
      <c r="L116" s="2">
        <f t="shared" ref="L116:S116" si="42">K116*1.008</f>
        <v>1067.472</v>
      </c>
      <c r="M116" s="2">
        <f t="shared" si="42"/>
        <v>1076.0117760000001</v>
      </c>
      <c r="N116" s="2">
        <f t="shared" si="42"/>
        <v>1084.6198702080001</v>
      </c>
      <c r="O116" s="2">
        <f t="shared" si="42"/>
        <v>1093.2968291696641</v>
      </c>
      <c r="P116" s="2">
        <f t="shared" si="42"/>
        <v>1102.0432038030215</v>
      </c>
      <c r="Q116" s="2">
        <f t="shared" si="42"/>
        <v>1110.8595494334456</v>
      </c>
      <c r="R116" s="2">
        <f t="shared" si="42"/>
        <v>1119.7464258289133</v>
      </c>
      <c r="S116" s="2">
        <f t="shared" si="42"/>
        <v>1128.7043972355445</v>
      </c>
      <c r="V116">
        <v>1907</v>
      </c>
      <c r="W116">
        <v>6499</v>
      </c>
      <c r="X116" s="35">
        <v>4197</v>
      </c>
      <c r="Y116" s="2">
        <f t="shared" ref="Y116:Y120" si="43">SUM(L116:O116)</f>
        <v>4321.4004753776644</v>
      </c>
      <c r="Z116" s="2">
        <f t="shared" ref="Z116:Z120" si="44">SUM(P116:S116)</f>
        <v>4461.3535763009249</v>
      </c>
      <c r="AA116" s="2">
        <f t="shared" ref="AA116:AK120" si="45">Z116*1.01</f>
        <v>4505.9671120639341</v>
      </c>
      <c r="AB116" s="2">
        <f t="shared" si="45"/>
        <v>4551.0267831845731</v>
      </c>
      <c r="AC116" s="2">
        <f t="shared" si="45"/>
        <v>4596.5370510164184</v>
      </c>
      <c r="AD116" s="2">
        <f t="shared" si="45"/>
        <v>4642.502421526583</v>
      </c>
      <c r="AE116" s="2">
        <f t="shared" si="45"/>
        <v>4688.9274457418487</v>
      </c>
      <c r="AF116" s="2">
        <f t="shared" si="45"/>
        <v>4735.8167201992674</v>
      </c>
      <c r="AG116" s="2">
        <f t="shared" si="45"/>
        <v>4783.1748874012601</v>
      </c>
      <c r="AH116" s="2">
        <f t="shared" si="45"/>
        <v>4831.0066362752723</v>
      </c>
      <c r="AI116" s="2">
        <f t="shared" si="45"/>
        <v>4879.3167026380252</v>
      </c>
      <c r="AJ116" s="2">
        <f t="shared" si="45"/>
        <v>4928.1098696644058</v>
      </c>
      <c r="AK116" s="2">
        <f t="shared" si="45"/>
        <v>4977.39096836105</v>
      </c>
    </row>
    <row r="117" spans="1:37">
      <c r="A117" s="23" t="s">
        <v>29</v>
      </c>
      <c r="I117">
        <v>270</v>
      </c>
      <c r="J117">
        <v>1207</v>
      </c>
      <c r="K117" s="35">
        <f t="shared" si="38"/>
        <v>782</v>
      </c>
      <c r="L117" s="2">
        <f t="shared" ref="L117:S120" si="46">K117*1.008</f>
        <v>788.25599999999997</v>
      </c>
      <c r="M117" s="2">
        <f t="shared" si="46"/>
        <v>794.562048</v>
      </c>
      <c r="N117" s="2">
        <f t="shared" si="46"/>
        <v>800.91854438400003</v>
      </c>
      <c r="O117" s="2">
        <f t="shared" si="46"/>
        <v>807.32589273907206</v>
      </c>
      <c r="P117" s="2">
        <f t="shared" si="46"/>
        <v>813.78449988098464</v>
      </c>
      <c r="Q117" s="2">
        <f t="shared" si="46"/>
        <v>820.29477588003249</v>
      </c>
      <c r="R117" s="2">
        <f t="shared" si="46"/>
        <v>826.85713408707272</v>
      </c>
      <c r="S117" s="2">
        <f t="shared" si="46"/>
        <v>833.47199115976935</v>
      </c>
      <c r="X117" s="35">
        <v>2259</v>
      </c>
      <c r="Y117" s="2">
        <f t="shared" si="43"/>
        <v>3191.0624851230723</v>
      </c>
      <c r="Z117" s="2">
        <f t="shared" si="44"/>
        <v>3294.4084010078591</v>
      </c>
      <c r="AA117" s="2">
        <f t="shared" si="45"/>
        <v>3327.3524850179379</v>
      </c>
      <c r="AB117" s="2">
        <f t="shared" si="45"/>
        <v>3360.6260098681173</v>
      </c>
      <c r="AC117" s="2">
        <f t="shared" si="45"/>
        <v>3394.2322699667984</v>
      </c>
      <c r="AD117" s="2">
        <f t="shared" si="45"/>
        <v>3428.1745926664667</v>
      </c>
      <c r="AE117" s="2">
        <f t="shared" si="45"/>
        <v>3462.4563385931315</v>
      </c>
      <c r="AF117" s="2">
        <f t="shared" si="45"/>
        <v>3497.0809019790627</v>
      </c>
      <c r="AG117" s="2">
        <f t="shared" si="45"/>
        <v>3532.0517109988532</v>
      </c>
      <c r="AH117" s="2">
        <f t="shared" si="45"/>
        <v>3567.3722281088417</v>
      </c>
      <c r="AI117" s="2">
        <f t="shared" si="45"/>
        <v>3603.0459503899301</v>
      </c>
      <c r="AJ117" s="2">
        <f t="shared" si="45"/>
        <v>3639.0764098938294</v>
      </c>
      <c r="AK117" s="2">
        <f t="shared" si="45"/>
        <v>3675.4671739927676</v>
      </c>
    </row>
    <row r="118" spans="1:37">
      <c r="A118" s="23" t="s">
        <v>194</v>
      </c>
      <c r="D118">
        <v>762</v>
      </c>
      <c r="E118">
        <v>593</v>
      </c>
      <c r="F118">
        <v>521</v>
      </c>
      <c r="G118">
        <f t="shared" si="41"/>
        <v>1288</v>
      </c>
      <c r="H118">
        <v>216</v>
      </c>
      <c r="I118">
        <v>238</v>
      </c>
      <c r="J118">
        <v>28</v>
      </c>
      <c r="K118" s="35">
        <f>X118-J118-I118-H118</f>
        <v>741</v>
      </c>
      <c r="V118">
        <v>2018</v>
      </c>
      <c r="W118">
        <v>3164</v>
      </c>
      <c r="X118" s="35">
        <v>1223</v>
      </c>
      <c r="Y118" s="2">
        <f t="shared" si="43"/>
        <v>0</v>
      </c>
      <c r="Z118" s="2">
        <f t="shared" si="44"/>
        <v>0</v>
      </c>
      <c r="AA118" s="2">
        <f t="shared" si="45"/>
        <v>0</v>
      </c>
      <c r="AB118" s="2">
        <f t="shared" si="45"/>
        <v>0</v>
      </c>
      <c r="AC118" s="2">
        <f t="shared" si="45"/>
        <v>0</v>
      </c>
      <c r="AD118" s="2">
        <f t="shared" si="45"/>
        <v>0</v>
      </c>
      <c r="AE118" s="2">
        <f t="shared" si="45"/>
        <v>0</v>
      </c>
      <c r="AF118" s="2">
        <f t="shared" si="45"/>
        <v>0</v>
      </c>
      <c r="AG118" s="2">
        <f t="shared" si="45"/>
        <v>0</v>
      </c>
      <c r="AH118" s="2">
        <f t="shared" si="45"/>
        <v>0</v>
      </c>
      <c r="AI118" s="2">
        <f t="shared" si="45"/>
        <v>0</v>
      </c>
      <c r="AJ118" s="2">
        <f t="shared" si="45"/>
        <v>0</v>
      </c>
      <c r="AK118" s="2">
        <f t="shared" si="45"/>
        <v>0</v>
      </c>
    </row>
    <row r="119" spans="1:37">
      <c r="A119" s="23" t="s">
        <v>195</v>
      </c>
      <c r="D119">
        <v>1032</v>
      </c>
      <c r="E119">
        <v>1135</v>
      </c>
      <c r="F119">
        <v>1127</v>
      </c>
      <c r="G119">
        <f t="shared" si="41"/>
        <v>608</v>
      </c>
      <c r="H119">
        <v>1551</v>
      </c>
      <c r="I119">
        <v>2421</v>
      </c>
      <c r="J119">
        <v>1850</v>
      </c>
      <c r="K119" s="35">
        <f t="shared" si="38"/>
        <v>1307</v>
      </c>
      <c r="L119" s="2">
        <f t="shared" si="46"/>
        <v>1317.4559999999999</v>
      </c>
      <c r="M119" s="2">
        <f t="shared" si="46"/>
        <v>1327.9956479999998</v>
      </c>
      <c r="N119" s="2">
        <f t="shared" si="46"/>
        <v>1338.6196131839999</v>
      </c>
      <c r="O119" s="2">
        <f t="shared" si="46"/>
        <v>1349.3285700894719</v>
      </c>
      <c r="P119" s="2">
        <f t="shared" si="46"/>
        <v>1360.1231986501878</v>
      </c>
      <c r="Q119" s="2">
        <f t="shared" si="46"/>
        <v>1371.0041842393894</v>
      </c>
      <c r="R119" s="2">
        <f t="shared" si="46"/>
        <v>1381.9722177133044</v>
      </c>
      <c r="S119" s="2">
        <f t="shared" si="46"/>
        <v>1393.0279954550108</v>
      </c>
      <c r="V119">
        <v>10740</v>
      </c>
      <c r="W119">
        <v>3902</v>
      </c>
      <c r="X119" s="35">
        <v>7129</v>
      </c>
      <c r="Y119" s="2">
        <f t="shared" si="43"/>
        <v>5333.399831273472</v>
      </c>
      <c r="Z119" s="2">
        <f t="shared" si="44"/>
        <v>5506.1275960578923</v>
      </c>
      <c r="AA119" s="2">
        <f t="shared" si="45"/>
        <v>5561.1888720184716</v>
      </c>
      <c r="AB119" s="2">
        <f t="shared" si="45"/>
        <v>5616.8007607386562</v>
      </c>
      <c r="AC119" s="2">
        <f t="shared" si="45"/>
        <v>5672.9687683460425</v>
      </c>
      <c r="AD119" s="2">
        <f t="shared" si="45"/>
        <v>5729.6984560295032</v>
      </c>
      <c r="AE119" s="2">
        <f t="shared" si="45"/>
        <v>5786.9954405897979</v>
      </c>
      <c r="AF119" s="2">
        <f t="shared" si="45"/>
        <v>5844.8653949956961</v>
      </c>
      <c r="AG119" s="2">
        <f t="shared" si="45"/>
        <v>5903.3140489456528</v>
      </c>
      <c r="AH119" s="2">
        <f t="shared" si="45"/>
        <v>5962.3471894351096</v>
      </c>
      <c r="AI119" s="2">
        <f t="shared" si="45"/>
        <v>6021.9706613294611</v>
      </c>
      <c r="AJ119" s="2">
        <f t="shared" si="45"/>
        <v>6082.190367942756</v>
      </c>
      <c r="AK119" s="2">
        <f t="shared" si="45"/>
        <v>6143.012271622184</v>
      </c>
    </row>
    <row r="120" spans="1:37">
      <c r="A120" s="23" t="s">
        <v>196</v>
      </c>
      <c r="D120">
        <v>6578</v>
      </c>
      <c r="E120">
        <v>6876</v>
      </c>
      <c r="F120">
        <v>6690</v>
      </c>
      <c r="G120">
        <f t="shared" si="41"/>
        <v>6651</v>
      </c>
      <c r="H120">
        <v>7556</v>
      </c>
      <c r="I120">
        <v>7214</v>
      </c>
      <c r="J120">
        <v>7385</v>
      </c>
      <c r="K120" s="35">
        <f>X120-J120-I120-H120</f>
        <v>7265</v>
      </c>
      <c r="L120" s="2">
        <f>J120*0.75</f>
        <v>5538.75</v>
      </c>
      <c r="M120" s="2">
        <f t="shared" si="46"/>
        <v>5583.06</v>
      </c>
      <c r="N120" s="2">
        <f t="shared" si="46"/>
        <v>5627.7244800000008</v>
      </c>
      <c r="O120" s="2">
        <f t="shared" si="46"/>
        <v>5672.7462758400006</v>
      </c>
      <c r="P120" s="2">
        <f t="shared" si="46"/>
        <v>5718.128246046721</v>
      </c>
      <c r="Q120" s="2">
        <f t="shared" si="46"/>
        <v>5763.8732720150947</v>
      </c>
      <c r="R120" s="2">
        <f t="shared" si="46"/>
        <v>5809.9842581912153</v>
      </c>
      <c r="S120" s="2">
        <f t="shared" si="46"/>
        <v>5856.464132256745</v>
      </c>
      <c r="V120">
        <v>23839</v>
      </c>
      <c r="W120">
        <v>26795</v>
      </c>
      <c r="X120" s="35">
        <v>29420</v>
      </c>
      <c r="Y120" s="2">
        <f t="shared" si="43"/>
        <v>22422.280755840002</v>
      </c>
      <c r="Z120" s="2">
        <f t="shared" si="44"/>
        <v>23148.449908509774</v>
      </c>
      <c r="AA120" s="2">
        <f t="shared" si="45"/>
        <v>23379.934407594872</v>
      </c>
      <c r="AB120" s="2">
        <f t="shared" si="45"/>
        <v>23613.733751670821</v>
      </c>
      <c r="AC120" s="2">
        <f t="shared" si="45"/>
        <v>23849.871089187531</v>
      </c>
      <c r="AD120" s="2">
        <f t="shared" si="45"/>
        <v>24088.369800079407</v>
      </c>
      <c r="AE120" s="2">
        <f t="shared" si="45"/>
        <v>24329.253498080201</v>
      </c>
      <c r="AF120" s="2">
        <f t="shared" si="45"/>
        <v>24572.546033061004</v>
      </c>
      <c r="AG120" s="2">
        <f t="shared" si="45"/>
        <v>24818.271493391614</v>
      </c>
      <c r="AH120" s="2">
        <f t="shared" si="45"/>
        <v>25066.454208325529</v>
      </c>
      <c r="AI120" s="2">
        <f t="shared" si="45"/>
        <v>25317.118750408783</v>
      </c>
      <c r="AJ120" s="2">
        <f t="shared" si="45"/>
        <v>25570.289937912872</v>
      </c>
      <c r="AK120" s="2">
        <f t="shared" si="45"/>
        <v>25825.992837292</v>
      </c>
    </row>
    <row r="121" spans="1:37" s="26" customFormat="1">
      <c r="A121" s="25" t="s">
        <v>165</v>
      </c>
      <c r="D121" s="26">
        <f t="shared" ref="D121:J121" si="47">SUM(D114:D120)</f>
        <v>11180</v>
      </c>
      <c r="E121" s="26">
        <f t="shared" si="47"/>
        <v>10719</v>
      </c>
      <c r="F121" s="26">
        <f t="shared" si="47"/>
        <v>13355</v>
      </c>
      <c r="G121" s="26">
        <f t="shared" si="47"/>
        <v>11872</v>
      </c>
      <c r="H121" s="26">
        <f t="shared" si="47"/>
        <v>11738</v>
      </c>
      <c r="I121" s="26">
        <f t="shared" si="47"/>
        <v>12057</v>
      </c>
      <c r="J121" s="33">
        <f t="shared" si="47"/>
        <v>14610</v>
      </c>
      <c r="K121" s="41">
        <f t="shared" ref="K121:S121" si="48">SUM(K114:K120)</f>
        <v>13639</v>
      </c>
      <c r="L121" s="33">
        <f t="shared" si="48"/>
        <v>10915.061999999998</v>
      </c>
      <c r="M121" s="33">
        <f t="shared" si="48"/>
        <v>10703.006496</v>
      </c>
      <c r="N121" s="33">
        <f t="shared" si="48"/>
        <v>10788.630547968001</v>
      </c>
      <c r="O121" s="33">
        <f t="shared" si="48"/>
        <v>10874.939592351744</v>
      </c>
      <c r="P121" s="33">
        <f t="shared" si="48"/>
        <v>10961.939109090559</v>
      </c>
      <c r="Q121" s="33">
        <f t="shared" si="48"/>
        <v>11049.634621963283</v>
      </c>
      <c r="R121" s="33">
        <f t="shared" si="48"/>
        <v>11138.03169893899</v>
      </c>
      <c r="S121" s="33">
        <f t="shared" si="48"/>
        <v>11227.135952530502</v>
      </c>
      <c r="V121" s="26">
        <f>SUM(V114:V120)</f>
        <v>47474</v>
      </c>
      <c r="W121" s="26">
        <f>SUM(W114:W120)</f>
        <v>47126</v>
      </c>
      <c r="X121" s="38">
        <f t="shared" ref="X121:AK121" si="49">SUM(X114:X120)</f>
        <v>52044</v>
      </c>
      <c r="Y121" s="33">
        <f t="shared" si="49"/>
        <v>42984.638636319753</v>
      </c>
      <c r="Z121" s="33">
        <f t="shared" si="49"/>
        <v>44376.741382523338</v>
      </c>
      <c r="AA121" s="33">
        <f t="shared" si="49"/>
        <v>44820.508796348571</v>
      </c>
      <c r="AB121" s="33">
        <f t="shared" si="49"/>
        <v>45268.713884312048</v>
      </c>
      <c r="AC121" s="33">
        <f t="shared" si="49"/>
        <v>45721.401023155173</v>
      </c>
      <c r="AD121" s="33">
        <f t="shared" si="49"/>
        <v>46178.615033386726</v>
      </c>
      <c r="AE121" s="33">
        <f t="shared" si="49"/>
        <v>46640.401183720598</v>
      </c>
      <c r="AF121" s="33">
        <f t="shared" si="49"/>
        <v>47106.805195557805</v>
      </c>
      <c r="AG121" s="33">
        <f t="shared" si="49"/>
        <v>47577.873247513387</v>
      </c>
      <c r="AH121" s="33">
        <f t="shared" si="49"/>
        <v>48053.651979988514</v>
      </c>
      <c r="AI121" s="33">
        <f t="shared" si="49"/>
        <v>48534.188499788404</v>
      </c>
      <c r="AJ121" s="33">
        <f t="shared" si="49"/>
        <v>49019.530384786282</v>
      </c>
      <c r="AK121" s="33">
        <f t="shared" si="49"/>
        <v>49509.725688634149</v>
      </c>
    </row>
    <row r="124" spans="1:37">
      <c r="A124" s="7" t="s">
        <v>219</v>
      </c>
    </row>
    <row r="125" spans="1:37">
      <c r="A125" s="4">
        <v>2021</v>
      </c>
      <c r="V125">
        <v>4236</v>
      </c>
    </row>
    <row r="126" spans="1:37">
      <c r="A126" s="4">
        <v>2022</v>
      </c>
      <c r="V126">
        <v>4389</v>
      </c>
      <c r="W126">
        <v>4691</v>
      </c>
    </row>
    <row r="127" spans="1:37">
      <c r="A127" s="4">
        <v>2023</v>
      </c>
      <c r="V127">
        <v>3574</v>
      </c>
      <c r="W127">
        <v>3574</v>
      </c>
    </row>
    <row r="128" spans="1:37">
      <c r="A128" s="4">
        <v>2024</v>
      </c>
      <c r="V128">
        <v>3681</v>
      </c>
      <c r="W128">
        <v>3681</v>
      </c>
    </row>
    <row r="129" spans="1:23">
      <c r="A129" s="4">
        <v>2025</v>
      </c>
      <c r="V129">
        <v>3792</v>
      </c>
      <c r="W129">
        <v>3791</v>
      </c>
    </row>
    <row r="130" spans="1:23">
      <c r="A130" s="4">
        <v>2026</v>
      </c>
      <c r="W130">
        <v>3905</v>
      </c>
    </row>
    <row r="131" spans="1:23">
      <c r="A131" t="s">
        <v>209</v>
      </c>
      <c r="V131">
        <v>10595</v>
      </c>
      <c r="W131">
        <v>6689</v>
      </c>
    </row>
    <row r="132" spans="1:23">
      <c r="A132" t="s">
        <v>210</v>
      </c>
      <c r="V132">
        <f>SUM(V125:V131)</f>
        <v>30267</v>
      </c>
      <c r="W132">
        <f>SUM(W125:W131)</f>
        <v>26331</v>
      </c>
    </row>
    <row r="133" spans="1:23">
      <c r="A133" t="s">
        <v>211</v>
      </c>
      <c r="V133">
        <v>7463</v>
      </c>
      <c r="W133">
        <v>5768</v>
      </c>
    </row>
    <row r="134" spans="1:23">
      <c r="A134" t="s">
        <v>212</v>
      </c>
      <c r="V134">
        <f>V132-V133</f>
        <v>22804</v>
      </c>
      <c r="W134">
        <f>W132-W133</f>
        <v>20563</v>
      </c>
    </row>
    <row r="135" spans="1:23">
      <c r="A135" t="s">
        <v>213</v>
      </c>
      <c r="V135">
        <v>2531</v>
      </c>
      <c r="W135">
        <v>3191</v>
      </c>
    </row>
    <row r="136" spans="1:23">
      <c r="A136" t="s">
        <v>214</v>
      </c>
      <c r="V136">
        <v>20273</v>
      </c>
      <c r="W136">
        <v>17372</v>
      </c>
    </row>
    <row r="138" spans="1:23">
      <c r="A138" t="s">
        <v>224</v>
      </c>
      <c r="C138">
        <f>V125</f>
        <v>4236</v>
      </c>
      <c r="D138" s="15">
        <f>3/4*$V$125+1/4*$V$126</f>
        <v>4274.25</v>
      </c>
      <c r="E138" s="15">
        <f>2/4*$V$125+2/4*$V$126</f>
        <v>4312.5</v>
      </c>
      <c r="F138" s="15">
        <f>1/4*$V$125+3/4*$V$126</f>
        <v>4350.75</v>
      </c>
      <c r="G138">
        <f>V126</f>
        <v>4389</v>
      </c>
      <c r="H138" s="15">
        <f>-H140/(H141-1)</f>
        <v>5681.333333333333</v>
      </c>
      <c r="I138" s="2">
        <f>-I140/(I141-1)</f>
        <v>5324</v>
      </c>
      <c r="J138" s="2">
        <f>-J140/(J141-1)</f>
        <v>5506.666666666667</v>
      </c>
      <c r="K138" s="42"/>
      <c r="V138">
        <f>C138</f>
        <v>4236</v>
      </c>
      <c r="W138">
        <f>G138</f>
        <v>4389</v>
      </c>
    </row>
    <row r="139" spans="1:23">
      <c r="A139" t="s">
        <v>225</v>
      </c>
      <c r="C139">
        <f>C138-C140</f>
        <v>1705</v>
      </c>
      <c r="D139">
        <f t="shared" ref="D139:E139" si="50">D138-D140</f>
        <v>1654.25</v>
      </c>
      <c r="E139">
        <f t="shared" si="50"/>
        <v>1330.5</v>
      </c>
      <c r="F139" s="15">
        <f>F138-F140</f>
        <v>1265.75</v>
      </c>
      <c r="G139">
        <f>G138-G140</f>
        <v>1198</v>
      </c>
      <c r="H139" s="15">
        <f>H138-H140</f>
        <v>1420.333333333333</v>
      </c>
      <c r="I139" s="15">
        <f t="shared" ref="I139:J139" si="51">I138-I140</f>
        <v>1331</v>
      </c>
      <c r="J139" s="15">
        <f t="shared" si="51"/>
        <v>1376.666666666667</v>
      </c>
      <c r="V139">
        <f t="shared" ref="V139:V141" si="52">C139</f>
        <v>1705</v>
      </c>
      <c r="W139">
        <f t="shared" ref="W139:W141" si="53">G139</f>
        <v>1198</v>
      </c>
    </row>
    <row r="140" spans="1:23">
      <c r="A140" t="s">
        <v>226</v>
      </c>
      <c r="C140">
        <f>V135</f>
        <v>2531</v>
      </c>
      <c r="D140">
        <f>Model!B45</f>
        <v>2620</v>
      </c>
      <c r="E140">
        <f>Model!C45</f>
        <v>2982</v>
      </c>
      <c r="F140">
        <f>Model!D45</f>
        <v>3085</v>
      </c>
      <c r="G140">
        <f>Model!E45</f>
        <v>3191</v>
      </c>
      <c r="H140">
        <f>Model!F45</f>
        <v>4261</v>
      </c>
      <c r="I140">
        <f>Model!G45</f>
        <v>3993</v>
      </c>
      <c r="J140">
        <f>Model!H45</f>
        <v>4130</v>
      </c>
      <c r="V140">
        <f t="shared" si="52"/>
        <v>2531</v>
      </c>
      <c r="W140">
        <f t="shared" si="53"/>
        <v>3191</v>
      </c>
    </row>
    <row r="141" spans="1:23">
      <c r="A141" t="s">
        <v>227</v>
      </c>
      <c r="C141" s="16">
        <f>C139/C138</f>
        <v>0.40250236071765816</v>
      </c>
      <c r="D141" s="16">
        <f t="shared" ref="D141:F141" si="54">D139/D138</f>
        <v>0.38702696379481782</v>
      </c>
      <c r="E141" s="16">
        <f t="shared" si="54"/>
        <v>0.30852173913043479</v>
      </c>
      <c r="F141" s="16">
        <f t="shared" si="54"/>
        <v>0.29092685169223698</v>
      </c>
      <c r="G141" s="16">
        <f>G139/G138</f>
        <v>0.27295511506037823</v>
      </c>
      <c r="H141" s="16">
        <v>0.25</v>
      </c>
      <c r="I141" s="16">
        <v>0.25</v>
      </c>
      <c r="J141" s="16">
        <v>0.25</v>
      </c>
      <c r="V141" s="16">
        <f t="shared" si="52"/>
        <v>0.40250236071765816</v>
      </c>
      <c r="W141" s="16">
        <f t="shared" si="53"/>
        <v>0.27295511506037823</v>
      </c>
    </row>
    <row r="142" spans="1:23">
      <c r="C142" s="16"/>
      <c r="D142" s="16"/>
      <c r="E142" s="16"/>
      <c r="F142" s="16"/>
      <c r="G142" s="16"/>
      <c r="H142" s="16"/>
      <c r="I142" s="16"/>
      <c r="J142" s="16"/>
      <c r="V142" s="16"/>
      <c r="W142" s="16"/>
    </row>
    <row r="143" spans="1:23">
      <c r="A143" t="s">
        <v>226</v>
      </c>
      <c r="C143" s="2">
        <f>Model!U45</f>
        <v>2531</v>
      </c>
      <c r="D143" s="2">
        <f>Model!B45</f>
        <v>2620</v>
      </c>
      <c r="E143" s="2">
        <f>Model!C45</f>
        <v>2982</v>
      </c>
      <c r="F143" s="2">
        <f>Model!D45</f>
        <v>3085</v>
      </c>
      <c r="G143" s="2">
        <f>Model!E45</f>
        <v>3191</v>
      </c>
      <c r="H143" s="2">
        <f>Model!F45</f>
        <v>4261</v>
      </c>
      <c r="I143" s="2">
        <f>Model!G45</f>
        <v>3993</v>
      </c>
      <c r="J143" s="2">
        <f>Model!H45</f>
        <v>4130</v>
      </c>
      <c r="V143" s="16"/>
      <c r="W143" s="16"/>
    </row>
    <row r="144" spans="1:23">
      <c r="A144" t="s">
        <v>232</v>
      </c>
      <c r="C144" s="2">
        <f>Model!U49</f>
        <v>20273</v>
      </c>
      <c r="D144" s="2">
        <f>Model!B49</f>
        <v>19578</v>
      </c>
      <c r="E144" s="2">
        <f>Model!C49</f>
        <v>19018</v>
      </c>
      <c r="F144" s="2">
        <f>Model!D49</f>
        <v>18211</v>
      </c>
      <c r="G144" s="2">
        <f>Model!E49</f>
        <v>17372</v>
      </c>
      <c r="H144" s="2">
        <f>Model!F49</f>
        <v>17336</v>
      </c>
      <c r="I144" s="2">
        <f>Model!G49</f>
        <v>17278</v>
      </c>
      <c r="J144" s="2">
        <f>Model!H49</f>
        <v>16199</v>
      </c>
    </row>
    <row r="145" spans="1:23">
      <c r="A145" t="s">
        <v>230</v>
      </c>
      <c r="C145" s="2"/>
      <c r="D145" s="2">
        <f>D143-C143</f>
        <v>89</v>
      </c>
      <c r="E145" s="2">
        <f>E143-D143</f>
        <v>362</v>
      </c>
      <c r="F145" s="2">
        <f t="shared" ref="F145:J145" si="55">F143-E143</f>
        <v>103</v>
      </c>
      <c r="G145" s="2">
        <f t="shared" si="55"/>
        <v>106</v>
      </c>
      <c r="H145" s="2">
        <f t="shared" si="55"/>
        <v>1070</v>
      </c>
      <c r="I145" s="2">
        <f t="shared" si="55"/>
        <v>-268</v>
      </c>
      <c r="J145" s="2">
        <f t="shared" si="55"/>
        <v>137</v>
      </c>
      <c r="W145">
        <f>W135-V135</f>
        <v>660</v>
      </c>
    </row>
    <row r="146" spans="1:23">
      <c r="A146" t="s">
        <v>231</v>
      </c>
      <c r="C146" s="2"/>
      <c r="D146" s="2">
        <f>D144-C144</f>
        <v>-695</v>
      </c>
      <c r="E146" s="2">
        <f t="shared" ref="E146:J146" si="56">E144-D144</f>
        <v>-560</v>
      </c>
      <c r="F146" s="2">
        <f t="shared" si="56"/>
        <v>-807</v>
      </c>
      <c r="G146" s="2">
        <f t="shared" si="56"/>
        <v>-839</v>
      </c>
      <c r="H146" s="2">
        <f t="shared" si="56"/>
        <v>-36</v>
      </c>
      <c r="I146" s="2">
        <f t="shared" si="56"/>
        <v>-58</v>
      </c>
      <c r="J146" s="2">
        <f t="shared" si="56"/>
        <v>-1079</v>
      </c>
      <c r="W146">
        <f>W136-V136</f>
        <v>-2901</v>
      </c>
    </row>
    <row r="148" spans="1:23">
      <c r="A148" t="s">
        <v>235</v>
      </c>
      <c r="D148">
        <f>Model!B77</f>
        <v>-606</v>
      </c>
      <c r="E148">
        <f>Model!C77</f>
        <v>-658</v>
      </c>
      <c r="F148">
        <f>Model!D77</f>
        <v>-704</v>
      </c>
      <c r="G148">
        <f>Model!E77</f>
        <v>-864</v>
      </c>
      <c r="H148">
        <f>Model!F77</f>
        <v>-739</v>
      </c>
      <c r="I148">
        <f>Model!G77</f>
        <v>-1252</v>
      </c>
      <c r="J148">
        <f>Model!H77</f>
        <v>-941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FC58-0B90-C344-BED8-F5B907D4CC23}">
  <dimension ref="A3:G59"/>
  <sheetViews>
    <sheetView workbookViewId="0">
      <selection activeCell="J29" sqref="J29"/>
    </sheetView>
  </sheetViews>
  <sheetFormatPr baseColWidth="10" defaultRowHeight="16"/>
  <cols>
    <col min="1" max="1" width="27.6640625" customWidth="1"/>
  </cols>
  <sheetData>
    <row r="3" spans="1:7">
      <c r="A3" t="s">
        <v>103</v>
      </c>
    </row>
    <row r="4" spans="1:7">
      <c r="A4" t="s">
        <v>118</v>
      </c>
    </row>
    <row r="5" spans="1:7">
      <c r="A5" s="3" t="s">
        <v>273</v>
      </c>
    </row>
    <row r="7" spans="1:7">
      <c r="A7" t="s">
        <v>104</v>
      </c>
    </row>
    <row r="8" spans="1:7">
      <c r="A8" t="s">
        <v>236</v>
      </c>
    </row>
    <row r="9" spans="1:7">
      <c r="A9" t="s">
        <v>237</v>
      </c>
    </row>
    <row r="11" spans="1:7">
      <c r="A11" t="s">
        <v>238</v>
      </c>
    </row>
    <row r="12" spans="1:7">
      <c r="A12" t="s">
        <v>257</v>
      </c>
    </row>
    <row r="13" spans="1:7">
      <c r="F13" t="s">
        <v>239</v>
      </c>
      <c r="G13" t="s">
        <v>253</v>
      </c>
    </row>
    <row r="14" spans="1:7">
      <c r="A14" t="s">
        <v>239</v>
      </c>
      <c r="B14" s="32">
        <v>44999</v>
      </c>
      <c r="C14" t="s">
        <v>129</v>
      </c>
      <c r="E14" t="s">
        <v>247</v>
      </c>
      <c r="F14" s="32">
        <f>B14</f>
        <v>44999</v>
      </c>
      <c r="G14" s="32">
        <f>F14+15*7</f>
        <v>45104</v>
      </c>
    </row>
    <row r="15" spans="1:7">
      <c r="A15" t="s">
        <v>240</v>
      </c>
      <c r="B15" s="32">
        <v>45580</v>
      </c>
      <c r="C15" t="s">
        <v>130</v>
      </c>
      <c r="E15" t="s">
        <v>248</v>
      </c>
      <c r="F15" s="32">
        <f>G14</f>
        <v>45104</v>
      </c>
      <c r="G15" s="32">
        <f>F15+4*7</f>
        <v>45132</v>
      </c>
    </row>
    <row r="16" spans="1:7">
      <c r="A16" t="s">
        <v>241</v>
      </c>
      <c r="B16" s="32">
        <v>46675</v>
      </c>
      <c r="C16" t="s">
        <v>258</v>
      </c>
      <c r="E16" t="s">
        <v>252</v>
      </c>
      <c r="F16" s="32">
        <f>G15</f>
        <v>45132</v>
      </c>
      <c r="G16" s="32">
        <f>F16+15*7*4</f>
        <v>45552</v>
      </c>
    </row>
    <row r="17" spans="1:7">
      <c r="A17" t="s">
        <v>255</v>
      </c>
      <c r="B17" s="32">
        <f>B15+365</f>
        <v>45945</v>
      </c>
      <c r="C17" t="s">
        <v>259</v>
      </c>
      <c r="F17" s="32"/>
      <c r="G17" s="32"/>
    </row>
    <row r="18" spans="1:7">
      <c r="A18" t="s">
        <v>256</v>
      </c>
      <c r="B18" s="32">
        <f>B17+365/2</f>
        <v>46127.5</v>
      </c>
      <c r="C18" t="s">
        <v>260</v>
      </c>
      <c r="F18" s="32"/>
      <c r="G18" s="32"/>
    </row>
    <row r="20" spans="1:7">
      <c r="A20" t="s">
        <v>243</v>
      </c>
      <c r="B20" t="s">
        <v>244</v>
      </c>
      <c r="E20" t="s">
        <v>247</v>
      </c>
      <c r="F20" t="s">
        <v>254</v>
      </c>
    </row>
    <row r="21" spans="1:7">
      <c r="A21" t="s">
        <v>242</v>
      </c>
      <c r="B21" s="2">
        <v>150</v>
      </c>
      <c r="C21" s="16"/>
      <c r="E21" t="s">
        <v>248</v>
      </c>
      <c r="F21" t="s">
        <v>250</v>
      </c>
    </row>
    <row r="22" spans="1:7">
      <c r="A22" t="s">
        <v>245</v>
      </c>
      <c r="B22" s="16" t="s">
        <v>246</v>
      </c>
      <c r="C22" s="16"/>
      <c r="E22" t="s">
        <v>249</v>
      </c>
      <c r="F22" t="s">
        <v>251</v>
      </c>
    </row>
    <row r="23" spans="1:7">
      <c r="B23" s="16"/>
      <c r="C23" s="16"/>
    </row>
    <row r="25" spans="1:7">
      <c r="A25" t="s">
        <v>0</v>
      </c>
      <c r="B25" t="s">
        <v>37</v>
      </c>
      <c r="C25" t="s">
        <v>11</v>
      </c>
      <c r="D25" t="s">
        <v>12</v>
      </c>
      <c r="E25" t="s">
        <v>13</v>
      </c>
    </row>
    <row r="26" spans="1:7">
      <c r="A26" s="3" t="s">
        <v>3</v>
      </c>
      <c r="B26" s="5">
        <v>3</v>
      </c>
      <c r="C26" t="s">
        <v>14</v>
      </c>
      <c r="D26" t="s">
        <v>18</v>
      </c>
      <c r="E26" t="s">
        <v>28</v>
      </c>
    </row>
    <row r="27" spans="1:7">
      <c r="A27" s="3" t="s">
        <v>4</v>
      </c>
      <c r="B27" s="5">
        <v>1</v>
      </c>
      <c r="C27" t="s">
        <v>15</v>
      </c>
      <c r="D27" t="s">
        <v>19</v>
      </c>
      <c r="E27" t="s">
        <v>29</v>
      </c>
    </row>
    <row r="28" spans="1:7">
      <c r="A28" s="3" t="s">
        <v>5</v>
      </c>
      <c r="B28" s="5">
        <v>1</v>
      </c>
      <c r="C28" t="s">
        <v>15</v>
      </c>
      <c r="D28" t="s">
        <v>20</v>
      </c>
      <c r="E28" t="s">
        <v>30</v>
      </c>
    </row>
    <row r="29" spans="1:7">
      <c r="A29" s="3" t="s">
        <v>6</v>
      </c>
      <c r="B29" s="5">
        <v>1</v>
      </c>
      <c r="C29" t="s">
        <v>16</v>
      </c>
      <c r="D29" t="s">
        <v>21</v>
      </c>
      <c r="E29" t="s">
        <v>31</v>
      </c>
    </row>
    <row r="30" spans="1:7">
      <c r="A30" s="3" t="s">
        <v>7</v>
      </c>
      <c r="B30" s="5">
        <v>1</v>
      </c>
      <c r="C30" t="s">
        <v>15</v>
      </c>
      <c r="D30" t="s">
        <v>22</v>
      </c>
      <c r="E30" t="s">
        <v>32</v>
      </c>
    </row>
    <row r="31" spans="1:7">
      <c r="A31" s="3" t="s">
        <v>8</v>
      </c>
      <c r="B31" s="5">
        <v>2</v>
      </c>
      <c r="C31" t="s">
        <v>16</v>
      </c>
      <c r="D31" t="s">
        <v>23</v>
      </c>
      <c r="E31" t="s">
        <v>33</v>
      </c>
    </row>
    <row r="32" spans="1:7">
      <c r="A32" s="3" t="s">
        <v>9</v>
      </c>
      <c r="B32" s="5">
        <v>1</v>
      </c>
      <c r="C32" t="s">
        <v>15</v>
      </c>
      <c r="D32" t="s">
        <v>24</v>
      </c>
      <c r="E32" s="4" t="s">
        <v>34</v>
      </c>
    </row>
    <row r="33" spans="1:5">
      <c r="A33" s="3" t="s">
        <v>10</v>
      </c>
      <c r="B33" s="6">
        <v>0.5</v>
      </c>
      <c r="C33" t="s">
        <v>16</v>
      </c>
      <c r="D33" t="s">
        <v>25</v>
      </c>
      <c r="E33" t="s">
        <v>35</v>
      </c>
    </row>
    <row r="34" spans="1:5">
      <c r="A34" s="3" t="s">
        <v>2</v>
      </c>
      <c r="B34" s="5"/>
      <c r="C34" t="s">
        <v>17</v>
      </c>
      <c r="D34" t="s">
        <v>26</v>
      </c>
      <c r="E34" t="s">
        <v>36</v>
      </c>
    </row>
    <row r="35" spans="1:5">
      <c r="A35" s="3" t="s">
        <v>1</v>
      </c>
      <c r="B35" s="5"/>
      <c r="C35" t="s">
        <v>16</v>
      </c>
      <c r="D35" t="s">
        <v>27</v>
      </c>
      <c r="E35" t="s">
        <v>36</v>
      </c>
    </row>
    <row r="36" spans="1:5">
      <c r="A36" s="3"/>
    </row>
    <row r="39" spans="1:5">
      <c r="B39" t="s">
        <v>107</v>
      </c>
    </row>
    <row r="40" spans="1:5">
      <c r="B40" t="s">
        <v>108</v>
      </c>
    </row>
    <row r="42" spans="1:5">
      <c r="B42" t="s">
        <v>106</v>
      </c>
    </row>
    <row r="43" spans="1:5">
      <c r="B43" t="s">
        <v>104</v>
      </c>
      <c r="C43" t="s">
        <v>115</v>
      </c>
    </row>
    <row r="44" spans="1:5">
      <c r="B44" t="s">
        <v>114</v>
      </c>
      <c r="C44" t="s">
        <v>115</v>
      </c>
    </row>
    <row r="46" spans="1:5">
      <c r="B46" t="s">
        <v>109</v>
      </c>
    </row>
    <row r="47" spans="1:5">
      <c r="B47" t="s">
        <v>110</v>
      </c>
      <c r="C47" s="12">
        <v>6.666666666666667E-5</v>
      </c>
    </row>
    <row r="48" spans="1:5">
      <c r="B48" t="s">
        <v>111</v>
      </c>
      <c r="C48">
        <f>300000000*C47</f>
        <v>20000</v>
      </c>
    </row>
    <row r="49" spans="2:7">
      <c r="B49" t="s">
        <v>112</v>
      </c>
      <c r="C49">
        <v>17000</v>
      </c>
    </row>
    <row r="50" spans="2:7">
      <c r="B50" t="s">
        <v>116</v>
      </c>
      <c r="C50" s="1">
        <v>0.15</v>
      </c>
    </row>
    <row r="51" spans="2:7">
      <c r="B51" t="s">
        <v>117</v>
      </c>
      <c r="C51" s="1">
        <v>0.1</v>
      </c>
    </row>
    <row r="52" spans="2:7">
      <c r="B52" s="1"/>
    </row>
    <row r="53" spans="2:7">
      <c r="B53" s="1"/>
    </row>
    <row r="54" spans="2:7">
      <c r="C54" t="s">
        <v>121</v>
      </c>
      <c r="D54" t="s">
        <v>119</v>
      </c>
      <c r="E54" t="s">
        <v>122</v>
      </c>
      <c r="F54" t="s">
        <v>125</v>
      </c>
      <c r="G54" t="s">
        <v>124</v>
      </c>
    </row>
    <row r="55" spans="2:7">
      <c r="B55" t="s">
        <v>120</v>
      </c>
      <c r="C55">
        <f>C49</f>
        <v>17000</v>
      </c>
      <c r="D55" s="1">
        <v>1</v>
      </c>
    </row>
    <row r="56" spans="2:7">
      <c r="B56" t="s">
        <v>104</v>
      </c>
      <c r="C56">
        <f>$C$55*D56</f>
        <v>2550</v>
      </c>
      <c r="D56" s="1">
        <f>C50</f>
        <v>0.15</v>
      </c>
      <c r="E56" s="14">
        <f>Drivers!J7+Drivers!I7+Drivers!H7+Drivers!G7</f>
        <v>242.44</v>
      </c>
      <c r="F56" s="17">
        <f>E56/C56</f>
        <v>9.507450980392157E-2</v>
      </c>
      <c r="G56" s="15">
        <f>E56/D56</f>
        <v>1616.2666666666667</v>
      </c>
    </row>
    <row r="57" spans="2:7">
      <c r="B57" t="s">
        <v>114</v>
      </c>
      <c r="C57">
        <f>$C$55*D57</f>
        <v>1700</v>
      </c>
      <c r="D57" s="1">
        <f>C51</f>
        <v>0.1</v>
      </c>
      <c r="E57" s="14">
        <f>Drivers!J8+Drivers!I8+Drivers!H8+Drivers!G8</f>
        <v>246.54899999999998</v>
      </c>
      <c r="F57" s="17">
        <f>E57/C57</f>
        <v>0.14502882352941177</v>
      </c>
      <c r="G57" s="15">
        <f>E57/D57</f>
        <v>2465.4899999999998</v>
      </c>
    </row>
    <row r="58" spans="2:7">
      <c r="B58" t="s">
        <v>123</v>
      </c>
      <c r="C58">
        <f>C57+C56</f>
        <v>4250</v>
      </c>
      <c r="D58" s="9">
        <f>D57+D56</f>
        <v>0.25</v>
      </c>
      <c r="E58" s="15">
        <f>E57+E56</f>
        <v>488.98899999999998</v>
      </c>
      <c r="F58" s="17">
        <f>E58/C58</f>
        <v>0.11505623529411764</v>
      </c>
      <c r="G58" s="15">
        <f>E58/D58</f>
        <v>1955.9559999999999</v>
      </c>
    </row>
    <row r="59" spans="2:7">
      <c r="B59" s="13"/>
    </row>
  </sheetData>
  <hyperlinks>
    <hyperlink ref="A26" r:id="rId1" xr:uid="{A2CDE791-46CB-3447-BA33-D727FFE2D31A}"/>
    <hyperlink ref="A27" r:id="rId2" xr:uid="{34CE50FB-5227-5743-A20F-EA819759E216}"/>
    <hyperlink ref="A28" r:id="rId3" xr:uid="{F89BC1E2-A2CC-044A-942D-28262F6EB129}"/>
    <hyperlink ref="A29" r:id="rId4" xr:uid="{EB0BCD78-2108-B149-87CA-9D076EBD5093}"/>
    <hyperlink ref="A30" r:id="rId5" xr:uid="{5CF9FF48-A90B-3D46-A07B-612F8FCA9206}"/>
    <hyperlink ref="A31" r:id="rId6" xr:uid="{CE04B000-B2A8-1240-BA09-2A37A7770635}"/>
    <hyperlink ref="A32" r:id="rId7" xr:uid="{C073CA83-72CA-AE47-9E0F-A29E6C30551A}"/>
    <hyperlink ref="A33" r:id="rId8" xr:uid="{59FB8C7F-5E45-2F40-940D-68292EC1C26C}"/>
    <hyperlink ref="A5" r:id="rId9" xr:uid="{690C4447-B596-B245-8F52-4814659AC2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Drivers</vt:lpstr>
      <vt:lpstr>Model</vt:lpstr>
      <vt:lpstr>Valuation</vt:lpstr>
      <vt:lpstr>Schedule</vt:lpstr>
      <vt:lpstr>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2023-03-15T13:49:31Z</dcterms:created>
  <dcterms:modified xsi:type="dcterms:W3CDTF">2023-04-06T20:06:45Z</dcterms:modified>
</cp:coreProperties>
</file>