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WhiteSky/Models/"/>
    </mc:Choice>
  </mc:AlternateContent>
  <xr:revisionPtr revIDLastSave="0" documentId="13_ncr:1_{9E19BABB-31CD-364E-A417-FCC27D4343AE}" xr6:coauthVersionLast="47" xr6:coauthVersionMax="47" xr10:uidLastSave="{00000000-0000-0000-0000-000000000000}"/>
  <bookViews>
    <workbookView xWindow="30240" yWindow="500" windowWidth="29920" windowHeight="21100" activeTab="1" xr2:uid="{F05CC0B6-6D9B-4F3A-B3BF-9EDB6CDA003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2" l="1"/>
  <c r="Q4" i="2"/>
  <c r="R4" i="2" s="1"/>
  <c r="S4" i="2" s="1"/>
  <c r="T4" i="2" s="1"/>
  <c r="U4" i="2" s="1"/>
  <c r="V4" i="2" s="1"/>
  <c r="W4" i="2" s="1"/>
  <c r="X4" i="2" s="1"/>
  <c r="Y4" i="2" s="1"/>
  <c r="Z4" i="2" s="1"/>
  <c r="AA4" i="2" s="1"/>
  <c r="O4" i="2"/>
  <c r="N4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S14" i="2"/>
  <c r="S17" i="2" s="1"/>
  <c r="T14" i="2"/>
  <c r="U14" i="2" s="1"/>
  <c r="S15" i="2"/>
  <c r="T15" i="2" s="1"/>
  <c r="U15" i="2" s="1"/>
  <c r="V15" i="2" s="1"/>
  <c r="W15" i="2" s="1"/>
  <c r="X15" i="2" s="1"/>
  <c r="Y15" i="2" s="1"/>
  <c r="Z15" i="2" s="1"/>
  <c r="AA15" i="2" s="1"/>
  <c r="S16" i="2"/>
  <c r="T16" i="2"/>
  <c r="U16" i="2"/>
  <c r="V16" i="2"/>
  <c r="W16" i="2"/>
  <c r="X16" i="2"/>
  <c r="Y16" i="2"/>
  <c r="Z16" i="2"/>
  <c r="AA16" i="2" s="1"/>
  <c r="S25" i="2"/>
  <c r="T25" i="2" s="1"/>
  <c r="U25" i="2" s="1"/>
  <c r="V25" i="2" s="1"/>
  <c r="W25" i="2" s="1"/>
  <c r="X25" i="2" s="1"/>
  <c r="Y25" i="2" s="1"/>
  <c r="Z25" i="2" s="1"/>
  <c r="AA25" i="2" s="1"/>
  <c r="S35" i="2"/>
  <c r="T35" i="2"/>
  <c r="U35" i="2"/>
  <c r="V35" i="2" s="1"/>
  <c r="W35" i="2" s="1"/>
  <c r="X35" i="2" s="1"/>
  <c r="Y35" i="2" s="1"/>
  <c r="Z35" i="2" s="1"/>
  <c r="AA35" i="2" s="1"/>
  <c r="S40" i="2"/>
  <c r="T40" i="2"/>
  <c r="U40" i="2" s="1"/>
  <c r="V40" i="2" s="1"/>
  <c r="W40" i="2" s="1"/>
  <c r="X40" i="2" s="1"/>
  <c r="Y40" i="2" s="1"/>
  <c r="Z40" i="2" s="1"/>
  <c r="AA40" i="2" s="1"/>
  <c r="S41" i="2"/>
  <c r="T41" i="2" s="1"/>
  <c r="U41" i="2" s="1"/>
  <c r="V41" i="2" s="1"/>
  <c r="W41" i="2" s="1"/>
  <c r="X41" i="2" s="1"/>
  <c r="Y41" i="2" s="1"/>
  <c r="Z41" i="2" s="1"/>
  <c r="AA41" i="2" s="1"/>
  <c r="N35" i="2"/>
  <c r="O35" i="2" s="1"/>
  <c r="P35" i="2" s="1"/>
  <c r="Q35" i="2" s="1"/>
  <c r="R35" i="2" s="1"/>
  <c r="M35" i="2"/>
  <c r="N40" i="2"/>
  <c r="N41" i="2"/>
  <c r="O40" i="2"/>
  <c r="P40" i="2" s="1"/>
  <c r="Q40" i="2" s="1"/>
  <c r="R40" i="2" s="1"/>
  <c r="O41" i="2"/>
  <c r="P41" i="2" s="1"/>
  <c r="Q41" i="2" s="1"/>
  <c r="R41" i="2" s="1"/>
  <c r="N29" i="2"/>
  <c r="O29" i="2"/>
  <c r="O25" i="2"/>
  <c r="P25" i="2" s="1"/>
  <c r="Q25" i="2" s="1"/>
  <c r="R25" i="2" s="1"/>
  <c r="N25" i="2"/>
  <c r="M15" i="2"/>
  <c r="N15" i="2" s="1"/>
  <c r="O15" i="2" s="1"/>
  <c r="P15" i="2" s="1"/>
  <c r="Q15" i="2" s="1"/>
  <c r="R15" i="2" s="1"/>
  <c r="M16" i="2"/>
  <c r="N16" i="2" s="1"/>
  <c r="O16" i="2" s="1"/>
  <c r="P16" i="2" s="1"/>
  <c r="M14" i="2"/>
  <c r="N14" i="2" s="1"/>
  <c r="O14" i="2" s="1"/>
  <c r="M38" i="2"/>
  <c r="M37" i="2"/>
  <c r="M40" i="2"/>
  <c r="M41" i="2"/>
  <c r="F4" i="2"/>
  <c r="G4" i="2"/>
  <c r="H4" i="2"/>
  <c r="I4" i="2"/>
  <c r="J4" i="2"/>
  <c r="M4" i="2" s="1"/>
  <c r="K4" i="2"/>
  <c r="L4" i="2"/>
  <c r="P3" i="2"/>
  <c r="P29" i="2" s="1"/>
  <c r="K5" i="2"/>
  <c r="L5" i="2"/>
  <c r="J5" i="2"/>
  <c r="V14" i="2" l="1"/>
  <c r="U17" i="2"/>
  <c r="T17" i="2"/>
  <c r="M17" i="2"/>
  <c r="Q3" i="2"/>
  <c r="R3" i="2" s="1"/>
  <c r="N7" i="2"/>
  <c r="O17" i="2"/>
  <c r="P14" i="2"/>
  <c r="Q14" i="2" s="1"/>
  <c r="R14" i="2" s="1"/>
  <c r="P17" i="2"/>
  <c r="N17" i="2"/>
  <c r="O20" i="2"/>
  <c r="Q16" i="2"/>
  <c r="Q7" i="2"/>
  <c r="O7" i="2"/>
  <c r="S3" i="2" l="1"/>
  <c r="R29" i="2"/>
  <c r="R7" i="2"/>
  <c r="R28" i="2" s="1"/>
  <c r="W14" i="2"/>
  <c r="V17" i="2"/>
  <c r="O9" i="2"/>
  <c r="O11" i="2" s="1"/>
  <c r="O28" i="2"/>
  <c r="Q9" i="2"/>
  <c r="Q11" i="2" s="1"/>
  <c r="N9" i="2"/>
  <c r="N11" i="2" s="1"/>
  <c r="N28" i="2"/>
  <c r="P20" i="2"/>
  <c r="P7" i="2"/>
  <c r="R16" i="2"/>
  <c r="R17" i="2" s="1"/>
  <c r="Q17" i="2"/>
  <c r="R9" i="2" l="1"/>
  <c r="R11" i="2" s="1"/>
  <c r="R30" i="2" s="1"/>
  <c r="T3" i="2"/>
  <c r="S29" i="2"/>
  <c r="S7" i="2"/>
  <c r="X14" i="2"/>
  <c r="W17" i="2"/>
  <c r="N12" i="2"/>
  <c r="N19" i="2"/>
  <c r="N21" i="2" s="1"/>
  <c r="N30" i="2"/>
  <c r="Q12" i="2"/>
  <c r="Q19" i="2"/>
  <c r="Q30" i="2"/>
  <c r="P9" i="2"/>
  <c r="P11" i="2" s="1"/>
  <c r="P28" i="2"/>
  <c r="O12" i="2"/>
  <c r="O19" i="2"/>
  <c r="O21" i="2" s="1"/>
  <c r="O22" i="2" s="1"/>
  <c r="O23" i="2" s="1"/>
  <c r="O30" i="2"/>
  <c r="Q20" i="2"/>
  <c r="G20" i="2"/>
  <c r="K20" i="2"/>
  <c r="E20" i="2"/>
  <c r="E17" i="2"/>
  <c r="E11" i="2"/>
  <c r="E12" i="2" s="1"/>
  <c r="I28" i="2"/>
  <c r="I20" i="2"/>
  <c r="I17" i="2"/>
  <c r="I11" i="2"/>
  <c r="J29" i="2"/>
  <c r="K29" i="2"/>
  <c r="L29" i="2"/>
  <c r="J28" i="2"/>
  <c r="K28" i="2"/>
  <c r="L28" i="2"/>
  <c r="H20" i="2"/>
  <c r="H17" i="2"/>
  <c r="H11" i="2"/>
  <c r="L20" i="2"/>
  <c r="L17" i="2"/>
  <c r="L11" i="2"/>
  <c r="AC20" i="2"/>
  <c r="AD20" i="2"/>
  <c r="AD17" i="2"/>
  <c r="AD11" i="2"/>
  <c r="AC17" i="2"/>
  <c r="AC11" i="2"/>
  <c r="F20" i="2"/>
  <c r="F17" i="2"/>
  <c r="G17" i="2"/>
  <c r="K17" i="2"/>
  <c r="J17" i="2"/>
  <c r="J20" i="2"/>
  <c r="F11" i="2"/>
  <c r="J11" i="2"/>
  <c r="G11" i="2"/>
  <c r="K11" i="2"/>
  <c r="L7" i="1"/>
  <c r="L6" i="1"/>
  <c r="L5" i="1"/>
  <c r="L4" i="1"/>
  <c r="O24" i="2" l="1"/>
  <c r="O44" i="2"/>
  <c r="R19" i="2"/>
  <c r="R12" i="2"/>
  <c r="S28" i="2"/>
  <c r="S9" i="2"/>
  <c r="S11" i="2" s="1"/>
  <c r="T7" i="2"/>
  <c r="U3" i="2"/>
  <c r="T29" i="2"/>
  <c r="Y14" i="2"/>
  <c r="X17" i="2"/>
  <c r="N22" i="2"/>
  <c r="N23" i="2" s="1"/>
  <c r="N44" i="2" s="1"/>
  <c r="P12" i="2"/>
  <c r="P19" i="2"/>
  <c r="P21" i="2" s="1"/>
  <c r="P22" i="2" s="1"/>
  <c r="P23" i="2" s="1"/>
  <c r="P30" i="2"/>
  <c r="K19" i="2"/>
  <c r="R20" i="2"/>
  <c r="Q21" i="2"/>
  <c r="K21" i="2"/>
  <c r="K23" i="2" s="1"/>
  <c r="K24" i="2" s="1"/>
  <c r="F19" i="2"/>
  <c r="I30" i="2"/>
  <c r="I12" i="2"/>
  <c r="K30" i="2"/>
  <c r="K12" i="2"/>
  <c r="L30" i="2"/>
  <c r="L12" i="2"/>
  <c r="G30" i="2"/>
  <c r="G12" i="2"/>
  <c r="J30" i="2"/>
  <c r="J12" i="2"/>
  <c r="F30" i="2"/>
  <c r="F12" i="2"/>
  <c r="H30" i="2"/>
  <c r="H12" i="2"/>
  <c r="G21" i="2"/>
  <c r="G23" i="2" s="1"/>
  <c r="G24" i="2" s="1"/>
  <c r="AD19" i="2"/>
  <c r="AD21" i="2" s="1"/>
  <c r="AD23" i="2" s="1"/>
  <c r="AD24" i="2" s="1"/>
  <c r="J19" i="2"/>
  <c r="J21" i="2" s="1"/>
  <c r="G19" i="2"/>
  <c r="E21" i="2"/>
  <c r="E23" i="2" s="1"/>
  <c r="E24" i="2" s="1"/>
  <c r="E19" i="2"/>
  <c r="I19" i="2"/>
  <c r="I21" i="2" s="1"/>
  <c r="I23" i="2" s="1"/>
  <c r="I24" i="2" s="1"/>
  <c r="H21" i="2"/>
  <c r="H23" i="2" s="1"/>
  <c r="H24" i="2" s="1"/>
  <c r="H19" i="2"/>
  <c r="L19" i="2"/>
  <c r="L21" i="2" s="1"/>
  <c r="L23" i="2" s="1"/>
  <c r="L24" i="2" s="1"/>
  <c r="AC19" i="2"/>
  <c r="AC21" i="2" s="1"/>
  <c r="AC23" i="2" s="1"/>
  <c r="AC24" i="2" s="1"/>
  <c r="F21" i="2"/>
  <c r="F23" i="2" s="1"/>
  <c r="F24" i="2" s="1"/>
  <c r="J23" i="2"/>
  <c r="J24" i="2" s="1"/>
  <c r="P24" i="2" l="1"/>
  <c r="P44" i="2"/>
  <c r="R21" i="2"/>
  <c r="R22" i="2" s="1"/>
  <c r="R23" i="2" s="1"/>
  <c r="S20" i="2"/>
  <c r="T20" i="2" s="1"/>
  <c r="U20" i="2" s="1"/>
  <c r="V20" i="2" s="1"/>
  <c r="W20" i="2" s="1"/>
  <c r="X20" i="2" s="1"/>
  <c r="Y20" i="2" s="1"/>
  <c r="Z20" i="2" s="1"/>
  <c r="AA20" i="2" s="1"/>
  <c r="U7" i="2"/>
  <c r="V3" i="2"/>
  <c r="U29" i="2"/>
  <c r="T28" i="2"/>
  <c r="T9" i="2"/>
  <c r="T11" i="2"/>
  <c r="S19" i="2"/>
  <c r="S12" i="2"/>
  <c r="S30" i="2"/>
  <c r="Y17" i="2"/>
  <c r="Z14" i="2"/>
  <c r="N24" i="2"/>
  <c r="Q22" i="2"/>
  <c r="Q23" i="2" s="1"/>
  <c r="R24" i="2" l="1"/>
  <c r="R44" i="2"/>
  <c r="S21" i="2"/>
  <c r="S22" i="2" s="1"/>
  <c r="S23" i="2" s="1"/>
  <c r="Q24" i="2"/>
  <c r="Q44" i="2"/>
  <c r="T30" i="2"/>
  <c r="T12" i="2"/>
  <c r="T19" i="2"/>
  <c r="T21" i="2" s="1"/>
  <c r="W3" i="2"/>
  <c r="V29" i="2"/>
  <c r="V7" i="2"/>
  <c r="U28" i="2"/>
  <c r="U9" i="2"/>
  <c r="U11" i="2" s="1"/>
  <c r="Z17" i="2"/>
  <c r="AA14" i="2"/>
  <c r="AA17" i="2" s="1"/>
  <c r="S24" i="2" l="1"/>
  <c r="S44" i="2"/>
  <c r="U30" i="2"/>
  <c r="U12" i="2"/>
  <c r="U19" i="2"/>
  <c r="U21" i="2" s="1"/>
  <c r="U22" i="2" s="1"/>
  <c r="U23" i="2" s="1"/>
  <c r="W29" i="2"/>
  <c r="X3" i="2"/>
  <c r="W7" i="2"/>
  <c r="V28" i="2"/>
  <c r="V9" i="2"/>
  <c r="V11" i="2" s="1"/>
  <c r="T22" i="2"/>
  <c r="T23" i="2"/>
  <c r="Q29" i="2"/>
  <c r="M29" i="2"/>
  <c r="M5" i="2"/>
  <c r="M7" i="2"/>
  <c r="M9" i="2" s="1"/>
  <c r="U24" i="2" l="1"/>
  <c r="U44" i="2"/>
  <c r="T24" i="2"/>
  <c r="T44" i="2"/>
  <c r="V19" i="2"/>
  <c r="V21" i="2" s="1"/>
  <c r="V12" i="2"/>
  <c r="V30" i="2"/>
  <c r="W9" i="2"/>
  <c r="W11" i="2" s="1"/>
  <c r="W28" i="2"/>
  <c r="Y3" i="2"/>
  <c r="X29" i="2"/>
  <c r="X7" i="2"/>
  <c r="Q28" i="2"/>
  <c r="M28" i="2"/>
  <c r="M11" i="2"/>
  <c r="W30" i="2" l="1"/>
  <c r="W19" i="2"/>
  <c r="W21" i="2" s="1"/>
  <c r="W22" i="2" s="1"/>
  <c r="W23" i="2" s="1"/>
  <c r="W12" i="2"/>
  <c r="X9" i="2"/>
  <c r="X11" i="2" s="1"/>
  <c r="X28" i="2"/>
  <c r="V22" i="2"/>
  <c r="V23" i="2"/>
  <c r="Y29" i="2"/>
  <c r="Z3" i="2"/>
  <c r="Y7" i="2"/>
  <c r="M30" i="2"/>
  <c r="M19" i="2"/>
  <c r="M21" i="2" s="1"/>
  <c r="M23" i="2" s="1"/>
  <c r="M12" i="2"/>
  <c r="V24" i="2" l="1"/>
  <c r="V44" i="2"/>
  <c r="W24" i="2"/>
  <c r="W44" i="2"/>
  <c r="X30" i="2"/>
  <c r="X12" i="2"/>
  <c r="X19" i="2"/>
  <c r="X21" i="2" s="1"/>
  <c r="Y28" i="2"/>
  <c r="Y9" i="2"/>
  <c r="Y11" i="2" s="1"/>
  <c r="AA3" i="2"/>
  <c r="Z29" i="2"/>
  <c r="Z7" i="2"/>
  <c r="M24" i="2"/>
  <c r="M34" i="2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AA29" i="2" l="1"/>
  <c r="AA7" i="2"/>
  <c r="Y30" i="2"/>
  <c r="Y12" i="2"/>
  <c r="Y19" i="2"/>
  <c r="Y21" i="2" s="1"/>
  <c r="X22" i="2"/>
  <c r="X23" i="2" s="1"/>
  <c r="X44" i="2" s="1"/>
  <c r="Z28" i="2"/>
  <c r="Z9" i="2"/>
  <c r="Z11" i="2" s="1"/>
  <c r="X24" i="2" l="1"/>
  <c r="X34" i="2"/>
  <c r="Y22" i="2"/>
  <c r="Y23" i="2" s="1"/>
  <c r="Z12" i="2"/>
  <c r="Z30" i="2"/>
  <c r="Z19" i="2"/>
  <c r="Z21" i="2" s="1"/>
  <c r="Z22" i="2" s="1"/>
  <c r="Z23" i="2" s="1"/>
  <c r="AA28" i="2"/>
  <c r="AA9" i="2"/>
  <c r="AA11" i="2" s="1"/>
  <c r="Z24" i="2" l="1"/>
  <c r="Z44" i="2"/>
  <c r="Y24" i="2"/>
  <c r="Y44" i="2"/>
  <c r="AA30" i="2"/>
  <c r="AA12" i="2"/>
  <c r="AA19" i="2"/>
  <c r="AA21" i="2" s="1"/>
  <c r="AA22" i="2" s="1"/>
  <c r="AA23" i="2" s="1"/>
  <c r="Y34" i="2"/>
  <c r="Z34" i="2" s="1"/>
  <c r="AA24" i="2" l="1"/>
  <c r="AA44" i="2"/>
  <c r="AA34" i="2"/>
</calcChain>
</file>

<file path=xl/sharedStrings.xml><?xml version="1.0" encoding="utf-8"?>
<sst xmlns="http://schemas.openxmlformats.org/spreadsheetml/2006/main" count="64" uniqueCount="60">
  <si>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</si>
  <si>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</si>
  <si>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</si>
  <si>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</si>
  <si>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</si>
  <si>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</si>
  <si>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</si>
  <si>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</si>
  <si>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</si>
  <si>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</si>
  <si>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</si>
  <si>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</si>
  <si>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</si>
  <si>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</si>
  <si>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</si>
  <si>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</si>
  <si>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</si>
  <si>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</si>
  <si>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</si>
  <si>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</si>
  <si>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COGS</t>
  </si>
  <si>
    <t>Gross Margin</t>
  </si>
  <si>
    <t>R&amp;D</t>
  </si>
  <si>
    <t>S&amp;M</t>
  </si>
  <si>
    <t>G&amp;A</t>
  </si>
  <si>
    <t>OpEx</t>
  </si>
  <si>
    <t>DAU</t>
  </si>
  <si>
    <t>EPS</t>
  </si>
  <si>
    <t>Net Income</t>
  </si>
  <si>
    <t>Revenue Growth</t>
  </si>
  <si>
    <t>DAU Growth</t>
  </si>
  <si>
    <t>1Q23</t>
  </si>
  <si>
    <t>2Q23</t>
  </si>
  <si>
    <t>3Q23</t>
  </si>
  <si>
    <t>4Q23</t>
  </si>
  <si>
    <t>Revenue per User</t>
  </si>
  <si>
    <t>Gross Margin %</t>
  </si>
  <si>
    <t>EBIT</t>
  </si>
  <si>
    <t>Interest Expense</t>
  </si>
  <si>
    <t>EBT</t>
  </si>
  <si>
    <t>Tax Expense</t>
  </si>
  <si>
    <t>Basic Shares</t>
  </si>
  <si>
    <t>Diluted Shares</t>
  </si>
  <si>
    <t xml:space="preserve">   Growth Y/Y</t>
  </si>
  <si>
    <t>Balance Sheet</t>
  </si>
  <si>
    <t>Convertible Notes</t>
  </si>
  <si>
    <t>Senior Notes</t>
  </si>
  <si>
    <t>Cash &amp; Equivalents</t>
  </si>
  <si>
    <t>MS</t>
  </si>
  <si>
    <t>DA</t>
  </si>
  <si>
    <t>SBC</t>
  </si>
  <si>
    <t>1Q24</t>
  </si>
  <si>
    <t>2Q24</t>
  </si>
  <si>
    <t>3Q24</t>
  </si>
  <si>
    <t>4Q24</t>
  </si>
  <si>
    <t>1Q25</t>
  </si>
  <si>
    <t>2Q25</t>
  </si>
  <si>
    <t>3Q25</t>
  </si>
  <si>
    <t>4Q25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</si>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</sst>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2" fillId="0" borderId="0" xfId="1"/>
    <xf numFmtId="4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9" fontId="0" fillId="0" borderId="0" xfId="2" applyFont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164" fontId="0" fillId="2" borderId="0" xfId="0" applyNumberFormat="1" applyFill="1" applyAlignment="1">
      <alignment horizontal="right"/>
    </xf>
    <xf numFmtId="2" fontId="0" fillId="2" borderId="0" xfId="0" applyNumberFormat="1" applyFill="1" applyAlignment="1">
      <alignment horizontal="right"/>
    </xf>
    <xf numFmtId="9" fontId="0" fillId="2" borderId="0" xfId="0" applyNumberFormat="1" applyFill="1" applyAlignment="1">
      <alignment horizontal="right"/>
    </xf>
    <xf numFmtId="3" fontId="1" fillId="2" borderId="0" xfId="0" applyNumberFormat="1" applyFont="1" applyFill="1" applyAlignment="1">
      <alignment horizontal="righ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9" fontId="0" fillId="2" borderId="0" xfId="2" applyFont="1" applyFill="1" applyAlignment="1">
      <alignment horizontal="right"/>
    </xf>
    <xf numFmtId="2" fontId="0" fillId="2" borderId="0" xfId="0" applyNumberForma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A9ADF-72E2-44A0-BC1B-6F9D2319B80E}">
  <dimension ref="K2:M7"/>
  <sheetViews>
    <sheetView workbookViewId="0">
      <selection activeCell="F27" sqref="F27"/>
    </sheetView>
  </sheetViews>
  <sheetFormatPr baseColWidth="10" defaultColWidth="8.83203125" defaultRowHeight="13" x14ac:dyDescent="0.15"/>
  <sheetData>
    <row r="2" spans="11:13" x14ac:dyDescent="0.15">
      <c r="K2" t="s">
        <v>0</v>
      </c>
      <c r="L2">
        <v>38.380000000000003</v>
      </c>
    </row>
    <row r="3" spans="11:13" x14ac:dyDescent="0.15">
      <c r="K3" t="s">
        <v>1</v>
      </c>
      <c r="L3" s="2">
        <v>764.18068800000003</v>
      </c>
      <c r="M3" s="1" t="s">
        <v>6</v>
      </c>
    </row>
    <row r="4" spans="11:13" x14ac:dyDescent="0.15">
      <c r="K4" t="s">
        <v>2</v>
      </c>
      <c r="L4" s="2">
        <f>+L2*L3</f>
        <v>29329.254805440003</v>
      </c>
    </row>
    <row r="5" spans="11:13" x14ac:dyDescent="0.15">
      <c r="K5" t="s">
        <v>3</v>
      </c>
      <c r="L5" s="2">
        <f>2283.308+3978.645</f>
        <v>6261.9529999999995</v>
      </c>
      <c r="M5" s="1" t="s">
        <v>6</v>
      </c>
    </row>
    <row r="6" spans="11:13" x14ac:dyDescent="0.15">
      <c r="K6" t="s">
        <v>4</v>
      </c>
      <c r="L6" s="2">
        <f>3561.067+1683.114</f>
        <v>5244.1810000000005</v>
      </c>
      <c r="M6" s="1" t="s">
        <v>6</v>
      </c>
    </row>
    <row r="7" spans="11:13" x14ac:dyDescent="0.15">
      <c r="K7" t="s">
        <v>5</v>
      </c>
      <c r="L7" s="2">
        <f>+L4-L5+L6</f>
        <v>28311.482805440002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ED82E-DCB3-4FB8-9C57-6F92638D7954}">
  <dimension ref="A1:AH44"/>
  <sheetViews>
    <sheetView tabSelected="1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K27" sqref="K27"/>
    </sheetView>
  </sheetViews>
  <sheetFormatPr baseColWidth="10" defaultColWidth="8.83203125" defaultRowHeight="13" x14ac:dyDescent="0.15"/>
  <cols>
    <col min="1" max="1" width="5" bestFit="1" customWidth="1"/>
    <col min="2" max="2" width="14.83203125" customWidth="1"/>
    <col min="3" max="13" width="9.1640625" style="1"/>
    <col min="14" max="14" width="9.83203125" style="13" customWidth="1"/>
    <col min="15" max="27" width="8.83203125" style="14"/>
  </cols>
  <sheetData>
    <row r="1" spans="1:34" x14ac:dyDescent="0.15">
      <c r="A1" s="6" t="s">
        <v>7</v>
      </c>
    </row>
    <row r="2" spans="1:34" x14ac:dyDescent="0.15"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6</v>
      </c>
      <c r="L2" s="1" t="s">
        <v>17</v>
      </c>
      <c r="M2" s="1" t="s">
        <v>18</v>
      </c>
      <c r="N2" s="13" t="s">
        <v>19</v>
      </c>
      <c r="O2" s="13" t="s">
        <v>31</v>
      </c>
      <c r="P2" s="13" t="s">
        <v>32</v>
      </c>
      <c r="Q2" s="13" t="s">
        <v>33</v>
      </c>
      <c r="R2" s="13" t="s">
        <v>34</v>
      </c>
      <c r="S2" s="13" t="s">
        <v>51</v>
      </c>
      <c r="T2" s="13" t="s">
        <v>52</v>
      </c>
      <c r="U2" s="13" t="s">
        <v>53</v>
      </c>
      <c r="V2" s="13" t="s">
        <v>54</v>
      </c>
      <c r="W2" s="13" t="s">
        <v>55</v>
      </c>
      <c r="X2" s="13" t="s">
        <v>56</v>
      </c>
      <c r="Y2" s="13" t="s">
        <v>57</v>
      </c>
      <c r="Z2" s="13" t="s">
        <v>58</v>
      </c>
      <c r="AA2" s="13"/>
      <c r="AC2">
        <v>2020</v>
      </c>
      <c r="AD2">
        <v>2021</v>
      </c>
      <c r="AE2">
        <v>2022</v>
      </c>
      <c r="AF2">
        <v>2023</v>
      </c>
      <c r="AG2">
        <v>2024</v>
      </c>
      <c r="AH2">
        <v>2025</v>
      </c>
    </row>
    <row r="3" spans="1:34" s="8" customFormat="1" x14ac:dyDescent="0.15">
      <c r="B3" s="8" t="s">
        <v>26</v>
      </c>
      <c r="C3" s="9"/>
      <c r="D3" s="9"/>
      <c r="E3" s="9"/>
      <c r="F3" s="9">
        <v>190.9</v>
      </c>
      <c r="G3" s="9">
        <v>197.6</v>
      </c>
      <c r="H3" s="9">
        <v>204</v>
      </c>
      <c r="I3" s="9">
        <v>209.3</v>
      </c>
      <c r="J3" s="9">
        <v>214.7</v>
      </c>
      <c r="K3" s="9">
        <v>229</v>
      </c>
      <c r="L3" s="9">
        <v>237.8</v>
      </c>
      <c r="M3" s="9">
        <v>240</v>
      </c>
      <c r="N3" s="15">
        <v>242</v>
      </c>
      <c r="O3" s="15">
        <v>248</v>
      </c>
      <c r="P3" s="15">
        <f>O3*1.0075</f>
        <v>249.86</v>
      </c>
      <c r="Q3" s="15">
        <f t="shared" ref="Q3:R3" si="0">P3*1.0075</f>
        <v>251.73395000000002</v>
      </c>
      <c r="R3" s="15">
        <f t="shared" si="0"/>
        <v>253.62195462500003</v>
      </c>
      <c r="S3" s="15">
        <f t="shared" ref="S3:AA3" si="1">R3*1.0075</f>
        <v>255.52411928468754</v>
      </c>
      <c r="T3" s="15">
        <f t="shared" si="1"/>
        <v>257.44055017932271</v>
      </c>
      <c r="U3" s="15">
        <f t="shared" si="1"/>
        <v>259.37135430566764</v>
      </c>
      <c r="V3" s="15">
        <f t="shared" si="1"/>
        <v>261.31663946296015</v>
      </c>
      <c r="W3" s="15">
        <f t="shared" si="1"/>
        <v>263.27651425893237</v>
      </c>
      <c r="X3" s="15">
        <f t="shared" si="1"/>
        <v>265.25108811587438</v>
      </c>
      <c r="Y3" s="15">
        <f t="shared" si="1"/>
        <v>267.24047127674345</v>
      </c>
      <c r="Z3" s="15">
        <f t="shared" si="1"/>
        <v>269.24477481131902</v>
      </c>
      <c r="AA3" s="15">
        <f t="shared" si="1"/>
        <v>271.2641106224039</v>
      </c>
    </row>
    <row r="4" spans="1:34" x14ac:dyDescent="0.15">
      <c r="B4" t="s">
        <v>35</v>
      </c>
      <c r="F4" s="11">
        <f t="shared" ref="F4:K4" si="2">F7/F3</f>
        <v>6.7524410686223151</v>
      </c>
      <c r="G4" s="11">
        <f t="shared" si="2"/>
        <v>5.2430060728744943</v>
      </c>
      <c r="H4" s="11">
        <f t="shared" si="2"/>
        <v>5.835426470588235</v>
      </c>
      <c r="I4" s="11">
        <f t="shared" si="2"/>
        <v>6.1338604873387483</v>
      </c>
      <c r="J4" s="11">
        <f t="shared" si="2"/>
        <v>7.299580810433163</v>
      </c>
      <c r="K4" s="11">
        <f t="shared" si="2"/>
        <v>5.2444716157205233</v>
      </c>
      <c r="L4" s="11">
        <f>L7/L3</f>
        <v>4.9481076534903279</v>
      </c>
      <c r="M4" s="11">
        <f>J4</f>
        <v>7.299580810433163</v>
      </c>
      <c r="N4" s="16">
        <f>AVERAGE(J4:M4)*0.67</f>
        <v>4.1526165990879278</v>
      </c>
      <c r="O4" s="16">
        <f>N4*1.0075</f>
        <v>4.1837612235810875</v>
      </c>
      <c r="P4" s="16">
        <f t="shared" ref="P4:AA4" si="3">O4*1.0075</f>
        <v>4.2151394327579457</v>
      </c>
      <c r="Q4" s="16">
        <f t="shared" si="3"/>
        <v>4.2467529785036309</v>
      </c>
      <c r="R4" s="16">
        <f t="shared" si="3"/>
        <v>4.2786036258424085</v>
      </c>
      <c r="S4" s="16">
        <f t="shared" si="3"/>
        <v>4.3106931530362269</v>
      </c>
      <c r="T4" s="16">
        <f t="shared" si="3"/>
        <v>4.3430233516839989</v>
      </c>
      <c r="U4" s="16">
        <f t="shared" si="3"/>
        <v>4.3755960268216292</v>
      </c>
      <c r="V4" s="16">
        <f t="shared" si="3"/>
        <v>4.4084129970227917</v>
      </c>
      <c r="W4" s="16">
        <f t="shared" si="3"/>
        <v>4.4414760945004632</v>
      </c>
      <c r="X4" s="16">
        <f t="shared" si="3"/>
        <v>4.474787165209217</v>
      </c>
      <c r="Y4" s="16">
        <f t="shared" si="3"/>
        <v>4.5083480689482869</v>
      </c>
      <c r="Z4" s="16">
        <f t="shared" si="3"/>
        <v>4.5421606794653995</v>
      </c>
      <c r="AA4" s="16">
        <f t="shared" si="3"/>
        <v>4.5762268845613905</v>
      </c>
    </row>
    <row r="5" spans="1:34" x14ac:dyDescent="0.15">
      <c r="B5" t="s">
        <v>43</v>
      </c>
      <c r="F5" s="11"/>
      <c r="G5" s="11"/>
      <c r="H5" s="11"/>
      <c r="I5" s="11"/>
      <c r="J5" s="12">
        <f>J3/F3-1</f>
        <v>0.12467260345730735</v>
      </c>
      <c r="K5" s="12">
        <f t="shared" ref="K5:M5" si="4">K3/G3-1</f>
        <v>0.15890688259109309</v>
      </c>
      <c r="L5" s="12">
        <f t="shared" si="4"/>
        <v>0.165686274509804</v>
      </c>
      <c r="M5" s="12">
        <f t="shared" si="4"/>
        <v>0.1466794075489728</v>
      </c>
      <c r="N5" s="21">
        <f t="shared" ref="N5" si="5">N3/J3-1</f>
        <v>0.12715416860735917</v>
      </c>
      <c r="O5" s="21">
        <f t="shared" ref="O5" si="6">O3/K3-1</f>
        <v>8.2969432314410563E-2</v>
      </c>
      <c r="P5" s="21">
        <f t="shared" ref="P5" si="7">P3/L3-1</f>
        <v>5.0714886459209518E-2</v>
      </c>
      <c r="Q5" s="21">
        <f t="shared" ref="Q5" si="8">Q3/M3-1</f>
        <v>4.8891458333333526E-2</v>
      </c>
      <c r="R5" s="21">
        <f t="shared" ref="R5" si="9">R3/N3-1</f>
        <v>4.8024605888429939E-2</v>
      </c>
      <c r="S5" s="21">
        <f t="shared" ref="S5" si="10">S3/O3-1</f>
        <v>3.0339190664062654E-2</v>
      </c>
      <c r="T5" s="21">
        <f t="shared" ref="T5" si="11">T3/P3-1</f>
        <v>3.0339190664062654E-2</v>
      </c>
      <c r="U5" s="21">
        <f t="shared" ref="U5" si="12">U3/Q3-1</f>
        <v>3.0339190664062654E-2</v>
      </c>
      <c r="V5" s="21">
        <f t="shared" ref="V5" si="13">V3/R3-1</f>
        <v>3.0339190664062654E-2</v>
      </c>
      <c r="W5" s="21">
        <f t="shared" ref="W5" si="14">W3/S3-1</f>
        <v>3.0339190664062654E-2</v>
      </c>
      <c r="X5" s="21">
        <f t="shared" ref="X5" si="15">X3/T3-1</f>
        <v>3.0339190664062654E-2</v>
      </c>
      <c r="Y5" s="21">
        <f t="shared" ref="Y5" si="16">Y3/U3-1</f>
        <v>3.0339190664062654E-2</v>
      </c>
      <c r="Z5" s="21">
        <f t="shared" ref="Z5" si="17">Z3/V3-1</f>
        <v>3.0339190664062654E-2</v>
      </c>
      <c r="AA5" s="21">
        <f t="shared" ref="AA5" si="18">AA3/W3-1</f>
        <v>3.0339190664062654E-2</v>
      </c>
    </row>
    <row r="7" spans="1:34" s="4" customFormat="1" x14ac:dyDescent="0.15">
      <c r="B7" s="4" t="s">
        <v>8</v>
      </c>
      <c r="C7" s="5"/>
      <c r="D7" s="5"/>
      <c r="E7" s="5">
        <v>936.23299999999995</v>
      </c>
      <c r="F7" s="5">
        <v>1289.0409999999999</v>
      </c>
      <c r="G7" s="5">
        <v>1036.018</v>
      </c>
      <c r="H7" s="5">
        <v>1190.4269999999999</v>
      </c>
      <c r="I7" s="5">
        <v>1283.817</v>
      </c>
      <c r="J7" s="5">
        <v>1567.22</v>
      </c>
      <c r="K7" s="5">
        <v>1200.9839999999999</v>
      </c>
      <c r="L7" s="5">
        <v>1176.6600000000001</v>
      </c>
      <c r="M7" s="5">
        <f>M4*M3</f>
        <v>1751.8993945039592</v>
      </c>
      <c r="N7" s="18">
        <f t="shared" ref="N7:R7" si="19">N4*N3</f>
        <v>1004.9332169792785</v>
      </c>
      <c r="O7" s="18">
        <f t="shared" si="19"/>
        <v>1037.5727834481097</v>
      </c>
      <c r="P7" s="18">
        <f t="shared" si="19"/>
        <v>1053.1947386689003</v>
      </c>
      <c r="Q7" s="18">
        <f t="shared" si="19"/>
        <v>1069.0519019529843</v>
      </c>
      <c r="R7" s="18">
        <f t="shared" si="19"/>
        <v>1085.1478146517638</v>
      </c>
      <c r="S7" s="18">
        <f t="shared" ref="S7:AA7" si="20">S4*S3</f>
        <v>1101.4860714361148</v>
      </c>
      <c r="T7" s="18">
        <f t="shared" si="20"/>
        <v>1118.0703210991749</v>
      </c>
      <c r="U7" s="18">
        <f t="shared" si="20"/>
        <v>1134.9042673712245</v>
      </c>
      <c r="V7" s="18">
        <f t="shared" si="20"/>
        <v>1151.9916697468325</v>
      </c>
      <c r="W7" s="18">
        <f t="shared" si="20"/>
        <v>1169.3363443244584</v>
      </c>
      <c r="X7" s="18">
        <f t="shared" si="20"/>
        <v>1186.9421646586939</v>
      </c>
      <c r="Y7" s="18">
        <f t="shared" si="20"/>
        <v>1204.8130626253364</v>
      </c>
      <c r="Z7" s="18">
        <f t="shared" si="20"/>
        <v>1222.9530292994893</v>
      </c>
      <c r="AA7" s="18">
        <f t="shared" si="20"/>
        <v>1241.3661158468799</v>
      </c>
      <c r="AC7" s="5">
        <v>3716.3490000000002</v>
      </c>
      <c r="AD7" s="5">
        <v>5077.482</v>
      </c>
    </row>
    <row r="8" spans="1:34" s="4" customFormat="1" x14ac:dyDescent="0.15"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C8" s="5"/>
      <c r="AD8" s="5"/>
    </row>
    <row r="9" spans="1:34" s="2" customFormat="1" x14ac:dyDescent="0.15">
      <c r="B9" s="2" t="s">
        <v>20</v>
      </c>
      <c r="C9" s="3"/>
      <c r="D9" s="3"/>
      <c r="E9" s="3">
        <v>361.38799999999998</v>
      </c>
      <c r="F9" s="3">
        <v>432.92399999999998</v>
      </c>
      <c r="G9" s="3">
        <v>381.00799999999998</v>
      </c>
      <c r="H9" s="3">
        <v>416.93200000000002</v>
      </c>
      <c r="I9" s="3">
        <v>484.47899999999998</v>
      </c>
      <c r="J9" s="3">
        <v>515.09100000000001</v>
      </c>
      <c r="K9" s="3">
        <v>507.45</v>
      </c>
      <c r="L9" s="3">
        <v>540.67600000000004</v>
      </c>
      <c r="M9" s="3">
        <f>M7*(1-0.55)</f>
        <v>788.35472752678163</v>
      </c>
      <c r="N9" s="19">
        <f t="shared" ref="N9:R9" si="21">N7*(1-0.55)</f>
        <v>452.21994764067529</v>
      </c>
      <c r="O9" s="19">
        <f t="shared" si="21"/>
        <v>466.90775255164931</v>
      </c>
      <c r="P9" s="19">
        <f t="shared" si="21"/>
        <v>473.93763240100509</v>
      </c>
      <c r="Q9" s="19">
        <f t="shared" si="21"/>
        <v>481.0733558788429</v>
      </c>
      <c r="R9" s="19">
        <f t="shared" si="21"/>
        <v>488.31651659329367</v>
      </c>
      <c r="S9" s="19">
        <f t="shared" ref="S9:AA9" si="22">S7*(1-0.55)</f>
        <v>495.66873214625161</v>
      </c>
      <c r="T9" s="19">
        <f t="shared" si="22"/>
        <v>503.13164449462863</v>
      </c>
      <c r="U9" s="19">
        <f t="shared" si="22"/>
        <v>510.70692031705096</v>
      </c>
      <c r="V9" s="19">
        <f t="shared" si="22"/>
        <v>518.3962513860746</v>
      </c>
      <c r="W9" s="19">
        <f t="shared" si="22"/>
        <v>526.20135494600629</v>
      </c>
      <c r="X9" s="19">
        <f t="shared" si="22"/>
        <v>534.12397409641221</v>
      </c>
      <c r="Y9" s="19">
        <f t="shared" si="22"/>
        <v>542.16587818140135</v>
      </c>
      <c r="Z9" s="19">
        <f t="shared" si="22"/>
        <v>550.32886318477017</v>
      </c>
      <c r="AA9" s="19">
        <f t="shared" si="22"/>
        <v>558.61475213109588</v>
      </c>
      <c r="AC9" s="3">
        <v>1366.3879999999999</v>
      </c>
      <c r="AD9" s="3">
        <v>1797.51</v>
      </c>
    </row>
    <row r="10" spans="1:34" s="2" customFormat="1" x14ac:dyDescent="0.15"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1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C10" s="3"/>
      <c r="AD10" s="3"/>
    </row>
    <row r="11" spans="1:34" s="2" customFormat="1" x14ac:dyDescent="0.15">
      <c r="B11" s="2" t="s">
        <v>21</v>
      </c>
      <c r="C11" s="3"/>
      <c r="D11" s="3"/>
      <c r="E11" s="3">
        <f t="shared" ref="E11:L11" si="23">+E7-E9</f>
        <v>574.84500000000003</v>
      </c>
      <c r="F11" s="3">
        <f t="shared" si="23"/>
        <v>856.11699999999996</v>
      </c>
      <c r="G11" s="3">
        <f t="shared" si="23"/>
        <v>655.01</v>
      </c>
      <c r="H11" s="3">
        <f t="shared" si="23"/>
        <v>773.49499999999989</v>
      </c>
      <c r="I11" s="3">
        <f t="shared" si="23"/>
        <v>799.33799999999997</v>
      </c>
      <c r="J11" s="3">
        <f t="shared" si="23"/>
        <v>1052.1289999999999</v>
      </c>
      <c r="K11" s="3">
        <f t="shared" si="23"/>
        <v>693.53399999999988</v>
      </c>
      <c r="L11" s="3">
        <f t="shared" si="23"/>
        <v>635.98400000000004</v>
      </c>
      <c r="M11" s="3">
        <f>M7-M9</f>
        <v>963.5446669771776</v>
      </c>
      <c r="N11" s="19">
        <f t="shared" ref="N11:R11" si="24">N7-N9</f>
        <v>552.71326933860325</v>
      </c>
      <c r="O11" s="19">
        <f t="shared" si="24"/>
        <v>570.66503089646039</v>
      </c>
      <c r="P11" s="19">
        <f t="shared" si="24"/>
        <v>579.25710626789521</v>
      </c>
      <c r="Q11" s="19">
        <f t="shared" si="24"/>
        <v>587.97854607414138</v>
      </c>
      <c r="R11" s="19">
        <f t="shared" si="24"/>
        <v>596.83129805847011</v>
      </c>
      <c r="S11" s="19">
        <f t="shared" ref="S11:AA11" si="25">S7-S9</f>
        <v>605.81733928986318</v>
      </c>
      <c r="T11" s="19">
        <f t="shared" si="25"/>
        <v>614.93867660454623</v>
      </c>
      <c r="U11" s="19">
        <f t="shared" si="25"/>
        <v>624.19734705417352</v>
      </c>
      <c r="V11" s="19">
        <f t="shared" si="25"/>
        <v>633.59541836075789</v>
      </c>
      <c r="W11" s="19">
        <f t="shared" si="25"/>
        <v>643.13498937845213</v>
      </c>
      <c r="X11" s="19">
        <f t="shared" si="25"/>
        <v>652.81819056228164</v>
      </c>
      <c r="Y11" s="19">
        <f t="shared" si="25"/>
        <v>662.64718444393509</v>
      </c>
      <c r="Z11" s="19">
        <f t="shared" si="25"/>
        <v>672.62416611471917</v>
      </c>
      <c r="AA11" s="19">
        <f t="shared" si="25"/>
        <v>682.75136371578401</v>
      </c>
      <c r="AC11" s="3">
        <f>+AC7-AC9</f>
        <v>2349.9610000000002</v>
      </c>
      <c r="AD11" s="3">
        <f>+AD7-AD9</f>
        <v>3279.9719999999998</v>
      </c>
    </row>
    <row r="12" spans="1:34" s="2" customFormat="1" x14ac:dyDescent="0.15">
      <c r="B12" s="2" t="s">
        <v>36</v>
      </c>
      <c r="C12" s="3"/>
      <c r="D12" s="3"/>
      <c r="E12" s="12">
        <f>E11/E7</f>
        <v>0.61399779755680484</v>
      </c>
      <c r="F12" s="12">
        <f t="shared" ref="F12:L12" si="26">F11/F7</f>
        <v>0.66415032570725063</v>
      </c>
      <c r="G12" s="12">
        <f t="shared" si="26"/>
        <v>0.63223804991805155</v>
      </c>
      <c r="H12" s="12">
        <f t="shared" si="26"/>
        <v>0.6497626481926233</v>
      </c>
      <c r="I12" s="12">
        <f t="shared" si="26"/>
        <v>0.62262612194728684</v>
      </c>
      <c r="J12" s="12">
        <f t="shared" si="26"/>
        <v>0.67133459246308747</v>
      </c>
      <c r="K12" s="12">
        <f t="shared" si="26"/>
        <v>0.57747147339181859</v>
      </c>
      <c r="L12" s="12">
        <f t="shared" si="26"/>
        <v>0.54049937959988437</v>
      </c>
      <c r="M12" s="12">
        <f>M11/M7</f>
        <v>0.55000000000000004</v>
      </c>
      <c r="N12" s="21">
        <f t="shared" ref="N12" si="27">N11/N7</f>
        <v>0.55000000000000004</v>
      </c>
      <c r="O12" s="21">
        <f t="shared" ref="O12" si="28">O11/O7</f>
        <v>0.55000000000000004</v>
      </c>
      <c r="P12" s="21">
        <f t="shared" ref="P12" si="29">P11/P7</f>
        <v>0.55000000000000004</v>
      </c>
      <c r="Q12" s="21">
        <f t="shared" ref="Q12" si="30">Q11/Q7</f>
        <v>0.55000000000000004</v>
      </c>
      <c r="R12" s="21">
        <f t="shared" ref="R12:AA12" si="31">R11/R7</f>
        <v>0.55000000000000004</v>
      </c>
      <c r="S12" s="21">
        <f t="shared" si="31"/>
        <v>0.55000000000000004</v>
      </c>
      <c r="T12" s="21">
        <f t="shared" si="31"/>
        <v>0.55000000000000004</v>
      </c>
      <c r="U12" s="21">
        <f t="shared" si="31"/>
        <v>0.55000000000000004</v>
      </c>
      <c r="V12" s="21">
        <f t="shared" si="31"/>
        <v>0.55000000000000004</v>
      </c>
      <c r="W12" s="21">
        <f t="shared" si="31"/>
        <v>0.55000000000000004</v>
      </c>
      <c r="X12" s="21">
        <f t="shared" si="31"/>
        <v>0.55000000000000004</v>
      </c>
      <c r="Y12" s="21">
        <f t="shared" si="31"/>
        <v>0.55000000000000004</v>
      </c>
      <c r="Z12" s="21">
        <f t="shared" si="31"/>
        <v>0.55000000000000004</v>
      </c>
      <c r="AA12" s="21">
        <f t="shared" si="31"/>
        <v>0.55000000000000004</v>
      </c>
      <c r="AC12" s="3"/>
      <c r="AD12" s="3"/>
    </row>
    <row r="13" spans="1:34" s="2" customFormat="1" x14ac:dyDescent="0.15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9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C13" s="3"/>
      <c r="AD13" s="3"/>
    </row>
    <row r="14" spans="1:34" s="2" customFormat="1" x14ac:dyDescent="0.15">
      <c r="B14" s="2" t="s">
        <v>22</v>
      </c>
      <c r="C14" s="3"/>
      <c r="D14" s="3"/>
      <c r="E14" s="3">
        <v>208.87700000000001</v>
      </c>
      <c r="F14" s="3">
        <v>247.94</v>
      </c>
      <c r="G14" s="3">
        <v>250.709</v>
      </c>
      <c r="H14" s="3">
        <v>299.85899999999998</v>
      </c>
      <c r="I14" s="3">
        <v>324.25200000000001</v>
      </c>
      <c r="J14" s="3">
        <v>371.88400000000001</v>
      </c>
      <c r="K14" s="3">
        <v>371.69499999999999</v>
      </c>
      <c r="L14" s="3">
        <v>454.85899999999998</v>
      </c>
      <c r="M14" s="3">
        <f>L14*(1+0.03/4)</f>
        <v>458.2704425</v>
      </c>
      <c r="N14" s="19">
        <f>M14*0.5</f>
        <v>229.13522125</v>
      </c>
      <c r="O14" s="20">
        <f>N14*1.0075</f>
        <v>230.85373540937502</v>
      </c>
      <c r="P14" s="20">
        <f t="shared" ref="P14:R14" si="32">O14*1.0075</f>
        <v>232.58513842494534</v>
      </c>
      <c r="Q14" s="20">
        <f t="shared" si="32"/>
        <v>234.32952696313245</v>
      </c>
      <c r="R14" s="20">
        <f t="shared" si="32"/>
        <v>236.08699841535596</v>
      </c>
      <c r="S14" s="20">
        <f t="shared" ref="S14:AA14" si="33">R14*1.0075</f>
        <v>237.85765090347115</v>
      </c>
      <c r="T14" s="20">
        <f t="shared" si="33"/>
        <v>239.64158328524721</v>
      </c>
      <c r="U14" s="20">
        <f t="shared" si="33"/>
        <v>241.43889515988658</v>
      </c>
      <c r="V14" s="20">
        <f t="shared" si="33"/>
        <v>243.24968687358574</v>
      </c>
      <c r="W14" s="20">
        <f t="shared" si="33"/>
        <v>245.07405952513764</v>
      </c>
      <c r="X14" s="20">
        <f t="shared" si="33"/>
        <v>246.91211497157619</v>
      </c>
      <c r="Y14" s="20">
        <f t="shared" si="33"/>
        <v>248.76395583386304</v>
      </c>
      <c r="Z14" s="20">
        <f t="shared" si="33"/>
        <v>250.62968550261704</v>
      </c>
      <c r="AA14" s="20">
        <f t="shared" si="33"/>
        <v>252.50940814388667</v>
      </c>
      <c r="AC14" s="3">
        <v>873.01099999999997</v>
      </c>
      <c r="AD14" s="3">
        <v>1246.704</v>
      </c>
    </row>
    <row r="15" spans="1:34" s="2" customFormat="1" x14ac:dyDescent="0.15">
      <c r="B15" s="2" t="s">
        <v>23</v>
      </c>
      <c r="C15" s="3"/>
      <c r="D15" s="3"/>
      <c r="E15" s="3">
        <v>215.285</v>
      </c>
      <c r="F15" s="3">
        <v>244.00200000000001</v>
      </c>
      <c r="G15" s="3">
        <v>234.59200000000001</v>
      </c>
      <c r="H15" s="3">
        <v>301.90199999999999</v>
      </c>
      <c r="I15" s="3">
        <v>301.07799999999997</v>
      </c>
      <c r="J15" s="3">
        <v>338.39800000000002</v>
      </c>
      <c r="K15" s="3">
        <v>299.80900000000003</v>
      </c>
      <c r="L15" s="3">
        <v>308.30099999999999</v>
      </c>
      <c r="M15" s="3">
        <f t="shared" ref="M15:M16" si="34">L15*(1+0.03/4)</f>
        <v>310.61325750000003</v>
      </c>
      <c r="N15" s="19">
        <f t="shared" ref="N15:N16" si="35">M15*0.5</f>
        <v>155.30662875000002</v>
      </c>
      <c r="O15" s="20">
        <f t="shared" ref="O15:R16" si="36">N15*1.0075</f>
        <v>156.47142846562502</v>
      </c>
      <c r="P15" s="20">
        <f t="shared" si="36"/>
        <v>157.64496417911721</v>
      </c>
      <c r="Q15" s="20">
        <f t="shared" si="36"/>
        <v>158.82730141046059</v>
      </c>
      <c r="R15" s="20">
        <f t="shared" si="36"/>
        <v>160.01850617103906</v>
      </c>
      <c r="S15" s="20">
        <f t="shared" ref="S15:AA15" si="37">R15*1.0075</f>
        <v>161.21864496732186</v>
      </c>
      <c r="T15" s="20">
        <f t="shared" si="37"/>
        <v>162.42778480457679</v>
      </c>
      <c r="U15" s="20">
        <f t="shared" si="37"/>
        <v>163.64599319061114</v>
      </c>
      <c r="V15" s="20">
        <f t="shared" si="37"/>
        <v>164.87333813954072</v>
      </c>
      <c r="W15" s="20">
        <f t="shared" si="37"/>
        <v>166.10988817558729</v>
      </c>
      <c r="X15" s="20">
        <f t="shared" si="37"/>
        <v>167.35571233690419</v>
      </c>
      <c r="Y15" s="20">
        <f t="shared" si="37"/>
        <v>168.61088017943098</v>
      </c>
      <c r="Z15" s="20">
        <f t="shared" si="37"/>
        <v>169.87546178077673</v>
      </c>
      <c r="AA15" s="20">
        <f t="shared" si="37"/>
        <v>171.14952774413257</v>
      </c>
      <c r="AC15" s="3">
        <v>887.86</v>
      </c>
      <c r="AD15" s="3">
        <v>1175.97</v>
      </c>
    </row>
    <row r="16" spans="1:34" s="2" customFormat="1" x14ac:dyDescent="0.15">
      <c r="B16" s="2" t="s">
        <v>24</v>
      </c>
      <c r="C16" s="3"/>
      <c r="D16" s="3"/>
      <c r="E16" s="3">
        <v>94.575999999999993</v>
      </c>
      <c r="F16" s="3">
        <v>112.251</v>
      </c>
      <c r="G16" s="3">
        <v>117.527</v>
      </c>
      <c r="H16" s="3">
        <v>141.482</v>
      </c>
      <c r="I16" s="3">
        <v>150.85499999999999</v>
      </c>
      <c r="J16" s="3">
        <v>174.47200000000001</v>
      </c>
      <c r="K16" s="3">
        <v>149.863</v>
      </c>
      <c r="L16" s="3">
        <v>216.58600000000001</v>
      </c>
      <c r="M16" s="3">
        <f t="shared" si="34"/>
        <v>218.21039500000003</v>
      </c>
      <c r="N16" s="19">
        <f t="shared" si="35"/>
        <v>109.10519750000002</v>
      </c>
      <c r="O16" s="20">
        <f t="shared" si="36"/>
        <v>109.92348648125002</v>
      </c>
      <c r="P16" s="20">
        <f t="shared" si="36"/>
        <v>110.7479126298594</v>
      </c>
      <c r="Q16" s="20">
        <f t="shared" si="36"/>
        <v>111.57852197458335</v>
      </c>
      <c r="R16" s="20">
        <f t="shared" si="36"/>
        <v>112.41536088939273</v>
      </c>
      <c r="S16" s="20">
        <f t="shared" ref="S16:AA16" si="38">R16*1.0075</f>
        <v>113.25847609606318</v>
      </c>
      <c r="T16" s="20">
        <f t="shared" si="38"/>
        <v>114.10791466678366</v>
      </c>
      <c r="U16" s="20">
        <f t="shared" si="38"/>
        <v>114.96372402678455</v>
      </c>
      <c r="V16" s="20">
        <f t="shared" si="38"/>
        <v>115.82595195698543</v>
      </c>
      <c r="W16" s="20">
        <f t="shared" si="38"/>
        <v>116.69464659666284</v>
      </c>
      <c r="X16" s="20">
        <f t="shared" si="38"/>
        <v>117.56985644613782</v>
      </c>
      <c r="Y16" s="20">
        <f t="shared" si="38"/>
        <v>118.45163036948387</v>
      </c>
      <c r="Z16" s="20">
        <f t="shared" si="38"/>
        <v>119.340017597255</v>
      </c>
      <c r="AA16" s="20">
        <f t="shared" si="38"/>
        <v>120.23506772923442</v>
      </c>
      <c r="AC16" s="3">
        <v>562.43200000000002</v>
      </c>
      <c r="AD16" s="3">
        <v>584.33600000000001</v>
      </c>
    </row>
    <row r="17" spans="2:30" s="2" customFormat="1" x14ac:dyDescent="0.15">
      <c r="B17" s="2" t="s">
        <v>25</v>
      </c>
      <c r="C17" s="3"/>
      <c r="D17" s="3"/>
      <c r="E17" s="3">
        <f t="shared" ref="E17:J17" si="39">SUM(E14:E16)</f>
        <v>518.73800000000006</v>
      </c>
      <c r="F17" s="3">
        <f t="shared" si="39"/>
        <v>604.19299999999998</v>
      </c>
      <c r="G17" s="3">
        <f t="shared" si="39"/>
        <v>602.82800000000009</v>
      </c>
      <c r="H17" s="3">
        <f t="shared" si="39"/>
        <v>743.24299999999994</v>
      </c>
      <c r="I17" s="3">
        <f t="shared" si="39"/>
        <v>776.18499999999995</v>
      </c>
      <c r="J17" s="3">
        <f t="shared" si="39"/>
        <v>884.75400000000002</v>
      </c>
      <c r="K17" s="3">
        <f t="shared" ref="K17" si="40">SUM(K14:K16)</f>
        <v>821.36699999999996</v>
      </c>
      <c r="L17" s="3">
        <f>SUM(L14:L16)</f>
        <v>979.74599999999998</v>
      </c>
      <c r="M17" s="3">
        <f>SUM(M14:M16)</f>
        <v>987.09409500000015</v>
      </c>
      <c r="N17" s="19">
        <f>SUM(N14:N16)</f>
        <v>493.54704750000008</v>
      </c>
      <c r="O17" s="19">
        <f t="shared" ref="O17:R17" si="41">SUM(O14:O16)</f>
        <v>497.2486503562501</v>
      </c>
      <c r="P17" s="19">
        <f t="shared" si="41"/>
        <v>500.97801523392195</v>
      </c>
      <c r="Q17" s="19">
        <f t="shared" si="41"/>
        <v>504.73535034817638</v>
      </c>
      <c r="R17" s="19">
        <f t="shared" si="41"/>
        <v>508.52086547578773</v>
      </c>
      <c r="S17" s="19">
        <f t="shared" ref="S17" si="42">SUM(S14:S16)</f>
        <v>512.33477196685624</v>
      </c>
      <c r="T17" s="19">
        <f t="shared" ref="T17" si="43">SUM(T14:T16)</f>
        <v>516.17728275660772</v>
      </c>
      <c r="U17" s="19">
        <f t="shared" ref="U17" si="44">SUM(U14:U16)</f>
        <v>520.04861237728232</v>
      </c>
      <c r="V17" s="19">
        <f t="shared" ref="V17" si="45">SUM(V14:V16)</f>
        <v>523.94897697011197</v>
      </c>
      <c r="W17" s="19">
        <f t="shared" ref="W17" si="46">SUM(W14:W16)</f>
        <v>527.87859429738774</v>
      </c>
      <c r="X17" s="19">
        <f t="shared" ref="X17" si="47">SUM(X14:X16)</f>
        <v>531.83768375461818</v>
      </c>
      <c r="Y17" s="19">
        <f t="shared" ref="Y17" si="48">SUM(Y14:Y16)</f>
        <v>535.82646638277788</v>
      </c>
      <c r="Z17" s="19">
        <f t="shared" ref="Z17" si="49">SUM(Z14:Z16)</f>
        <v>539.84516488064878</v>
      </c>
      <c r="AA17" s="19">
        <f t="shared" ref="AA17" si="50">SUM(AA14:AA16)</f>
        <v>543.8940036172537</v>
      </c>
      <c r="AC17" s="3">
        <f>SUM(AC14:AC16)</f>
        <v>2323.3029999999999</v>
      </c>
      <c r="AD17" s="3">
        <f>SUM(AD14:AD16)</f>
        <v>3007.01</v>
      </c>
    </row>
    <row r="18" spans="2:30" s="2" customFormat="1" x14ac:dyDescent="0.15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19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C18" s="3"/>
      <c r="AD18" s="3"/>
    </row>
    <row r="19" spans="2:30" s="2" customFormat="1" x14ac:dyDescent="0.15">
      <c r="B19" s="2" t="s">
        <v>37</v>
      </c>
      <c r="C19" s="3"/>
      <c r="D19" s="3"/>
      <c r="E19" s="3">
        <f t="shared" ref="E19:J19" si="51">E11-E17</f>
        <v>56.106999999999971</v>
      </c>
      <c r="F19" s="3">
        <f t="shared" si="51"/>
        <v>251.92399999999998</v>
      </c>
      <c r="G19" s="3">
        <f t="shared" si="51"/>
        <v>52.181999999999903</v>
      </c>
      <c r="H19" s="3">
        <f t="shared" si="51"/>
        <v>30.251999999999953</v>
      </c>
      <c r="I19" s="3">
        <f t="shared" si="51"/>
        <v>23.15300000000002</v>
      </c>
      <c r="J19" s="3">
        <f t="shared" si="51"/>
        <v>167.37499999999989</v>
      </c>
      <c r="K19" s="3">
        <f t="shared" ref="K19" si="52">K11-K17</f>
        <v>-127.83300000000008</v>
      </c>
      <c r="L19" s="3">
        <f>L11-L17</f>
        <v>-343.76199999999994</v>
      </c>
      <c r="M19" s="3">
        <f>M11-M17</f>
        <v>-23.549428022822553</v>
      </c>
      <c r="N19" s="19">
        <f t="shared" ref="N19:R19" si="53">N11-N17</f>
        <v>59.166221838603178</v>
      </c>
      <c r="O19" s="19">
        <f t="shared" si="53"/>
        <v>73.416380540210298</v>
      </c>
      <c r="P19" s="19">
        <f t="shared" si="53"/>
        <v>78.279091033973259</v>
      </c>
      <c r="Q19" s="19">
        <f t="shared" si="53"/>
        <v>83.243195725964995</v>
      </c>
      <c r="R19" s="19">
        <f t="shared" si="53"/>
        <v>88.310432582682381</v>
      </c>
      <c r="S19" s="19">
        <f t="shared" ref="S19:AA19" si="54">S11-S17</f>
        <v>93.482567323006947</v>
      </c>
      <c r="T19" s="19">
        <f t="shared" si="54"/>
        <v>98.761393847938507</v>
      </c>
      <c r="U19" s="19">
        <f t="shared" si="54"/>
        <v>104.14873467689119</v>
      </c>
      <c r="V19" s="19">
        <f t="shared" si="54"/>
        <v>109.64644139064592</v>
      </c>
      <c r="W19" s="19">
        <f t="shared" si="54"/>
        <v>115.2563950810644</v>
      </c>
      <c r="X19" s="19">
        <f t="shared" si="54"/>
        <v>120.98050680766346</v>
      </c>
      <c r="Y19" s="19">
        <f t="shared" si="54"/>
        <v>126.82071806115721</v>
      </c>
      <c r="Z19" s="19">
        <f t="shared" si="54"/>
        <v>132.77900123407039</v>
      </c>
      <c r="AA19" s="19">
        <f t="shared" si="54"/>
        <v>138.85736009853031</v>
      </c>
      <c r="AC19" s="3">
        <f>AC11-AC17</f>
        <v>26.658000000000357</v>
      </c>
      <c r="AD19" s="3">
        <f>AD11-AD17</f>
        <v>272.96199999999953</v>
      </c>
    </row>
    <row r="20" spans="2:30" s="2" customFormat="1" x14ac:dyDescent="0.15">
      <c r="B20" s="2" t="s">
        <v>38</v>
      </c>
      <c r="C20" s="3"/>
      <c r="D20" s="3"/>
      <c r="E20" s="3">
        <f>-39.614+17.167</f>
        <v>-22.446999999999996</v>
      </c>
      <c r="F20" s="3">
        <f>-40.166+13.101</f>
        <v>-27.064999999999998</v>
      </c>
      <c r="G20" s="3">
        <f>-13.185+11.001</f>
        <v>-2.1840000000000011</v>
      </c>
      <c r="H20" s="3">
        <f>-13.893+9.202</f>
        <v>-4.6910000000000007</v>
      </c>
      <c r="I20" s="3">
        <f>-13.284+8.125</f>
        <v>-5.1590000000000007</v>
      </c>
      <c r="J20" s="3">
        <f>-10.824+7.355</f>
        <v>-3.4689999999999994</v>
      </c>
      <c r="K20" s="3">
        <f>-15.444+7.962</f>
        <v>-7.4820000000000011</v>
      </c>
      <c r="L20" s="3">
        <f>13.595+17.616</f>
        <v>31.210999999999999</v>
      </c>
      <c r="M20" s="3">
        <v>-43</v>
      </c>
      <c r="N20" s="19">
        <v>-300</v>
      </c>
      <c r="O20" s="20">
        <f>N20*1.02</f>
        <v>-306</v>
      </c>
      <c r="P20" s="20">
        <f t="shared" ref="P20:R20" si="55">O20*1.02</f>
        <v>-312.12</v>
      </c>
      <c r="Q20" s="20">
        <f t="shared" si="55"/>
        <v>-318.36240000000004</v>
      </c>
      <c r="R20" s="20">
        <f t="shared" si="55"/>
        <v>-324.72964800000005</v>
      </c>
      <c r="S20" s="20">
        <f t="shared" ref="S20:AA20" si="56">R20*1.02</f>
        <v>-331.22424096000009</v>
      </c>
      <c r="T20" s="20">
        <f t="shared" si="56"/>
        <v>-337.84872577920009</v>
      </c>
      <c r="U20" s="20">
        <f t="shared" si="56"/>
        <v>-344.60570029478413</v>
      </c>
      <c r="V20" s="20">
        <f t="shared" si="56"/>
        <v>-351.49781430067981</v>
      </c>
      <c r="W20" s="20">
        <f t="shared" si="56"/>
        <v>-358.52777058669341</v>
      </c>
      <c r="X20" s="20">
        <f t="shared" si="56"/>
        <v>-365.69832599842726</v>
      </c>
      <c r="Y20" s="20">
        <f t="shared" si="56"/>
        <v>-373.01229251839584</v>
      </c>
      <c r="Z20" s="20">
        <f t="shared" si="56"/>
        <v>-380.47253836876376</v>
      </c>
      <c r="AA20" s="20">
        <f t="shared" si="56"/>
        <v>-388.08198913613904</v>
      </c>
      <c r="AC20" s="3">
        <f>26.658-152.878</f>
        <v>-126.21999999999998</v>
      </c>
      <c r="AD20" s="3">
        <f>-51.186+35.683</f>
        <v>-15.503</v>
      </c>
    </row>
    <row r="21" spans="2:30" x14ac:dyDescent="0.15">
      <c r="B21" s="2" t="s">
        <v>39</v>
      </c>
      <c r="E21" s="3">
        <f>+E17+E20</f>
        <v>496.29100000000005</v>
      </c>
      <c r="F21" s="3">
        <f>+F17+F20</f>
        <v>577.12799999999993</v>
      </c>
      <c r="G21" s="3">
        <f>+G17+G20</f>
        <v>600.64400000000012</v>
      </c>
      <c r="H21" s="3">
        <f>+H17+H20</f>
        <v>738.55199999999991</v>
      </c>
      <c r="I21" s="3">
        <f>+I19+I20</f>
        <v>17.994000000000021</v>
      </c>
      <c r="J21" s="3">
        <f>+J19+J20</f>
        <v>163.90599999999989</v>
      </c>
      <c r="K21" s="3">
        <f>+K19+K20</f>
        <v>-135.31500000000008</v>
      </c>
      <c r="L21" s="3">
        <f>+L19+L20</f>
        <v>-312.55099999999993</v>
      </c>
      <c r="M21" s="3">
        <f>+M19+M20</f>
        <v>-66.549428022822553</v>
      </c>
      <c r="N21" s="19">
        <f t="shared" ref="N21:R21" si="57">+N19+N20</f>
        <v>-240.83377816139682</v>
      </c>
      <c r="O21" s="19">
        <f t="shared" si="57"/>
        <v>-232.5836194597897</v>
      </c>
      <c r="P21" s="19">
        <f t="shared" si="57"/>
        <v>-233.84090896602675</v>
      </c>
      <c r="Q21" s="19">
        <f t="shared" si="57"/>
        <v>-235.11920427403504</v>
      </c>
      <c r="R21" s="19">
        <f t="shared" si="57"/>
        <v>-236.41921541731767</v>
      </c>
      <c r="S21" s="19">
        <f t="shared" ref="S21" si="58">+S19+S20</f>
        <v>-237.74167363699314</v>
      </c>
      <c r="T21" s="19">
        <f t="shared" ref="T21" si="59">+T19+T20</f>
        <v>-239.08733193126159</v>
      </c>
      <c r="U21" s="19">
        <f t="shared" ref="U21" si="60">+U19+U20</f>
        <v>-240.45696561789293</v>
      </c>
      <c r="V21" s="19">
        <f t="shared" ref="V21" si="61">+V19+V20</f>
        <v>-241.85137291003389</v>
      </c>
      <c r="W21" s="19">
        <f t="shared" ref="W21" si="62">+W19+W20</f>
        <v>-243.27137550562901</v>
      </c>
      <c r="X21" s="19">
        <f t="shared" ref="X21" si="63">+X19+X20</f>
        <v>-244.71781919076381</v>
      </c>
      <c r="Y21" s="19">
        <f t="shared" ref="Y21" si="64">+Y19+Y20</f>
        <v>-246.19157445723863</v>
      </c>
      <c r="Z21" s="19">
        <f t="shared" ref="Z21" si="65">+Z19+Z20</f>
        <v>-247.69353713469337</v>
      </c>
      <c r="AA21" s="19">
        <f t="shared" ref="AA21" si="66">+AA19+AA20</f>
        <v>-249.22462903760874</v>
      </c>
      <c r="AC21" s="3">
        <f>+AC19+AC20</f>
        <v>-99.561999999999628</v>
      </c>
      <c r="AD21" s="3">
        <f>+AD19+AD20</f>
        <v>257.45899999999955</v>
      </c>
    </row>
    <row r="22" spans="2:30" s="2" customFormat="1" x14ac:dyDescent="0.15">
      <c r="B22" s="2" t="s">
        <v>40</v>
      </c>
      <c r="C22" s="3"/>
      <c r="D22" s="3"/>
      <c r="E22" s="3">
        <v>1.024</v>
      </c>
      <c r="F22" s="3">
        <v>1.903</v>
      </c>
      <c r="G22" s="3">
        <v>0</v>
      </c>
      <c r="H22" s="3">
        <v>15.651</v>
      </c>
      <c r="I22" s="3">
        <v>0</v>
      </c>
      <c r="J22" s="3">
        <v>2.9710000000000001</v>
      </c>
      <c r="K22" s="3">
        <v>0</v>
      </c>
      <c r="L22" s="3">
        <v>0</v>
      </c>
      <c r="M22" s="3">
        <v>0</v>
      </c>
      <c r="N22" s="19">
        <f>IF(N21*0.2&lt;0,0,N21*0.2)</f>
        <v>0</v>
      </c>
      <c r="O22" s="19">
        <f t="shared" ref="O22:R22" si="67">IF(O21*0.2&lt;0,0,O21*0.2)</f>
        <v>0</v>
      </c>
      <c r="P22" s="19">
        <f t="shared" si="67"/>
        <v>0</v>
      </c>
      <c r="Q22" s="19">
        <f t="shared" si="67"/>
        <v>0</v>
      </c>
      <c r="R22" s="19">
        <f t="shared" si="67"/>
        <v>0</v>
      </c>
      <c r="S22" s="19">
        <f t="shared" ref="S22" si="68">IF(S21*0.2&lt;0,0,S21*0.2)</f>
        <v>0</v>
      </c>
      <c r="T22" s="19">
        <f t="shared" ref="T22" si="69">IF(T21*0.2&lt;0,0,T21*0.2)</f>
        <v>0</v>
      </c>
      <c r="U22" s="19">
        <f t="shared" ref="U22" si="70">IF(U21*0.2&lt;0,0,U21*0.2)</f>
        <v>0</v>
      </c>
      <c r="V22" s="19">
        <f t="shared" ref="V22" si="71">IF(V21*0.2&lt;0,0,V21*0.2)</f>
        <v>0</v>
      </c>
      <c r="W22" s="19">
        <f t="shared" ref="W22" si="72">IF(W21*0.2&lt;0,0,W21*0.2)</f>
        <v>0</v>
      </c>
      <c r="X22" s="19">
        <f t="shared" ref="X22" si="73">IF(X21*0.2&lt;0,0,X21*0.2)</f>
        <v>0</v>
      </c>
      <c r="Y22" s="19">
        <f t="shared" ref="Y22" si="74">IF(Y21*0.2&lt;0,0,Y21*0.2)</f>
        <v>0</v>
      </c>
      <c r="Z22" s="19">
        <f t="shared" ref="Z22" si="75">IF(Z21*0.2&lt;0,0,Z21*0.2)</f>
        <v>0</v>
      </c>
      <c r="AA22" s="19">
        <f t="shared" ref="AA22" si="76">IF(AA21*0.2&lt;0,0,AA21*0.2)</f>
        <v>0</v>
      </c>
      <c r="AC22" s="3">
        <v>0</v>
      </c>
      <c r="AD22" s="3">
        <v>0</v>
      </c>
    </row>
    <row r="23" spans="2:30" x14ac:dyDescent="0.15">
      <c r="B23" s="2" t="s">
        <v>28</v>
      </c>
      <c r="E23" s="3">
        <f t="shared" ref="E23:L23" si="77">+E21-E22</f>
        <v>495.26700000000005</v>
      </c>
      <c r="F23" s="3">
        <f t="shared" si="77"/>
        <v>575.22499999999991</v>
      </c>
      <c r="G23" s="3">
        <f t="shared" si="77"/>
        <v>600.64400000000012</v>
      </c>
      <c r="H23" s="3">
        <f t="shared" si="77"/>
        <v>722.90099999999995</v>
      </c>
      <c r="I23" s="3">
        <f t="shared" si="77"/>
        <v>17.994000000000021</v>
      </c>
      <c r="J23" s="3">
        <f t="shared" si="77"/>
        <v>160.93499999999989</v>
      </c>
      <c r="K23" s="3">
        <f t="shared" si="77"/>
        <v>-135.31500000000008</v>
      </c>
      <c r="L23" s="3">
        <f t="shared" si="77"/>
        <v>-312.55099999999993</v>
      </c>
      <c r="M23" s="3">
        <f t="shared" ref="M23:R23" si="78">+M21-M22</f>
        <v>-66.549428022822553</v>
      </c>
      <c r="N23" s="19">
        <f t="shared" si="78"/>
        <v>-240.83377816139682</v>
      </c>
      <c r="O23" s="19">
        <f t="shared" si="78"/>
        <v>-232.5836194597897</v>
      </c>
      <c r="P23" s="19">
        <f t="shared" si="78"/>
        <v>-233.84090896602675</v>
      </c>
      <c r="Q23" s="19">
        <f t="shared" si="78"/>
        <v>-235.11920427403504</v>
      </c>
      <c r="R23" s="19">
        <f t="shared" si="78"/>
        <v>-236.41921541731767</v>
      </c>
      <c r="S23" s="19">
        <f t="shared" ref="S23:AA23" si="79">+S21-S22</f>
        <v>-237.74167363699314</v>
      </c>
      <c r="T23" s="19">
        <f t="shared" si="79"/>
        <v>-239.08733193126159</v>
      </c>
      <c r="U23" s="19">
        <f t="shared" si="79"/>
        <v>-240.45696561789293</v>
      </c>
      <c r="V23" s="19">
        <f t="shared" si="79"/>
        <v>-241.85137291003389</v>
      </c>
      <c r="W23" s="19">
        <f t="shared" si="79"/>
        <v>-243.27137550562901</v>
      </c>
      <c r="X23" s="19">
        <f t="shared" si="79"/>
        <v>-244.71781919076381</v>
      </c>
      <c r="Y23" s="19">
        <f t="shared" si="79"/>
        <v>-246.19157445723863</v>
      </c>
      <c r="Z23" s="19">
        <f t="shared" si="79"/>
        <v>-247.69353713469337</v>
      </c>
      <c r="AA23" s="19">
        <f t="shared" si="79"/>
        <v>-249.22462903760874</v>
      </c>
      <c r="AC23" s="3">
        <f>+AC21-AC22</f>
        <v>-99.561999999999628</v>
      </c>
      <c r="AD23" s="3">
        <f>+AD21-AD22</f>
        <v>257.45899999999955</v>
      </c>
    </row>
    <row r="24" spans="2:30" x14ac:dyDescent="0.15">
      <c r="B24" t="s">
        <v>27</v>
      </c>
      <c r="E24" s="7">
        <f t="shared" ref="E24:L24" si="80">+E23/E25</f>
        <v>0.61418333471811781</v>
      </c>
      <c r="F24" s="7">
        <f t="shared" si="80"/>
        <v>0.70461483056660701</v>
      </c>
      <c r="G24" s="7">
        <f t="shared" si="80"/>
        <v>0.68866424287452133</v>
      </c>
      <c r="H24" s="7">
        <f t="shared" si="80"/>
        <v>0.8317045951356451</v>
      </c>
      <c r="I24" s="7">
        <f t="shared" si="80"/>
        <v>2.2549296039399262E-2</v>
      </c>
      <c r="J24" s="7">
        <f t="shared" si="80"/>
        <v>0.18604557067384933</v>
      </c>
      <c r="K24" s="7">
        <f t="shared" si="80"/>
        <v>-0.16136014023539522</v>
      </c>
      <c r="L24" s="7">
        <f t="shared" si="80"/>
        <v>-0.40758466271189303</v>
      </c>
      <c r="M24" s="7">
        <f t="shared" ref="M24" si="81">+M23/M25</f>
        <v>-8.6784320556810055E-2</v>
      </c>
      <c r="N24" s="16">
        <f>N23/N25</f>
        <v>-0.31406123877877151</v>
      </c>
      <c r="O24" s="16">
        <f t="shared" ref="O24:R24" si="82">O23/O25</f>
        <v>-0.30330255251088523</v>
      </c>
      <c r="P24" s="16">
        <f t="shared" si="82"/>
        <v>-0.30494213107352247</v>
      </c>
      <c r="Q24" s="16">
        <f t="shared" si="82"/>
        <v>-0.30660910242207279</v>
      </c>
      <c r="R24" s="16">
        <f t="shared" si="82"/>
        <v>-0.30830439248147606</v>
      </c>
      <c r="S24" s="16">
        <f t="shared" ref="S24" si="83">S23/S25</f>
        <v>-0.31002895483263476</v>
      </c>
      <c r="T24" s="16">
        <f t="shared" ref="T24" si="84">T23/T25</f>
        <v>-0.31178377142894981</v>
      </c>
      <c r="U24" s="16">
        <f t="shared" ref="U24" si="85">U23/U25</f>
        <v>-0.31356985332983794</v>
      </c>
      <c r="V24" s="16">
        <f t="shared" ref="V24" si="86">V23/V25</f>
        <v>-0.31538824145161737</v>
      </c>
      <c r="W24" s="16">
        <f t="shared" ref="W24" si="87">W23/W25</f>
        <v>-0.3172400073361471</v>
      </c>
      <c r="X24" s="16">
        <f t="shared" ref="X24" si="88">X23/X25</f>
        <v>-0.31912625393762145</v>
      </c>
      <c r="Y24" s="16">
        <f t="shared" ref="Y24" si="89">Y23/Y25</f>
        <v>-0.32104811642792225</v>
      </c>
      <c r="Z24" s="16">
        <f t="shared" ref="Z24" si="90">Z23/Z25</f>
        <v>-0.32300676302094627</v>
      </c>
      <c r="AA24" s="16">
        <f t="shared" ref="AA24" si="91">AA23/AA25</f>
        <v>-0.3250033958163322</v>
      </c>
      <c r="AC24" s="7">
        <f>+AC23/AC25</f>
        <v>-0.1263700068920782</v>
      </c>
      <c r="AD24" s="7">
        <f>+AD23/AD25</f>
        <v>0.32280305376435708</v>
      </c>
    </row>
    <row r="25" spans="2:30" s="2" customFormat="1" x14ac:dyDescent="0.15">
      <c r="B25" s="2" t="s">
        <v>41</v>
      </c>
      <c r="C25" s="3"/>
      <c r="D25" s="3"/>
      <c r="E25" s="3">
        <v>806.38300000000004</v>
      </c>
      <c r="F25" s="3">
        <v>816.36800000000005</v>
      </c>
      <c r="G25" s="3">
        <v>872.18700000000001</v>
      </c>
      <c r="H25" s="3">
        <v>869.18</v>
      </c>
      <c r="I25" s="3">
        <v>797.98500000000001</v>
      </c>
      <c r="J25" s="3">
        <v>865.03</v>
      </c>
      <c r="K25" s="3">
        <v>838.59</v>
      </c>
      <c r="L25" s="3">
        <v>766.83699999999999</v>
      </c>
      <c r="M25" s="3">
        <v>766.83699999999999</v>
      </c>
      <c r="N25" s="19">
        <f>M25</f>
        <v>766.83699999999999</v>
      </c>
      <c r="O25" s="19">
        <f t="shared" ref="O25:R25" si="92">N25</f>
        <v>766.83699999999999</v>
      </c>
      <c r="P25" s="19">
        <f t="shared" si="92"/>
        <v>766.83699999999999</v>
      </c>
      <c r="Q25" s="19">
        <f t="shared" si="92"/>
        <v>766.83699999999999</v>
      </c>
      <c r="R25" s="19">
        <f t="shared" si="92"/>
        <v>766.83699999999999</v>
      </c>
      <c r="S25" s="19">
        <f t="shared" ref="S25:AA25" si="93">R25</f>
        <v>766.83699999999999</v>
      </c>
      <c r="T25" s="19">
        <f t="shared" si="93"/>
        <v>766.83699999999999</v>
      </c>
      <c r="U25" s="19">
        <f t="shared" si="93"/>
        <v>766.83699999999999</v>
      </c>
      <c r="V25" s="19">
        <f t="shared" si="93"/>
        <v>766.83699999999999</v>
      </c>
      <c r="W25" s="19">
        <f t="shared" si="93"/>
        <v>766.83699999999999</v>
      </c>
      <c r="X25" s="19">
        <f t="shared" si="93"/>
        <v>766.83699999999999</v>
      </c>
      <c r="Y25" s="19">
        <f t="shared" si="93"/>
        <v>766.83699999999999</v>
      </c>
      <c r="Z25" s="19">
        <f t="shared" si="93"/>
        <v>766.83699999999999</v>
      </c>
      <c r="AA25" s="19">
        <f t="shared" si="93"/>
        <v>766.83699999999999</v>
      </c>
      <c r="AC25" s="3">
        <v>787.86099999999999</v>
      </c>
      <c r="AD25" s="3">
        <v>797.57299999999998</v>
      </c>
    </row>
    <row r="26" spans="2:30" x14ac:dyDescent="0.15">
      <c r="B26" s="2" t="s">
        <v>42</v>
      </c>
    </row>
    <row r="27" spans="2:30" x14ac:dyDescent="0.15">
      <c r="B27" s="2"/>
    </row>
    <row r="28" spans="2:30" x14ac:dyDescent="0.15">
      <c r="B28" s="2" t="s">
        <v>29</v>
      </c>
      <c r="I28" s="10">
        <f>+I7/E7-1</f>
        <v>0.37125800949122723</v>
      </c>
      <c r="J28" s="10">
        <f>+J7/F7-1</f>
        <v>0.21580306600022814</v>
      </c>
      <c r="K28" s="10">
        <f>+K7/G7-1</f>
        <v>0.15923082417486945</v>
      </c>
      <c r="L28" s="10">
        <f>+L7/H7-1</f>
        <v>-1.1564757855794472E-2</v>
      </c>
      <c r="M28" s="10">
        <f t="shared" ref="M28:R28" si="94">+M7/I7-1</f>
        <v>0.36460211580307722</v>
      </c>
      <c r="N28" s="17">
        <f t="shared" si="94"/>
        <v>-0.35877973929679396</v>
      </c>
      <c r="O28" s="17">
        <f t="shared" si="94"/>
        <v>-0.13606444095166148</v>
      </c>
      <c r="P28" s="17">
        <f t="shared" si="94"/>
        <v>-0.10492857863027538</v>
      </c>
      <c r="Q28" s="17">
        <f t="shared" si="94"/>
        <v>-0.38977551718620207</v>
      </c>
      <c r="R28" s="17">
        <f t="shared" si="94"/>
        <v>7.9820824227108123E-2</v>
      </c>
      <c r="S28" s="17">
        <f t="shared" ref="S28" si="95">+S7/O7-1</f>
        <v>6.1598847818275848E-2</v>
      </c>
      <c r="T28" s="17">
        <f t="shared" ref="T28" si="96">+T7/P7-1</f>
        <v>6.159884781827607E-2</v>
      </c>
      <c r="U28" s="17">
        <f t="shared" ref="U28" si="97">+U7/Q7-1</f>
        <v>6.1598847818275848E-2</v>
      </c>
      <c r="V28" s="17">
        <f t="shared" ref="V28" si="98">+V7/R7-1</f>
        <v>6.1598847818275848E-2</v>
      </c>
      <c r="W28" s="17">
        <f t="shared" ref="W28" si="99">+W7/S7-1</f>
        <v>6.1598847818275626E-2</v>
      </c>
      <c r="X28" s="17">
        <f t="shared" ref="X28" si="100">+X7/T7-1</f>
        <v>6.1598847818275848E-2</v>
      </c>
      <c r="Y28" s="17">
        <f t="shared" ref="Y28" si="101">+Y7/U7-1</f>
        <v>6.1598847818275848E-2</v>
      </c>
      <c r="Z28" s="17">
        <f t="shared" ref="Z28" si="102">+Z7/V7-1</f>
        <v>6.159884781827607E-2</v>
      </c>
      <c r="AA28" s="17">
        <f t="shared" ref="AA28" si="103">+AA7/W7-1</f>
        <v>6.159884781827607E-2</v>
      </c>
    </row>
    <row r="29" spans="2:30" x14ac:dyDescent="0.15">
      <c r="B29" t="s">
        <v>30</v>
      </c>
      <c r="I29" s="10"/>
      <c r="J29" s="10">
        <f>J3/F3-1</f>
        <v>0.12467260345730735</v>
      </c>
      <c r="K29" s="10">
        <f>K3/G3-1</f>
        <v>0.15890688259109309</v>
      </c>
      <c r="L29" s="10">
        <f>L3/H3-1</f>
        <v>0.165686274509804</v>
      </c>
      <c r="M29" s="10">
        <f t="shared" ref="M29:R29" si="104">M3/I3-1</f>
        <v>0.1466794075489728</v>
      </c>
      <c r="N29" s="17">
        <f t="shared" si="104"/>
        <v>0.12715416860735917</v>
      </c>
      <c r="O29" s="17">
        <f t="shared" si="104"/>
        <v>8.2969432314410563E-2</v>
      </c>
      <c r="P29" s="17">
        <f t="shared" si="104"/>
        <v>5.0714886459209518E-2</v>
      </c>
      <c r="Q29" s="17">
        <f t="shared" si="104"/>
        <v>4.8891458333333526E-2</v>
      </c>
      <c r="R29" s="17">
        <f t="shared" si="104"/>
        <v>4.8024605888429939E-2</v>
      </c>
      <c r="S29" s="17">
        <f t="shared" ref="S29" si="105">S3/O3-1</f>
        <v>3.0339190664062654E-2</v>
      </c>
      <c r="T29" s="17">
        <f t="shared" ref="T29" si="106">T3/P3-1</f>
        <v>3.0339190664062654E-2</v>
      </c>
      <c r="U29" s="17">
        <f t="shared" ref="U29" si="107">U3/Q3-1</f>
        <v>3.0339190664062654E-2</v>
      </c>
      <c r="V29" s="17">
        <f t="shared" ref="V29" si="108">V3/R3-1</f>
        <v>3.0339190664062654E-2</v>
      </c>
      <c r="W29" s="17">
        <f t="shared" ref="W29" si="109">W3/S3-1</f>
        <v>3.0339190664062654E-2</v>
      </c>
      <c r="X29" s="17">
        <f t="shared" ref="X29" si="110">X3/T3-1</f>
        <v>3.0339190664062654E-2</v>
      </c>
      <c r="Y29" s="17">
        <f t="shared" ref="Y29" si="111">Y3/U3-1</f>
        <v>3.0339190664062654E-2</v>
      </c>
      <c r="Z29" s="17">
        <f t="shared" ref="Z29" si="112">Z3/V3-1</f>
        <v>3.0339190664062654E-2</v>
      </c>
      <c r="AA29" s="17">
        <f t="shared" ref="AA29" si="113">AA3/W3-1</f>
        <v>3.0339190664062654E-2</v>
      </c>
    </row>
    <row r="30" spans="2:30" x14ac:dyDescent="0.15">
      <c r="B30" t="s">
        <v>21</v>
      </c>
      <c r="F30" s="10">
        <f t="shared" ref="F30:L30" si="114">+F11/F7</f>
        <v>0.66415032570725063</v>
      </c>
      <c r="G30" s="10">
        <f t="shared" si="114"/>
        <v>0.63223804991805155</v>
      </c>
      <c r="H30" s="10">
        <f t="shared" si="114"/>
        <v>0.6497626481926233</v>
      </c>
      <c r="I30" s="10">
        <f t="shared" si="114"/>
        <v>0.62262612194728684</v>
      </c>
      <c r="J30" s="10">
        <f t="shared" si="114"/>
        <v>0.67133459246308747</v>
      </c>
      <c r="K30" s="10">
        <f t="shared" si="114"/>
        <v>0.57747147339181859</v>
      </c>
      <c r="L30" s="10">
        <f t="shared" si="114"/>
        <v>0.54049937959988437</v>
      </c>
      <c r="M30" s="10">
        <f t="shared" ref="M30:R30" si="115">+M11/M7</f>
        <v>0.55000000000000004</v>
      </c>
      <c r="N30" s="17">
        <f t="shared" si="115"/>
        <v>0.55000000000000004</v>
      </c>
      <c r="O30" s="17">
        <f t="shared" si="115"/>
        <v>0.55000000000000004</v>
      </c>
      <c r="P30" s="17">
        <f t="shared" si="115"/>
        <v>0.55000000000000004</v>
      </c>
      <c r="Q30" s="17">
        <f t="shared" si="115"/>
        <v>0.55000000000000004</v>
      </c>
      <c r="R30" s="17">
        <f t="shared" si="115"/>
        <v>0.55000000000000004</v>
      </c>
      <c r="S30" s="17">
        <f t="shared" ref="S30:AA30" si="116">+S11/S7</f>
        <v>0.55000000000000004</v>
      </c>
      <c r="T30" s="17">
        <f t="shared" si="116"/>
        <v>0.55000000000000004</v>
      </c>
      <c r="U30" s="17">
        <f t="shared" si="116"/>
        <v>0.55000000000000004</v>
      </c>
      <c r="V30" s="17">
        <f t="shared" si="116"/>
        <v>0.55000000000000004</v>
      </c>
      <c r="W30" s="17">
        <f t="shared" si="116"/>
        <v>0.55000000000000004</v>
      </c>
      <c r="X30" s="17">
        <f t="shared" si="116"/>
        <v>0.55000000000000004</v>
      </c>
      <c r="Y30" s="17">
        <f t="shared" si="116"/>
        <v>0.55000000000000004</v>
      </c>
      <c r="Z30" s="17">
        <f t="shared" si="116"/>
        <v>0.55000000000000004</v>
      </c>
      <c r="AA30" s="17">
        <f t="shared" si="116"/>
        <v>0.55000000000000004</v>
      </c>
    </row>
    <row r="33" spans="2:27" x14ac:dyDescent="0.15">
      <c r="B33" t="s">
        <v>44</v>
      </c>
    </row>
    <row r="34" spans="2:27" x14ac:dyDescent="0.15">
      <c r="B34" t="s">
        <v>47</v>
      </c>
      <c r="L34" s="1">
        <v>2680.596</v>
      </c>
      <c r="M34" s="3">
        <f>L34+M23+(M41+M40)</f>
        <v>3069.5245719771774</v>
      </c>
      <c r="N34" s="19">
        <f t="shared" ref="N34:R34" si="117">M34+N23+(N41+N40)</f>
        <v>3136.6351938157804</v>
      </c>
      <c r="O34" s="19">
        <f t="shared" si="117"/>
        <v>3211.9959743559907</v>
      </c>
      <c r="P34" s="19">
        <f t="shared" si="117"/>
        <v>3286.0994653899638</v>
      </c>
      <c r="Q34" s="19">
        <f t="shared" si="117"/>
        <v>3358.9246611159288</v>
      </c>
      <c r="R34" s="19">
        <f t="shared" si="117"/>
        <v>3430.4498456986107</v>
      </c>
      <c r="S34" s="19">
        <f t="shared" ref="S34:AA34" si="118">R34+S23+(S41+S40)</f>
        <v>3500.6525720616173</v>
      </c>
      <c r="T34" s="19">
        <f t="shared" si="118"/>
        <v>3569.5096401303558</v>
      </c>
      <c r="U34" s="19">
        <f t="shared" si="118"/>
        <v>3636.9970745124629</v>
      </c>
      <c r="V34" s="19">
        <f t="shared" si="118"/>
        <v>3703.0901016024286</v>
      </c>
      <c r="W34" s="19">
        <f t="shared" si="118"/>
        <v>3767.7631260967996</v>
      </c>
      <c r="X34" s="19">
        <f t="shared" si="118"/>
        <v>3830.9897069060357</v>
      </c>
      <c r="Y34" s="19">
        <f t="shared" si="118"/>
        <v>3892.7425324487972</v>
      </c>
      <c r="Z34" s="19">
        <f t="shared" si="118"/>
        <v>3952.9933953141035</v>
      </c>
      <c r="AA34" s="19">
        <f t="shared" si="118"/>
        <v>4011.7131662764946</v>
      </c>
    </row>
    <row r="35" spans="2:27" x14ac:dyDescent="0.15">
      <c r="B35" t="s">
        <v>48</v>
      </c>
      <c r="L35" s="1">
        <v>3440.1469999999999</v>
      </c>
      <c r="M35" s="1">
        <f>L35</f>
        <v>3440.1469999999999</v>
      </c>
      <c r="N35" s="16">
        <f t="shared" ref="N35:R35" si="119">M35</f>
        <v>3440.1469999999999</v>
      </c>
      <c r="O35" s="16">
        <f t="shared" si="119"/>
        <v>3440.1469999999999</v>
      </c>
      <c r="P35" s="16">
        <f t="shared" si="119"/>
        <v>3440.1469999999999</v>
      </c>
      <c r="Q35" s="16">
        <f t="shared" si="119"/>
        <v>3440.1469999999999</v>
      </c>
      <c r="R35" s="16">
        <f t="shared" si="119"/>
        <v>3440.1469999999999</v>
      </c>
      <c r="S35" s="16">
        <f t="shared" ref="S35:AA35" si="120">R35</f>
        <v>3440.1469999999999</v>
      </c>
      <c r="T35" s="16">
        <f t="shared" si="120"/>
        <v>3440.1469999999999</v>
      </c>
      <c r="U35" s="16">
        <f t="shared" si="120"/>
        <v>3440.1469999999999</v>
      </c>
      <c r="V35" s="16">
        <f t="shared" si="120"/>
        <v>3440.1469999999999</v>
      </c>
      <c r="W35" s="16">
        <f t="shared" si="120"/>
        <v>3440.1469999999999</v>
      </c>
      <c r="X35" s="16">
        <f t="shared" si="120"/>
        <v>3440.1469999999999</v>
      </c>
      <c r="Y35" s="16">
        <f t="shared" si="120"/>
        <v>3440.1469999999999</v>
      </c>
      <c r="Z35" s="16">
        <f t="shared" si="120"/>
        <v>3440.1469999999999</v>
      </c>
      <c r="AA35" s="16">
        <f t="shared" si="120"/>
        <v>3440.1469999999999</v>
      </c>
    </row>
    <row r="36" spans="2:27" x14ac:dyDescent="0.15">
      <c r="N36" s="16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 spans="2:27" x14ac:dyDescent="0.15">
      <c r="B37" t="s">
        <v>45</v>
      </c>
      <c r="L37" s="1">
        <v>3563.136</v>
      </c>
      <c r="M37" s="1">
        <f>L37</f>
        <v>3563.136</v>
      </c>
      <c r="N37" s="16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 spans="2:27" x14ac:dyDescent="0.15">
      <c r="B38" t="s">
        <v>46</v>
      </c>
      <c r="L38" s="1">
        <v>1683.713</v>
      </c>
      <c r="M38" s="1">
        <f>L38</f>
        <v>1683.713</v>
      </c>
      <c r="N38" s="16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 spans="2:27" x14ac:dyDescent="0.15">
      <c r="N39" s="16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spans="2:27" x14ac:dyDescent="0.15">
      <c r="B40" t="s">
        <v>49</v>
      </c>
      <c r="L40" s="1">
        <v>173.28800000000001</v>
      </c>
      <c r="M40" s="1">
        <f>L40</f>
        <v>173.28800000000001</v>
      </c>
      <c r="N40" s="16">
        <f>M40*0.8</f>
        <v>138.63040000000001</v>
      </c>
      <c r="O40" s="16">
        <f t="shared" ref="O40:R40" si="121">N40</f>
        <v>138.63040000000001</v>
      </c>
      <c r="P40" s="16">
        <f t="shared" si="121"/>
        <v>138.63040000000001</v>
      </c>
      <c r="Q40" s="16">
        <f t="shared" si="121"/>
        <v>138.63040000000001</v>
      </c>
      <c r="R40" s="16">
        <f t="shared" si="121"/>
        <v>138.63040000000001</v>
      </c>
      <c r="S40" s="16">
        <f t="shared" ref="S40:AA40" si="122">R40</f>
        <v>138.63040000000001</v>
      </c>
      <c r="T40" s="16">
        <f t="shared" si="122"/>
        <v>138.63040000000001</v>
      </c>
      <c r="U40" s="16">
        <f t="shared" si="122"/>
        <v>138.63040000000001</v>
      </c>
      <c r="V40" s="16">
        <f t="shared" si="122"/>
        <v>138.63040000000001</v>
      </c>
      <c r="W40" s="16">
        <f t="shared" si="122"/>
        <v>138.63040000000001</v>
      </c>
      <c r="X40" s="16">
        <f t="shared" si="122"/>
        <v>138.63040000000001</v>
      </c>
      <c r="Y40" s="16">
        <f t="shared" si="122"/>
        <v>138.63040000000001</v>
      </c>
      <c r="Z40" s="16">
        <f t="shared" si="122"/>
        <v>138.63040000000001</v>
      </c>
      <c r="AA40" s="16">
        <f t="shared" si="122"/>
        <v>138.63040000000001</v>
      </c>
    </row>
    <row r="41" spans="2:27" x14ac:dyDescent="0.15">
      <c r="B41" t="s">
        <v>50</v>
      </c>
      <c r="L41" s="1">
        <v>282.19</v>
      </c>
      <c r="M41" s="1">
        <f>L41</f>
        <v>282.19</v>
      </c>
      <c r="N41" s="16">
        <f>M41*0.6</f>
        <v>169.31399999999999</v>
      </c>
      <c r="O41" s="16">
        <f t="shared" ref="O41:R41" si="123">N41</f>
        <v>169.31399999999999</v>
      </c>
      <c r="P41" s="16">
        <f t="shared" si="123"/>
        <v>169.31399999999999</v>
      </c>
      <c r="Q41" s="16">
        <f t="shared" si="123"/>
        <v>169.31399999999999</v>
      </c>
      <c r="R41" s="16">
        <f t="shared" si="123"/>
        <v>169.31399999999999</v>
      </c>
      <c r="S41" s="16">
        <f t="shared" ref="S41:AA41" si="124">R41</f>
        <v>169.31399999999999</v>
      </c>
      <c r="T41" s="16">
        <f t="shared" si="124"/>
        <v>169.31399999999999</v>
      </c>
      <c r="U41" s="16">
        <f t="shared" si="124"/>
        <v>169.31399999999999</v>
      </c>
      <c r="V41" s="16">
        <f t="shared" si="124"/>
        <v>169.31399999999999</v>
      </c>
      <c r="W41" s="16">
        <f t="shared" si="124"/>
        <v>169.31399999999999</v>
      </c>
      <c r="X41" s="16">
        <f t="shared" si="124"/>
        <v>169.31399999999999</v>
      </c>
      <c r="Y41" s="16">
        <f t="shared" si="124"/>
        <v>169.31399999999999</v>
      </c>
      <c r="Z41" s="16">
        <f t="shared" si="124"/>
        <v>169.31399999999999</v>
      </c>
      <c r="AA41" s="16">
        <f t="shared" si="124"/>
        <v>169.31399999999999</v>
      </c>
    </row>
    <row r="44" spans="2:27" x14ac:dyDescent="0.15">
      <c r="B44" t="s">
        <v>59</v>
      </c>
      <c r="N44" s="15">
        <f>N23+N40+N41</f>
        <v>67.11062183860318</v>
      </c>
      <c r="O44" s="15">
        <f t="shared" ref="O44:AA44" si="125">O23+O40+O41</f>
        <v>75.3607805402103</v>
      </c>
      <c r="P44" s="15">
        <f t="shared" si="125"/>
        <v>74.103491033973256</v>
      </c>
      <c r="Q44" s="15">
        <f t="shared" si="125"/>
        <v>72.82519572596496</v>
      </c>
      <c r="R44" s="15">
        <f t="shared" si="125"/>
        <v>71.525184582682328</v>
      </c>
      <c r="S44" s="15">
        <f t="shared" si="125"/>
        <v>70.20272636300686</v>
      </c>
      <c r="T44" s="15">
        <f t="shared" si="125"/>
        <v>68.857068068738414</v>
      </c>
      <c r="U44" s="15">
        <f t="shared" si="125"/>
        <v>67.487434382107068</v>
      </c>
      <c r="V44" s="15">
        <f t="shared" si="125"/>
        <v>66.093027089966114</v>
      </c>
      <c r="W44" s="15">
        <f t="shared" si="125"/>
        <v>64.673024494370992</v>
      </c>
      <c r="X44" s="15">
        <f t="shared" si="125"/>
        <v>63.226580809236197</v>
      </c>
      <c r="Y44" s="15">
        <f t="shared" si="125"/>
        <v>61.752825542761371</v>
      </c>
      <c r="Z44" s="15">
        <f t="shared" si="125"/>
        <v>60.25086286530663</v>
      </c>
      <c r="AA44" s="15">
        <f t="shared" si="125"/>
        <v>58.719770962391266</v>
      </c>
    </row>
  </sheetData>
  <hyperlinks>
    <hyperlink ref="A1" location="Main!A1" display="Main" xr:uid="{35BC52BD-A4F9-43E1-955B-007F061693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evan domingos - 2023</cp:lastModifiedBy>
  <dcterms:created xsi:type="dcterms:W3CDTF">2022-07-22T11:47:08Z</dcterms:created>
  <dcterms:modified xsi:type="dcterms:W3CDTF">2023-01-04T18:07:20Z</dcterms:modified>
</cp:coreProperties>
</file>