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van/Desktop/WhiteSky/Models/"/>
    </mc:Choice>
  </mc:AlternateContent>
  <xr:revisionPtr revIDLastSave="0" documentId="13_ncr:1_{D5A58CD3-A713-0A46-BB3B-068A7BB66DEA}" xr6:coauthVersionLast="47" xr6:coauthVersionMax="47" xr10:uidLastSave="{00000000-0000-0000-0000-000000000000}"/>
  <bookViews>
    <workbookView xWindow="0" yWindow="760" windowWidth="30240" windowHeight="18880" activeTab="3" xr2:uid="{5A812C0B-E8F7-EB48-972C-06D3E0AF6D61}"/>
  </bookViews>
  <sheets>
    <sheet name="Cover" sheetId="6" r:id="rId1"/>
    <sheet name="Summary" sheetId="7" r:id="rId2"/>
    <sheet name="Revenue Build" sheetId="4" r:id="rId3"/>
    <sheet name="P&amp;L GAAP" sheetId="1" r:id="rId4"/>
    <sheet name="BS" sheetId="3" r:id="rId5"/>
    <sheet name="CFS" sheetId="2" r:id="rId6"/>
    <sheet name="Estimate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8" i="1" l="1"/>
  <c r="O18" i="1"/>
  <c r="P18" i="1"/>
  <c r="Q18" i="1"/>
  <c r="R18" i="1"/>
  <c r="S18" i="1"/>
  <c r="T18" i="1"/>
  <c r="U18" i="1"/>
  <c r="V18" i="1"/>
  <c r="W18" i="1"/>
  <c r="M18" i="1"/>
  <c r="M13" i="1"/>
  <c r="T13" i="1"/>
  <c r="T15" i="1" s="1"/>
  <c r="U13" i="1"/>
  <c r="N9" i="1"/>
  <c r="N13" i="1" s="1"/>
  <c r="O9" i="1"/>
  <c r="O13" i="1" s="1"/>
  <c r="P9" i="1"/>
  <c r="P13" i="1" s="1"/>
  <c r="Q9" i="1"/>
  <c r="Q13" i="1" s="1"/>
  <c r="R9" i="1"/>
  <c r="R13" i="1" s="1"/>
  <c r="S9" i="1"/>
  <c r="S13" i="1" s="1"/>
  <c r="T9" i="1"/>
  <c r="U9" i="1"/>
  <c r="V9" i="1"/>
  <c r="V13" i="1" s="1"/>
  <c r="W9" i="1"/>
  <c r="W13" i="1" s="1"/>
  <c r="N10" i="1"/>
  <c r="O10" i="1"/>
  <c r="P10" i="1"/>
  <c r="Q10" i="1"/>
  <c r="R10" i="1"/>
  <c r="S10" i="1"/>
  <c r="T10" i="1"/>
  <c r="U10" i="1"/>
  <c r="V10" i="1"/>
  <c r="W10" i="1"/>
  <c r="N11" i="1"/>
  <c r="O11" i="1"/>
  <c r="P11" i="1"/>
  <c r="Q11" i="1"/>
  <c r="R11" i="1"/>
  <c r="S11" i="1"/>
  <c r="T11" i="1"/>
  <c r="U11" i="1"/>
  <c r="V11" i="1"/>
  <c r="W11" i="1"/>
  <c r="M11" i="1"/>
  <c r="M10" i="1"/>
  <c r="M9" i="1"/>
  <c r="T28" i="1"/>
  <c r="U28" i="1"/>
  <c r="N29" i="1"/>
  <c r="N28" i="1" s="1"/>
  <c r="M29" i="1"/>
  <c r="M28" i="1" s="1"/>
  <c r="E61" i="1"/>
  <c r="G61" i="1"/>
  <c r="K61" i="1"/>
  <c r="L61" i="1"/>
  <c r="K99" i="1"/>
  <c r="L75" i="1"/>
  <c r="L100" i="1" s="1"/>
  <c r="K75" i="1"/>
  <c r="K100" i="1" s="1"/>
  <c r="J75" i="1"/>
  <c r="J100" i="1" s="1"/>
  <c r="I75" i="1"/>
  <c r="I100" i="1" s="1"/>
  <c r="H75" i="1"/>
  <c r="H100" i="1" s="1"/>
  <c r="I78" i="1"/>
  <c r="I99" i="1" s="1"/>
  <c r="J78" i="1"/>
  <c r="J99" i="1" s="1"/>
  <c r="K78" i="1"/>
  <c r="L78" i="1"/>
  <c r="L99" i="1" s="1"/>
  <c r="H78" i="1"/>
  <c r="H99" i="1" s="1"/>
  <c r="M41" i="7"/>
  <c r="N41" i="7"/>
  <c r="O41" i="7"/>
  <c r="P41" i="7"/>
  <c r="Q41" i="7"/>
  <c r="R41" i="7"/>
  <c r="S41" i="7"/>
  <c r="T41" i="7"/>
  <c r="U41" i="7"/>
  <c r="L42" i="7"/>
  <c r="M42" i="7"/>
  <c r="N42" i="7"/>
  <c r="O42" i="7"/>
  <c r="P42" i="7"/>
  <c r="Q42" i="7"/>
  <c r="R42" i="7"/>
  <c r="S42" i="7"/>
  <c r="T42" i="7"/>
  <c r="U42" i="7"/>
  <c r="K41" i="7"/>
  <c r="L41" i="7"/>
  <c r="K42" i="7"/>
  <c r="E83" i="1"/>
  <c r="F83" i="1"/>
  <c r="G83" i="1"/>
  <c r="H83" i="1"/>
  <c r="I83" i="1"/>
  <c r="J83" i="1"/>
  <c r="K83" i="1"/>
  <c r="L83" i="1"/>
  <c r="E80" i="1"/>
  <c r="F80" i="1"/>
  <c r="G80" i="1"/>
  <c r="H80" i="1"/>
  <c r="I80" i="1"/>
  <c r="J80" i="1"/>
  <c r="K80" i="1"/>
  <c r="L80" i="1"/>
  <c r="L56" i="1"/>
  <c r="L63" i="1" s="1"/>
  <c r="L67" i="1" s="1"/>
  <c r="J37" i="7" s="1"/>
  <c r="K56" i="1"/>
  <c r="K59" i="1" s="1"/>
  <c r="J56" i="1"/>
  <c r="J59" i="1" s="1"/>
  <c r="I56" i="1"/>
  <c r="I59" i="1" s="1"/>
  <c r="H56" i="1"/>
  <c r="H59" i="1" s="1"/>
  <c r="G56" i="1"/>
  <c r="G59" i="1" s="1"/>
  <c r="F56" i="1"/>
  <c r="F63" i="1" s="1"/>
  <c r="F67" i="1" s="1"/>
  <c r="D37" i="7" s="1"/>
  <c r="E56" i="1"/>
  <c r="E63" i="1" s="1"/>
  <c r="E67" i="1" s="1"/>
  <c r="C37" i="7" s="1"/>
  <c r="C34" i="7"/>
  <c r="D34" i="7"/>
  <c r="E34" i="7"/>
  <c r="F34" i="7"/>
  <c r="G34" i="7"/>
  <c r="H34" i="7"/>
  <c r="I34" i="7"/>
  <c r="J34" i="7"/>
  <c r="B34" i="7"/>
  <c r="C26" i="7"/>
  <c r="D26" i="7"/>
  <c r="E26" i="7"/>
  <c r="F26" i="7"/>
  <c r="G26" i="7"/>
  <c r="H26" i="7"/>
  <c r="I26" i="7"/>
  <c r="B26" i="7"/>
  <c r="C16" i="7"/>
  <c r="D16" i="7"/>
  <c r="E16" i="7"/>
  <c r="F16" i="7"/>
  <c r="J21" i="7" s="1"/>
  <c r="G16" i="7"/>
  <c r="H16" i="7"/>
  <c r="I16" i="7"/>
  <c r="J16" i="7"/>
  <c r="C17" i="7"/>
  <c r="D17" i="7"/>
  <c r="E17" i="7"/>
  <c r="F17" i="7"/>
  <c r="F22" i="7" s="1"/>
  <c r="G17" i="7"/>
  <c r="H17" i="7"/>
  <c r="I17" i="7"/>
  <c r="J17" i="7"/>
  <c r="C18" i="7"/>
  <c r="D18" i="7"/>
  <c r="E18" i="7"/>
  <c r="F18" i="7"/>
  <c r="J23" i="7" s="1"/>
  <c r="G18" i="7"/>
  <c r="H18" i="7"/>
  <c r="I18" i="7"/>
  <c r="J18" i="7"/>
  <c r="B18" i="7"/>
  <c r="B17" i="7"/>
  <c r="B16" i="7"/>
  <c r="C15" i="7"/>
  <c r="D15" i="7"/>
  <c r="E15" i="7"/>
  <c r="F15" i="7"/>
  <c r="G15" i="7"/>
  <c r="H15" i="7"/>
  <c r="I15" i="7"/>
  <c r="J15" i="7"/>
  <c r="C42" i="7"/>
  <c r="D42" i="7"/>
  <c r="E42" i="7"/>
  <c r="F42" i="7"/>
  <c r="G42" i="7"/>
  <c r="H42" i="7"/>
  <c r="I42" i="7"/>
  <c r="J42" i="7"/>
  <c r="C41" i="7"/>
  <c r="D41" i="7"/>
  <c r="E41" i="7"/>
  <c r="F41" i="7"/>
  <c r="G41" i="7"/>
  <c r="H41" i="7"/>
  <c r="I41" i="7"/>
  <c r="J41" i="7"/>
  <c r="B41" i="7"/>
  <c r="B42" i="7"/>
  <c r="B15" i="7"/>
  <c r="C91" i="1"/>
  <c r="D91" i="1"/>
  <c r="E91" i="1"/>
  <c r="F91" i="1"/>
  <c r="G91" i="1"/>
  <c r="H91" i="1"/>
  <c r="I91" i="1"/>
  <c r="J91" i="1"/>
  <c r="K91" i="1"/>
  <c r="L91" i="1"/>
  <c r="B91" i="1"/>
  <c r="G47" i="4"/>
  <c r="H47" i="4"/>
  <c r="I47" i="4"/>
  <c r="J47" i="4"/>
  <c r="G48" i="4"/>
  <c r="H48" i="4"/>
  <c r="I48" i="4"/>
  <c r="J48" i="4"/>
  <c r="G49" i="4"/>
  <c r="H49" i="4"/>
  <c r="I49" i="4"/>
  <c r="J49" i="4"/>
  <c r="F47" i="4"/>
  <c r="F48" i="4"/>
  <c r="F49" i="4"/>
  <c r="R37" i="1" l="1"/>
  <c r="R15" i="1"/>
  <c r="R28" i="1"/>
  <c r="R14" i="1"/>
  <c r="P31" i="1"/>
  <c r="P34" i="1" s="1"/>
  <c r="P35" i="1" s="1"/>
  <c r="P15" i="1"/>
  <c r="P28" i="1"/>
  <c r="Q37" i="1"/>
  <c r="Q31" i="1"/>
  <c r="Q28" i="1"/>
  <c r="Q14" i="1"/>
  <c r="Q15" i="1"/>
  <c r="W31" i="1"/>
  <c r="W14" i="1"/>
  <c r="W15" i="1"/>
  <c r="W28" i="1"/>
  <c r="W34" i="1" s="1"/>
  <c r="W35" i="1" s="1"/>
  <c r="O37" i="1"/>
  <c r="O28" i="1"/>
  <c r="O15" i="1"/>
  <c r="N34" i="1"/>
  <c r="N40" i="1" s="1"/>
  <c r="N41" i="1" s="1"/>
  <c r="U14" i="1"/>
  <c r="N31" i="1"/>
  <c r="N37" i="1"/>
  <c r="N15" i="1"/>
  <c r="V14" i="1"/>
  <c r="V37" i="1"/>
  <c r="V31" i="1"/>
  <c r="V15" i="1"/>
  <c r="V28" i="1"/>
  <c r="S37" i="1"/>
  <c r="S15" i="1"/>
  <c r="S31" i="1"/>
  <c r="S28" i="1"/>
  <c r="S34" i="1" s="1"/>
  <c r="S14" i="1"/>
  <c r="T37" i="1"/>
  <c r="F61" i="1"/>
  <c r="T14" i="1"/>
  <c r="M37" i="1"/>
  <c r="U31" i="1"/>
  <c r="T31" i="1"/>
  <c r="T34" i="1" s="1"/>
  <c r="T40" i="1" s="1"/>
  <c r="T41" i="1" s="1"/>
  <c r="U15" i="1"/>
  <c r="I61" i="1"/>
  <c r="M31" i="1"/>
  <c r="M34" i="1" s="1"/>
  <c r="H61" i="1"/>
  <c r="U37" i="1"/>
  <c r="J61" i="1"/>
  <c r="P37" i="1"/>
  <c r="P40" i="1" s="1"/>
  <c r="P41" i="1" s="1"/>
  <c r="W37" i="1"/>
  <c r="R31" i="1"/>
  <c r="R34" i="1" s="1"/>
  <c r="O31" i="1"/>
  <c r="O34" i="1" s="1"/>
  <c r="U34" i="1"/>
  <c r="U40" i="1" s="1"/>
  <c r="U41" i="1" s="1"/>
  <c r="U35" i="1"/>
  <c r="L96" i="1"/>
  <c r="K97" i="1"/>
  <c r="J96" i="1"/>
  <c r="K96" i="1"/>
  <c r="L97" i="1"/>
  <c r="J81" i="1"/>
  <c r="J84" i="1"/>
  <c r="K81" i="1"/>
  <c r="J97" i="1"/>
  <c r="L81" i="1"/>
  <c r="G63" i="1"/>
  <c r="G67" i="1" s="1"/>
  <c r="E37" i="7" s="1"/>
  <c r="H63" i="1"/>
  <c r="H67" i="1" s="1"/>
  <c r="L95" i="1" s="1"/>
  <c r="K84" i="1"/>
  <c r="L84" i="1"/>
  <c r="I63" i="1"/>
  <c r="I67" i="1" s="1"/>
  <c r="G37" i="7" s="1"/>
  <c r="J63" i="1"/>
  <c r="J67" i="1" s="1"/>
  <c r="K63" i="1"/>
  <c r="K67" i="1" s="1"/>
  <c r="L59" i="1"/>
  <c r="F30" i="7"/>
  <c r="I30" i="7"/>
  <c r="H30" i="7"/>
  <c r="I20" i="7"/>
  <c r="G30" i="7"/>
  <c r="H20" i="7"/>
  <c r="G23" i="7"/>
  <c r="G21" i="7"/>
  <c r="G20" i="7"/>
  <c r="F23" i="7"/>
  <c r="J22" i="7"/>
  <c r="J20" i="7"/>
  <c r="I23" i="7"/>
  <c r="I22" i="7"/>
  <c r="I21" i="7"/>
  <c r="F21" i="7"/>
  <c r="H23" i="7"/>
  <c r="H22" i="7"/>
  <c r="H21" i="7"/>
  <c r="G22" i="7"/>
  <c r="F20" i="7"/>
  <c r="M40" i="1" l="1"/>
  <c r="M41" i="1" s="1"/>
  <c r="M35" i="1"/>
  <c r="S35" i="1"/>
  <c r="S40" i="1"/>
  <c r="S41" i="1" s="1"/>
  <c r="Q34" i="1"/>
  <c r="N35" i="1"/>
  <c r="V34" i="1"/>
  <c r="R40" i="1"/>
  <c r="R41" i="1" s="1"/>
  <c r="R35" i="1"/>
  <c r="O40" i="1"/>
  <c r="O41" i="1" s="1"/>
  <c r="O35" i="1"/>
  <c r="T35" i="1"/>
  <c r="W40" i="1"/>
  <c r="W41" i="1" s="1"/>
  <c r="H37" i="7"/>
  <c r="H39" i="7" s="1"/>
  <c r="J95" i="1"/>
  <c r="I37" i="7"/>
  <c r="I39" i="7" s="1"/>
  <c r="K95" i="1"/>
  <c r="F37" i="7"/>
  <c r="J39" i="7" s="1"/>
  <c r="V35" i="1" l="1"/>
  <c r="V40" i="1"/>
  <c r="V41" i="1" s="1"/>
  <c r="Q40" i="1"/>
  <c r="Q41" i="1" s="1"/>
  <c r="Q35" i="1"/>
  <c r="N14" i="7"/>
  <c r="R14" i="7" s="1"/>
  <c r="M14" i="7"/>
  <c r="Q14" i="7" s="1"/>
  <c r="U14" i="7" s="1"/>
  <c r="L14" i="7"/>
  <c r="P14" i="7" s="1"/>
  <c r="T14" i="7" s="1"/>
  <c r="K14" i="7"/>
  <c r="O14" i="7" s="1"/>
  <c r="S14" i="7" s="1"/>
  <c r="J37" i="4"/>
  <c r="I37" i="4"/>
  <c r="H37" i="4"/>
  <c r="G37" i="4"/>
  <c r="F37" i="4"/>
  <c r="J33" i="4"/>
  <c r="H33" i="4"/>
  <c r="G33" i="4"/>
  <c r="F33" i="4"/>
  <c r="J29" i="4"/>
  <c r="H29" i="4"/>
  <c r="G29" i="4"/>
  <c r="F29" i="4"/>
  <c r="J19" i="4"/>
  <c r="H19" i="4"/>
  <c r="G19" i="4"/>
  <c r="F19" i="4"/>
  <c r="L25" i="2"/>
  <c r="J25" i="2"/>
  <c r="L13" i="2"/>
  <c r="C11" i="3"/>
  <c r="D11" i="3"/>
  <c r="E11" i="3"/>
  <c r="F11" i="3"/>
  <c r="G11" i="3"/>
  <c r="H11" i="3"/>
  <c r="I11" i="3"/>
  <c r="J11" i="3"/>
  <c r="K11" i="3"/>
  <c r="L11" i="3"/>
  <c r="AE71" i="1"/>
  <c r="AD71" i="1"/>
  <c r="AC71" i="1"/>
  <c r="AB71" i="1"/>
  <c r="AE69" i="1"/>
  <c r="AD69" i="1"/>
  <c r="AC69" i="1"/>
  <c r="AB69" i="1"/>
  <c r="AA69" i="1"/>
  <c r="AE67" i="1"/>
  <c r="AD67" i="1"/>
  <c r="AC67" i="1"/>
  <c r="AB67" i="1"/>
  <c r="AE65" i="1"/>
  <c r="AD65" i="1"/>
  <c r="AC65" i="1"/>
  <c r="AB65" i="1"/>
  <c r="AA65" i="1"/>
  <c r="AE63" i="1"/>
  <c r="AD63" i="1"/>
  <c r="AC63" i="1"/>
  <c r="AB63" i="1"/>
  <c r="AE61" i="1"/>
  <c r="AD61" i="1"/>
  <c r="AC61" i="1"/>
  <c r="AB61" i="1"/>
  <c r="AE58" i="1"/>
  <c r="AD58" i="1"/>
  <c r="AC58" i="1"/>
  <c r="AB58" i="1"/>
  <c r="AA58" i="1"/>
  <c r="AE56" i="1"/>
  <c r="AD56" i="1"/>
  <c r="AC56" i="1"/>
  <c r="AB56" i="1"/>
  <c r="AE54" i="1"/>
  <c r="AD54" i="1"/>
  <c r="AC54" i="1"/>
  <c r="AB54" i="1"/>
  <c r="AA54" i="1"/>
  <c r="AE53" i="1"/>
  <c r="AD53" i="1"/>
  <c r="AC53" i="1"/>
  <c r="AB53" i="1"/>
  <c r="AA53" i="1"/>
  <c r="AE51" i="1"/>
  <c r="AD51" i="1"/>
  <c r="AC51" i="1"/>
  <c r="AB51" i="1"/>
  <c r="AE49" i="1"/>
  <c r="AD49" i="1"/>
  <c r="AC49" i="1"/>
  <c r="AB49" i="1"/>
  <c r="AA49" i="1"/>
  <c r="AE48" i="1"/>
  <c r="AD48" i="1"/>
  <c r="AC48" i="1"/>
  <c r="AB48" i="1"/>
  <c r="AA48" i="1"/>
  <c r="AE47" i="1"/>
  <c r="AD47" i="1"/>
  <c r="AC47" i="1"/>
  <c r="AB47" i="1"/>
  <c r="AA47" i="1"/>
  <c r="AE43" i="1"/>
  <c r="AD43" i="1"/>
  <c r="AE40" i="1"/>
  <c r="AD40" i="1"/>
  <c r="AB40" i="1"/>
  <c r="AA40" i="1"/>
  <c r="AE37" i="1"/>
  <c r="AD37" i="1"/>
  <c r="AC37" i="1"/>
  <c r="AB37" i="1"/>
  <c r="AA37" i="1"/>
  <c r="AE34" i="1"/>
  <c r="AD34" i="1"/>
  <c r="AE31" i="1"/>
  <c r="AD31" i="1"/>
  <c r="AC31" i="1"/>
  <c r="AB31" i="1"/>
  <c r="AA31" i="1"/>
  <c r="AE28" i="1"/>
  <c r="AD28" i="1"/>
  <c r="AC28" i="1"/>
  <c r="AB28" i="1"/>
  <c r="AA28" i="1"/>
  <c r="AE26" i="1"/>
  <c r="AD26" i="1"/>
  <c r="AC26" i="1"/>
  <c r="AB26" i="1"/>
  <c r="AA26" i="1"/>
  <c r="AE22" i="1"/>
  <c r="AD22" i="1"/>
  <c r="AE18" i="1"/>
  <c r="AD18" i="1"/>
  <c r="AC18" i="1"/>
  <c r="AB18" i="1"/>
  <c r="AA18" i="1"/>
  <c r="AE13" i="1"/>
  <c r="AD13" i="1"/>
  <c r="AE11" i="1"/>
  <c r="AD11" i="1"/>
  <c r="AE10" i="1"/>
  <c r="AD10" i="1"/>
  <c r="AE9" i="1"/>
  <c r="AD9" i="1"/>
  <c r="C43" i="1"/>
  <c r="B43" i="1"/>
  <c r="C34" i="1"/>
  <c r="D34" i="1"/>
  <c r="E34" i="1"/>
  <c r="F34" i="1"/>
  <c r="G34" i="1"/>
  <c r="H34" i="1"/>
  <c r="I34" i="1"/>
  <c r="J34" i="1"/>
  <c r="K34" i="1"/>
  <c r="L34" i="1"/>
  <c r="L40" i="1" s="1"/>
  <c r="B34" i="1"/>
  <c r="D10" i="1"/>
  <c r="E10" i="1"/>
  <c r="F10" i="1"/>
  <c r="H10" i="1"/>
  <c r="D11" i="1"/>
  <c r="E11" i="1"/>
  <c r="F11" i="1"/>
  <c r="H11" i="1"/>
  <c r="I10" i="1"/>
  <c r="J10" i="1"/>
  <c r="I11" i="1"/>
  <c r="J11" i="1"/>
  <c r="B13" i="1"/>
  <c r="B19" i="1" s="1"/>
  <c r="C13" i="1"/>
  <c r="C41" i="1" s="1"/>
  <c r="C92" i="1" s="1"/>
  <c r="L10" i="1"/>
  <c r="AC10" i="1" s="1"/>
  <c r="L11" i="1"/>
  <c r="AC11" i="1" s="1"/>
  <c r="G15" i="4"/>
  <c r="H15" i="4"/>
  <c r="J15" i="4"/>
  <c r="F15" i="4"/>
  <c r="I36" i="4"/>
  <c r="K11" i="1" s="1"/>
  <c r="I32" i="4"/>
  <c r="I28" i="4"/>
  <c r="I18" i="4"/>
  <c r="I19" i="4" s="1"/>
  <c r="I14" i="4"/>
  <c r="E36" i="4"/>
  <c r="G11" i="1" s="1"/>
  <c r="E32" i="4"/>
  <c r="E28" i="4"/>
  <c r="G10" i="1" s="1"/>
  <c r="E18" i="4"/>
  <c r="E14" i="4"/>
  <c r="Z40" i="4"/>
  <c r="Y40" i="4"/>
  <c r="Y22" i="4"/>
  <c r="B40" i="4"/>
  <c r="C40" i="4"/>
  <c r="B22" i="4"/>
  <c r="D9" i="1" s="1"/>
  <c r="C22" i="4"/>
  <c r="E9" i="1" s="1"/>
  <c r="G40" i="4"/>
  <c r="G50" i="4" s="1"/>
  <c r="F40" i="4"/>
  <c r="F50" i="4" s="1"/>
  <c r="D40" i="4"/>
  <c r="D22" i="4"/>
  <c r="F9" i="1" s="1"/>
  <c r="G22" i="4"/>
  <c r="I9" i="1" s="1"/>
  <c r="H22" i="4"/>
  <c r="F22" i="4"/>
  <c r="H9" i="1" s="1"/>
  <c r="J22" i="4"/>
  <c r="L9" i="1" s="1"/>
  <c r="AC9" i="1" s="1"/>
  <c r="H40" i="4"/>
  <c r="J40" i="4"/>
  <c r="J50" i="4" s="1"/>
  <c r="K40" i="4"/>
  <c r="L40" i="4"/>
  <c r="K8" i="5"/>
  <c r="O8" i="5" s="1"/>
  <c r="J8" i="5"/>
  <c r="N8" i="5" s="1"/>
  <c r="R8" i="5" s="1"/>
  <c r="I8" i="5"/>
  <c r="M8" i="5" s="1"/>
  <c r="Q8" i="5" s="1"/>
  <c r="H8" i="5"/>
  <c r="L8" i="5" s="1"/>
  <c r="P8" i="5" s="1"/>
  <c r="A5" i="5" a="1"/>
  <c r="A5" i="5" s="1"/>
  <c r="N6" i="4"/>
  <c r="R6" i="4" s="1"/>
  <c r="M6" i="4"/>
  <c r="Q6" i="4" s="1"/>
  <c r="U6" i="4" s="1"/>
  <c r="L6" i="4"/>
  <c r="P6" i="4" s="1"/>
  <c r="T6" i="4" s="1"/>
  <c r="K6" i="4"/>
  <c r="O6" i="4" s="1"/>
  <c r="S6" i="4" s="1"/>
  <c r="P7" i="2"/>
  <c r="T7" i="2" s="1"/>
  <c r="O7" i="2"/>
  <c r="S7" i="2" s="1"/>
  <c r="W7" i="2" s="1"/>
  <c r="N7" i="2"/>
  <c r="R7" i="2" s="1"/>
  <c r="V7" i="2" s="1"/>
  <c r="M7" i="2"/>
  <c r="Q7" i="2" s="1"/>
  <c r="U7" i="2" s="1"/>
  <c r="P7" i="1"/>
  <c r="T7" i="1" s="1"/>
  <c r="O7" i="1"/>
  <c r="S7" i="1" s="1"/>
  <c r="W7" i="1" s="1"/>
  <c r="N7" i="1"/>
  <c r="R7" i="1" s="1"/>
  <c r="V7" i="1" s="1"/>
  <c r="M7" i="1"/>
  <c r="Q7" i="1" s="1"/>
  <c r="U7" i="1" s="1"/>
  <c r="N7" i="3"/>
  <c r="R7" i="3" s="1"/>
  <c r="V7" i="3" s="1"/>
  <c r="O7" i="3"/>
  <c r="S7" i="3" s="1"/>
  <c r="W7" i="3" s="1"/>
  <c r="P7" i="3"/>
  <c r="T7" i="3" s="1"/>
  <c r="M7" i="3"/>
  <c r="Q7" i="3" s="1"/>
  <c r="U7" i="3" s="1"/>
  <c r="AC40" i="1" l="1"/>
  <c r="J26" i="7"/>
  <c r="J30" i="7" s="1"/>
  <c r="H50" i="4"/>
  <c r="J41" i="4"/>
  <c r="G41" i="4"/>
  <c r="I33" i="4"/>
  <c r="F41" i="4"/>
  <c r="G42" i="4"/>
  <c r="F42" i="4"/>
  <c r="J23" i="4"/>
  <c r="J9" i="1"/>
  <c r="J13" i="1" s="1"/>
  <c r="F23" i="4"/>
  <c r="G23" i="4"/>
  <c r="I29" i="4"/>
  <c r="H23" i="4"/>
  <c r="G24" i="4"/>
  <c r="H41" i="4"/>
  <c r="AA34" i="1"/>
  <c r="AA11" i="1"/>
  <c r="AB34" i="1"/>
  <c r="AA10" i="1"/>
  <c r="AB11" i="1"/>
  <c r="AC34" i="1"/>
  <c r="I15" i="4"/>
  <c r="K10" i="1"/>
  <c r="AB10" i="1" s="1"/>
  <c r="I22" i="4"/>
  <c r="B35" i="1"/>
  <c r="C35" i="1"/>
  <c r="B45" i="1"/>
  <c r="B93" i="1" s="1"/>
  <c r="C45" i="1"/>
  <c r="C93" i="1" s="1"/>
  <c r="B29" i="1"/>
  <c r="B38" i="1"/>
  <c r="C29" i="1"/>
  <c r="C38" i="1"/>
  <c r="B32" i="1"/>
  <c r="C32" i="1"/>
  <c r="B41" i="1"/>
  <c r="B92" i="1" s="1"/>
  <c r="F13" i="1"/>
  <c r="C15" i="1"/>
  <c r="E13" i="1"/>
  <c r="E72" i="1" s="1"/>
  <c r="D13" i="1"/>
  <c r="C19" i="1"/>
  <c r="H13" i="1"/>
  <c r="H72" i="1" s="1"/>
  <c r="I13" i="1"/>
  <c r="L13" i="1"/>
  <c r="E22" i="4"/>
  <c r="J44" i="4"/>
  <c r="E40" i="4"/>
  <c r="D44" i="4"/>
  <c r="H44" i="4"/>
  <c r="H42" i="4" s="1"/>
  <c r="G44" i="4"/>
  <c r="I40" i="4"/>
  <c r="F44" i="4"/>
  <c r="C44" i="4"/>
  <c r="C42" i="4" s="1"/>
  <c r="B44" i="4"/>
  <c r="I72" i="1" l="1"/>
  <c r="M14" i="1"/>
  <c r="L72" i="1"/>
  <c r="P14" i="1"/>
  <c r="M15" i="1"/>
  <c r="J72" i="1"/>
  <c r="N14" i="1"/>
  <c r="F89" i="1"/>
  <c r="F72" i="1"/>
  <c r="AC13" i="1"/>
  <c r="L89" i="1"/>
  <c r="I89" i="1"/>
  <c r="H89" i="1"/>
  <c r="J35" i="1"/>
  <c r="J89" i="1"/>
  <c r="I50" i="4"/>
  <c r="K9" i="1"/>
  <c r="AB9" i="1" s="1"/>
  <c r="I23" i="4"/>
  <c r="H24" i="4"/>
  <c r="J30" i="4"/>
  <c r="J20" i="4"/>
  <c r="J16" i="4"/>
  <c r="J34" i="4"/>
  <c r="J38" i="4"/>
  <c r="J42" i="4"/>
  <c r="J24" i="4"/>
  <c r="G9" i="1"/>
  <c r="G13" i="1" s="1"/>
  <c r="H30" i="4"/>
  <c r="H34" i="4"/>
  <c r="H38" i="4"/>
  <c r="H20" i="4"/>
  <c r="H16" i="4"/>
  <c r="D34" i="4"/>
  <c r="D38" i="4"/>
  <c r="D20" i="4"/>
  <c r="D16" i="4"/>
  <c r="D42" i="4"/>
  <c r="D30" i="4"/>
  <c r="B30" i="4"/>
  <c r="B34" i="4"/>
  <c r="B16" i="4"/>
  <c r="B38" i="4"/>
  <c r="B20" i="4"/>
  <c r="B42" i="4"/>
  <c r="D24" i="4"/>
  <c r="C34" i="4"/>
  <c r="C16" i="4"/>
  <c r="C38" i="4"/>
  <c r="C20" i="4"/>
  <c r="C24" i="4"/>
  <c r="C30" i="4"/>
  <c r="F38" i="4"/>
  <c r="F20" i="4"/>
  <c r="F30" i="4"/>
  <c r="F16" i="4"/>
  <c r="F34" i="4"/>
  <c r="I44" i="4"/>
  <c r="I41" i="4"/>
  <c r="I42" i="4"/>
  <c r="B24" i="4"/>
  <c r="G30" i="4"/>
  <c r="G34" i="4"/>
  <c r="G16" i="4"/>
  <c r="G38" i="4"/>
  <c r="G20" i="4"/>
  <c r="F24" i="4"/>
  <c r="F8" i="4"/>
  <c r="C8" i="4"/>
  <c r="G8" i="4"/>
  <c r="H8" i="4"/>
  <c r="D8" i="4"/>
  <c r="E44" i="4"/>
  <c r="B8" i="4"/>
  <c r="J8" i="4"/>
  <c r="E22" i="1"/>
  <c r="E32" i="1"/>
  <c r="E38" i="1"/>
  <c r="E29" i="1"/>
  <c r="E41" i="1"/>
  <c r="I35" i="1"/>
  <c r="I29" i="1"/>
  <c r="I41" i="1"/>
  <c r="I32" i="1"/>
  <c r="I38" i="1"/>
  <c r="H29" i="1"/>
  <c r="H35" i="1"/>
  <c r="H38" i="1"/>
  <c r="H41" i="1"/>
  <c r="H32" i="1"/>
  <c r="E35" i="1"/>
  <c r="L41" i="1"/>
  <c r="L32" i="1"/>
  <c r="L38" i="1"/>
  <c r="L29" i="1"/>
  <c r="L35" i="1"/>
  <c r="J41" i="1"/>
  <c r="J32" i="1"/>
  <c r="J29" i="1"/>
  <c r="J38" i="1"/>
  <c r="F38" i="1"/>
  <c r="F32" i="1"/>
  <c r="F29" i="1"/>
  <c r="F41" i="1"/>
  <c r="F14" i="1"/>
  <c r="D22" i="1"/>
  <c r="B25" i="7" s="1"/>
  <c r="D41" i="1"/>
  <c r="D32" i="1"/>
  <c r="D38" i="1"/>
  <c r="D29" i="1"/>
  <c r="D35" i="1"/>
  <c r="F35" i="1"/>
  <c r="L19" i="1"/>
  <c r="L22" i="1"/>
  <c r="J25" i="7" s="1"/>
  <c r="I19" i="1"/>
  <c r="I22" i="1"/>
  <c r="J19" i="1"/>
  <c r="J22" i="1"/>
  <c r="F19" i="1"/>
  <c r="F22" i="1"/>
  <c r="H19" i="1"/>
  <c r="H22" i="1"/>
  <c r="F25" i="7" s="1"/>
  <c r="F15" i="1"/>
  <c r="E15" i="1"/>
  <c r="E19" i="1"/>
  <c r="D15" i="1"/>
  <c r="D19" i="1"/>
  <c r="I14" i="1"/>
  <c r="I15" i="1"/>
  <c r="J15" i="1"/>
  <c r="J14" i="1"/>
  <c r="H14" i="1"/>
  <c r="L14" i="1"/>
  <c r="AA9" i="1" l="1"/>
  <c r="G15" i="1"/>
  <c r="G72" i="1"/>
  <c r="G19" i="1"/>
  <c r="G22" i="1"/>
  <c r="AA22" i="1" s="1"/>
  <c r="G35" i="1"/>
  <c r="G32" i="1"/>
  <c r="F29" i="7"/>
  <c r="G14" i="1"/>
  <c r="I43" i="1"/>
  <c r="G27" i="7" s="1"/>
  <c r="G25" i="7"/>
  <c r="E92" i="1"/>
  <c r="C33" i="7"/>
  <c r="J29" i="7"/>
  <c r="L92" i="1"/>
  <c r="J33" i="7"/>
  <c r="D92" i="1"/>
  <c r="B33" i="7"/>
  <c r="E43" i="1"/>
  <c r="C25" i="7"/>
  <c r="F43" i="1"/>
  <c r="D27" i="7" s="1"/>
  <c r="D25" i="7"/>
  <c r="G43" i="1"/>
  <c r="E27" i="7" s="1"/>
  <c r="E25" i="7"/>
  <c r="I92" i="1"/>
  <c r="G33" i="7"/>
  <c r="J92" i="1"/>
  <c r="H33" i="7"/>
  <c r="J43" i="1"/>
  <c r="H27" i="7" s="1"/>
  <c r="H25" i="7"/>
  <c r="F92" i="1"/>
  <c r="D33" i="7"/>
  <c r="H92" i="1"/>
  <c r="F33" i="7"/>
  <c r="K13" i="1"/>
  <c r="O14" i="1" s="1"/>
  <c r="H15" i="1"/>
  <c r="G89" i="1"/>
  <c r="D10" i="4"/>
  <c r="E16" i="4"/>
  <c r="E34" i="4"/>
  <c r="E20" i="4"/>
  <c r="E30" i="4"/>
  <c r="E38" i="4"/>
  <c r="I34" i="4"/>
  <c r="I38" i="4"/>
  <c r="I30" i="4"/>
  <c r="I20" i="4"/>
  <c r="I16" i="4"/>
  <c r="E24" i="4"/>
  <c r="G41" i="1"/>
  <c r="I8" i="4"/>
  <c r="J10" i="4" s="1"/>
  <c r="E42" i="4"/>
  <c r="G38" i="1"/>
  <c r="AA13" i="1"/>
  <c r="G29" i="1"/>
  <c r="I24" i="4"/>
  <c r="H43" i="1"/>
  <c r="F27" i="7" s="1"/>
  <c r="D43" i="1"/>
  <c r="L43" i="1"/>
  <c r="AC22" i="1"/>
  <c r="J9" i="4"/>
  <c r="G9" i="4"/>
  <c r="G10" i="4"/>
  <c r="C10" i="4"/>
  <c r="I10" i="4"/>
  <c r="E8" i="4"/>
  <c r="E10" i="4" s="1"/>
  <c r="H10" i="4"/>
  <c r="H9" i="4"/>
  <c r="F9" i="4"/>
  <c r="K15" i="1" l="1"/>
  <c r="K72" i="1"/>
  <c r="K22" i="1"/>
  <c r="K43" i="1" s="1"/>
  <c r="AB13" i="1"/>
  <c r="I45" i="1"/>
  <c r="I44" i="1"/>
  <c r="H31" i="7"/>
  <c r="J45" i="1"/>
  <c r="J93" i="1" s="1"/>
  <c r="J44" i="1"/>
  <c r="B27" i="7"/>
  <c r="F31" i="7" s="1"/>
  <c r="D51" i="1"/>
  <c r="G29" i="7"/>
  <c r="F45" i="1"/>
  <c r="D35" i="7" s="1"/>
  <c r="F44" i="1"/>
  <c r="I93" i="1"/>
  <c r="G35" i="7"/>
  <c r="K19" i="1"/>
  <c r="G45" i="1"/>
  <c r="G44" i="1"/>
  <c r="AC43" i="1"/>
  <c r="J27" i="7"/>
  <c r="J31" i="7" s="1"/>
  <c r="E45" i="1"/>
  <c r="C27" i="7"/>
  <c r="H29" i="7"/>
  <c r="G92" i="1"/>
  <c r="E33" i="7"/>
  <c r="L15" i="1"/>
  <c r="K29" i="1"/>
  <c r="K32" i="1"/>
  <c r="K38" i="1"/>
  <c r="K14" i="1"/>
  <c r="K41" i="1"/>
  <c r="K35" i="1"/>
  <c r="K89" i="1"/>
  <c r="H45" i="1"/>
  <c r="L45" i="1"/>
  <c r="D45" i="1"/>
  <c r="AA43" i="1"/>
  <c r="L44" i="1"/>
  <c r="H44" i="1"/>
  <c r="I9" i="4"/>
  <c r="F10" i="4"/>
  <c r="AB22" i="1" l="1"/>
  <c r="I25" i="7"/>
  <c r="I29" i="7" s="1"/>
  <c r="H35" i="7"/>
  <c r="AA51" i="1"/>
  <c r="D56" i="1"/>
  <c r="D61" i="1" s="1"/>
  <c r="AA61" i="1" s="1"/>
  <c r="F93" i="1"/>
  <c r="L93" i="1"/>
  <c r="J35" i="7"/>
  <c r="K45" i="1"/>
  <c r="I27" i="7"/>
  <c r="I31" i="7" s="1"/>
  <c r="H93" i="1"/>
  <c r="F35" i="7"/>
  <c r="AB43" i="1"/>
  <c r="G93" i="1"/>
  <c r="E35" i="7"/>
  <c r="E93" i="1"/>
  <c r="C35" i="7"/>
  <c r="K44" i="1"/>
  <c r="D93" i="1"/>
  <c r="B35" i="7"/>
  <c r="K92" i="1"/>
  <c r="I33" i="7"/>
  <c r="AA56" i="1" l="1"/>
  <c r="D63" i="1"/>
  <c r="K93" i="1"/>
  <c r="I35" i="7"/>
  <c r="D67" i="1" l="1"/>
  <c r="H95" i="1" s="1"/>
  <c r="AA63" i="1"/>
  <c r="B37" i="7" l="1"/>
  <c r="F39" i="7" s="1"/>
  <c r="D71" i="1"/>
  <c r="D72" i="1" s="1"/>
  <c r="AA67" i="1"/>
  <c r="AA71" i="1" l="1"/>
  <c r="D83" i="1"/>
  <c r="D80" i="1"/>
  <c r="H84" i="1" l="1"/>
  <c r="H97" i="1"/>
  <c r="H81" i="1"/>
  <c r="H9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<sst xmlns="http://schemas.openxmlformats.org/spreadsheetml/2006/main" count="467" uniqueCount="217">
  <si>
    <t>Total Revenues</t>
  </si>
  <si>
    <t>   % Change YoY</t>
  </si>
  <si>
    <t>Gross Profit</t>
  </si>
  <si>
    <t>   % Gross Margins</t>
  </si>
  <si>
    <t>Operating Income</t>
  </si>
  <si>
    <t>   % Operating Margins</t>
  </si>
  <si>
    <t>Interest Expense</t>
  </si>
  <si>
    <t>Interest And Investment Income</t>
  </si>
  <si>
    <t>Other Non Operating Income (Expenses)</t>
  </si>
  <si>
    <t>EBT Excl. Unusual Items</t>
  </si>
  <si>
    <t>Merger &amp; Restructuring Charges</t>
  </si>
  <si>
    <t>Other Unusual Items</t>
  </si>
  <si>
    <t>EBT Incl. Unusual Items</t>
  </si>
  <si>
    <t>Income Tax Expense</t>
  </si>
  <si>
    <t>Earnings From Continuing Operations</t>
  </si>
  <si>
    <t>Net Income to Company</t>
  </si>
  <si>
    <t>Minority Interest</t>
  </si>
  <si>
    <t>Net Income</t>
  </si>
  <si>
    <t>Preferred Dividend and Other Adjustments</t>
  </si>
  <si>
    <t>Supplementary Data:</t>
  </si>
  <si>
    <t>Weighted Average Diluted Shares Outstanding</t>
  </si>
  <si>
    <t>Weighted Average Basic Shares Outstanding</t>
  </si>
  <si>
    <t>Basic EPS</t>
  </si>
  <si>
    <t>EBITDA</t>
  </si>
  <si>
    <t>Selling and Marketing Expense</t>
  </si>
  <si>
    <t>General and Administrative Expense</t>
  </si>
  <si>
    <t>Balance Sheet</t>
  </si>
  <si>
    <t>Cash And Equivalents</t>
  </si>
  <si>
    <t>Total Cash And Short Term Investments</t>
  </si>
  <si>
    <t>Notes Receivable</t>
  </si>
  <si>
    <t>Total Receivables</t>
  </si>
  <si>
    <t>Restricted Cash</t>
  </si>
  <si>
    <t>Total Current Assets</t>
  </si>
  <si>
    <t>Gross Property Plant And Equipment</t>
  </si>
  <si>
    <t>Accumulated Depreciation</t>
  </si>
  <si>
    <t>Net Property Plant And Equipment</t>
  </si>
  <si>
    <t>Long-term Investments</t>
  </si>
  <si>
    <t>Goodwill</t>
  </si>
  <si>
    <t>Other Intangibles</t>
  </si>
  <si>
    <t>Accounts Receivable Long-Term</t>
  </si>
  <si>
    <t>Other Long-Term Assets</t>
  </si>
  <si>
    <t>Total Assets</t>
  </si>
  <si>
    <t>Accounts Payable</t>
  </si>
  <si>
    <t>Accrued Expenses</t>
  </si>
  <si>
    <t>Current Portion of Capital Lease Obligations</t>
  </si>
  <si>
    <t>Other Current Liabilities</t>
  </si>
  <si>
    <t>Total Current Liabilities</t>
  </si>
  <si>
    <t>Long-Term Debt</t>
  </si>
  <si>
    <t>Capital Leases</t>
  </si>
  <si>
    <t>Other Non Current Liabilities</t>
  </si>
  <si>
    <t>Total Liabilities</t>
  </si>
  <si>
    <t>Preferred Stock Convertible</t>
  </si>
  <si>
    <t>Total Preferred Equity</t>
  </si>
  <si>
    <t>Common Stock</t>
  </si>
  <si>
    <t>Additional Paid In Capital</t>
  </si>
  <si>
    <t>Retained Earnings</t>
  </si>
  <si>
    <t>Total Common Equity</t>
  </si>
  <si>
    <t>Total Equity</t>
  </si>
  <si>
    <t>Total Liabilities And Equity</t>
  </si>
  <si>
    <t>Total Shares Out. on Filing Date</t>
  </si>
  <si>
    <t>Book Value/Share</t>
  </si>
  <si>
    <t>Tangible Book Value</t>
  </si>
  <si>
    <t>Tangible Book Value/Share</t>
  </si>
  <si>
    <t>Total Debt</t>
  </si>
  <si>
    <t>Net Debt</t>
  </si>
  <si>
    <t>Total Minority Interest</t>
  </si>
  <si>
    <t>Full Time Employees</t>
  </si>
  <si>
    <t>Cash Flow Statement</t>
  </si>
  <si>
    <t>Depreciation &amp; Amortization</t>
  </si>
  <si>
    <t>Amortization of Goodwill and Intangible Assets</t>
  </si>
  <si>
    <t>Total Depreciation &amp; Amortization</t>
  </si>
  <si>
    <t>Amortization of Deferred Charges</t>
  </si>
  <si>
    <t>(Gain) Loss From Sale Of Asset</t>
  </si>
  <si>
    <t>(Gain) Loss on Sale of Investments</t>
  </si>
  <si>
    <t>Provision for Credit Losses</t>
  </si>
  <si>
    <t>Stock-Based Compensation</t>
  </si>
  <si>
    <t>Other Operating Activities</t>
  </si>
  <si>
    <t>Change In Accounts Payable</t>
  </si>
  <si>
    <t>Change in Other Net Operating Assets</t>
  </si>
  <si>
    <t>Cash from Operations</t>
  </si>
  <si>
    <t>Memo: Change in Net Working Capital</t>
  </si>
  <si>
    <t>Capital Expenditure</t>
  </si>
  <si>
    <t>Cash Acquisitions</t>
  </si>
  <si>
    <t>Sale (Purchase) of Intangible assets</t>
  </si>
  <si>
    <t>Investment in Marketable and Equity Securities</t>
  </si>
  <si>
    <t>Net (Increase) Decrease in Loans Originated / Sold - Investing</t>
  </si>
  <si>
    <t>Other Investing Activities</t>
  </si>
  <si>
    <t>Cash from Investing</t>
  </si>
  <si>
    <t>Total Debt Issued</t>
  </si>
  <si>
    <t>Total Debt Repaid</t>
  </si>
  <si>
    <t>Issuance of Common Stock</t>
  </si>
  <si>
    <t>Repurchase of Common Stock</t>
  </si>
  <si>
    <t>Issuance of Preferred Stock</t>
  </si>
  <si>
    <t>Repurchase of Preferred Stock</t>
  </si>
  <si>
    <t>Other Financing Activities</t>
  </si>
  <si>
    <t>Cash from Financing</t>
  </si>
  <si>
    <t>Net Change in Cash</t>
  </si>
  <si>
    <t>Free Cash Flow</t>
  </si>
  <si>
    <t>   % Free Cash Flow Margins</t>
  </si>
  <si>
    <t>Cash and Cash Equivalents, Beginning of Period</t>
  </si>
  <si>
    <t>Cash and Cash Equivalents, End of Period</t>
  </si>
  <si>
    <t>Cash Interest Paid</t>
  </si>
  <si>
    <t>Cash Taxes Paid</t>
  </si>
  <si>
    <t>Cash Flow per Share</t>
  </si>
  <si>
    <t>3Q19 A</t>
  </si>
  <si>
    <t>4Q19 A</t>
  </si>
  <si>
    <t>1Q20 A</t>
  </si>
  <si>
    <t>2Q20 A</t>
  </si>
  <si>
    <t>3Q20 A</t>
  </si>
  <si>
    <t>4Q20 A</t>
  </si>
  <si>
    <t>1Q21 A</t>
  </si>
  <si>
    <t>2Q21 A</t>
  </si>
  <si>
    <t>3Q21 A</t>
  </si>
  <si>
    <t>4Q21 A</t>
  </si>
  <si>
    <t>1Q22 A</t>
  </si>
  <si>
    <t>2Q22 E</t>
  </si>
  <si>
    <t>3Q22 E</t>
  </si>
  <si>
    <t>4Q22 E</t>
  </si>
  <si>
    <t>1Q23 E</t>
  </si>
  <si>
    <t>2Q23 E</t>
  </si>
  <si>
    <t>3Q23 E</t>
  </si>
  <si>
    <t>4Q23 E</t>
  </si>
  <si>
    <t>1Q24 E</t>
  </si>
  <si>
    <t>2Q24 E</t>
  </si>
  <si>
    <t>3Q24 E</t>
  </si>
  <si>
    <t>4Q24 E</t>
  </si>
  <si>
    <t>FY20</t>
  </si>
  <si>
    <t>FY21</t>
  </si>
  <si>
    <t>End</t>
  </si>
  <si>
    <t>FY22</t>
  </si>
  <si>
    <t>FY23</t>
  </si>
  <si>
    <t>FY24</t>
  </si>
  <si>
    <t xml:space="preserve">End </t>
  </si>
  <si>
    <t>NASDAQ: (UPST)</t>
  </si>
  <si>
    <t xml:space="preserve">Upstart Holdings, Inc. </t>
  </si>
  <si>
    <t xml:space="preserve">WhiteSky </t>
  </si>
  <si>
    <t>P&amp;L GAAP</t>
  </si>
  <si>
    <t>Revenue Build</t>
  </si>
  <si>
    <t>Actuals &amp; Forward Estimates</t>
  </si>
  <si>
    <t>Revenue</t>
  </si>
  <si>
    <t>   % EBITDA Margins</t>
  </si>
  <si>
    <t>EBIT</t>
  </si>
  <si>
    <t>   % EBIT Margins</t>
  </si>
  <si>
    <t>Net Income Normalized</t>
  </si>
  <si>
    <t>   % Net Income Margins</t>
  </si>
  <si>
    <t>EPS Normalized</t>
  </si>
  <si>
    <t>EPS (GAAP)</t>
  </si>
  <si>
    <t>Gross Margin (%)</t>
  </si>
  <si>
    <t>Effective Tax Rate (%)</t>
  </si>
  <si>
    <t>EBT (GAAP) Actual</t>
  </si>
  <si>
    <t>Net Income (GAAP)</t>
  </si>
  <si>
    <t>   CF Supplementary Data:</t>
  </si>
  <si>
    <t>Cash From Operations</t>
  </si>
  <si>
    <t>   BS Supplementary Data:</t>
  </si>
  <si>
    <t>   Net Debt/EBITDA</t>
  </si>
  <si>
    <t>Book Value / Share</t>
  </si>
  <si>
    <t>Return on Equity (%)</t>
  </si>
  <si>
    <t>Return on Assets (%)</t>
  </si>
  <si>
    <t>   Other Supplementary Data:</t>
  </si>
  <si>
    <t>Net Asset Value / Share</t>
  </si>
  <si>
    <t>   P&amp;L Supplementary Data:</t>
  </si>
  <si>
    <t>Revenue from Fees</t>
  </si>
  <si>
    <t>Total Revenue from Fees</t>
  </si>
  <si>
    <t>Interest Income</t>
  </si>
  <si>
    <t xml:space="preserve"> </t>
  </si>
  <si>
    <t xml:space="preserve">   % Growth YoY</t>
  </si>
  <si>
    <t xml:space="preserve">   % of Revenue</t>
  </si>
  <si>
    <t xml:space="preserve">   % Growth QoQ</t>
  </si>
  <si>
    <t>Fair Value &amp; Other Adjustments</t>
  </si>
  <si>
    <t>Net Interest Income</t>
  </si>
  <si>
    <t xml:space="preserve">   % Change QoQ</t>
  </si>
  <si>
    <t/>
  </si>
  <si>
    <t>Total General &amp; Admin Expenses</t>
  </si>
  <si>
    <t>Operating Expenses</t>
  </si>
  <si>
    <t>Total Operating Expenses</t>
  </si>
  <si>
    <t xml:space="preserve">Engineering &amp; Product Development </t>
  </si>
  <si>
    <t>Customer Operations</t>
  </si>
  <si>
    <t xml:space="preserve">Upstart Holdings Inc. </t>
  </si>
  <si>
    <t>info@whiteskycapital.com</t>
  </si>
  <si>
    <t xml:space="preserve">Legal Disclosure: </t>
  </si>
  <si>
    <t xml:space="preserve">This document, and the information contained herein, have been provided to you by WhiteSky Capital Management LLC and its affiliates (“WhiteSky”) solely for informational purposes. This document may not be reproduced or redistributed in whole or in part, in any format, without the express written approval of WhiteSky.. Neither the information, nor any opinion contained in this document, constitutes an offer to buy or sell, or a solicitation of an offer to buy or sell, any advisory services, securities, futures, options, or other financial instruments or to participate in any advisory services or trading strategy. Nothing contained in this document constitutes investment, legal or tax advice. You should make your own investigations and evaluations of the information herein. Any decisions based on information contained in this document are the sole responsibility of the reader. Certain statements in this document reflect WhiteSky’s views, estimates, opinions or predictions (which may be based on proprietary models and assumptions, including, in particular, WhiteSky’s views on the current and future market for certain assets), and there is no guarantee that these views, estimates, opinions or predictions are currently accurate or that they will be ultimately realized. To the extent, these assumptions or models are not correct or circumstances change, the actual performance may vary substantially from, and be less than, the estimates included herein. None of WhiteSky nor any of its affiliates, shareholders, partners, members, directors, officers, management, employees, or representatives makes any representation or warranty, express or implied, as to the accuracy or completeness of any of the information or any other information (whether communicated in written or oral form) transmitted or made available to you. Each of the aforementioned parties expressly disclaims any and all liability relating to or resulting from the use of this information. Certain information contained herein (including financial information) has been obtained from published and non-published sources. Such information has not been independently verified by WhiteSky Capital Management and, WhiteSky, does not assume responsibility for the accuracy of such information. Affiliates of Galaxy Digital may have owned or may own investments in some of the digital assets and protocols discussed in this document. Except where otherwise indicated, the information in this document is based on matters as they exist as of the date of preparation and not as of any future date, and will not be updated or otherwise revised to reflect information that subsequently becomes available, or circumstances existing or changes occurring after the date hereof. The foregoing does not constitute a "research report" as defined by FINRA Rule 2241 or a "debt research report" as defined by FINRA Rule 2242 and was not prepared by Galaxy Digital Partners LLC. For all inquiries, please email contact@galaxydigital.io. ©Copyright Galaxy Digital Holdings LP 2022. All rights reserved. </t>
  </si>
  <si>
    <t>FY25</t>
  </si>
  <si>
    <t>Total</t>
  </si>
  <si>
    <t>FY26</t>
  </si>
  <si>
    <t>FY27</t>
  </si>
  <si>
    <t>$ in Millions</t>
  </si>
  <si>
    <t>Summary</t>
  </si>
  <si>
    <t>FY20 E</t>
  </si>
  <si>
    <t>Revenue YoY</t>
  </si>
  <si>
    <t>Total Revenue YoY</t>
  </si>
  <si>
    <t>Platform &amp; Referral Fees YoY</t>
  </si>
  <si>
    <t>Servicing &amp; Other Fees</t>
  </si>
  <si>
    <t>Platform &amp; Referral Fees</t>
  </si>
  <si>
    <t xml:space="preserve">Interest Income &amp; Fair Value Adjustments </t>
  </si>
  <si>
    <t>Total Interest Income &amp; Fair Value Adjustments</t>
  </si>
  <si>
    <t>Servicing &amp; Other Fees YoY</t>
  </si>
  <si>
    <t>Total Interest Income &amp; Fair Value Adjustments YoY</t>
  </si>
  <si>
    <t>Gross Margin</t>
  </si>
  <si>
    <t>Operating Margin</t>
  </si>
  <si>
    <t>Total Operating Expense % of Revenues</t>
  </si>
  <si>
    <t>Total Operating Expense</t>
  </si>
  <si>
    <t xml:space="preserve">Operating Income </t>
  </si>
  <si>
    <t>Total Operating Expense YoY</t>
  </si>
  <si>
    <t>Gross Profit YoY</t>
  </si>
  <si>
    <t>Operating Income YoY</t>
  </si>
  <si>
    <t>BS</t>
  </si>
  <si>
    <t>CFS</t>
  </si>
  <si>
    <t>Net Income YoY</t>
  </si>
  <si>
    <t>Effective Tax Rate</t>
  </si>
  <si>
    <t>Diluted EPS</t>
  </si>
  <si>
    <t xml:space="preserve">   % Net Income to Common </t>
  </si>
  <si>
    <t xml:space="preserve">Net Income to Common </t>
  </si>
  <si>
    <t>-</t>
  </si>
  <si>
    <t>Weighted Average Diluted Shares Outstanding YoY</t>
  </si>
  <si>
    <t xml:space="preserve">Weighted Average Basic Shares Outstanding YoY </t>
  </si>
  <si>
    <t>Basic EPS YoY</t>
  </si>
  <si>
    <t>Diluted EPS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</si>
</sst>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17">
    <font>
      <sz val="12"/>
      <color theme="1"/>
      <name val="Calibri"/>
      <family val="2"/>
      <scheme val="minor"/>
    </font>
    <font>
      <u/>
      <sz val="12"/>
      <color theme="10"/>
      <name val="Calibri"/>
      <family val="2"/>
      <scheme val="minor"/>
    </font>
    <font>
      <sz val="12"/>
      <color theme="1"/>
      <name val="Calibri"/>
      <family val="2"/>
      <scheme val="minor"/>
    </font>
    <font>
      <b/>
      <sz val="14"/>
      <color theme="1"/>
      <name val="Libre Baskerville"/>
    </font>
    <font>
      <sz val="12"/>
      <color theme="1"/>
      <name val="Avenir Book"/>
      <family val="2"/>
    </font>
    <font>
      <b/>
      <i/>
      <sz val="20"/>
      <color theme="1"/>
      <name val="Avenir Book"/>
      <family val="2"/>
    </font>
    <font>
      <b/>
      <sz val="12"/>
      <color theme="1"/>
      <name val="Avenir Book"/>
      <family val="2"/>
    </font>
    <font>
      <u/>
      <sz val="12"/>
      <color theme="1"/>
      <name val="Avenir Book"/>
      <family val="2"/>
    </font>
    <font>
      <b/>
      <i/>
      <sz val="20"/>
      <color theme="1"/>
      <name val="Helvetica Light"/>
    </font>
    <font>
      <sz val="12"/>
      <color theme="1"/>
      <name val="Helvetica Light"/>
    </font>
    <font>
      <u/>
      <sz val="12"/>
      <color theme="1"/>
      <name val="Helvetica Light"/>
    </font>
    <font>
      <i/>
      <sz val="12"/>
      <color theme="1"/>
      <name val="Helvetica Light"/>
    </font>
    <font>
      <b/>
      <sz val="12"/>
      <color theme="1"/>
      <name val="Helvetica Light"/>
    </font>
    <font>
      <sz val="12"/>
      <color theme="1"/>
      <name val="Helvetica"/>
      <family val="2"/>
    </font>
    <font>
      <b/>
      <sz val="8"/>
      <color rgb="FF7C7C7C"/>
      <name val="Helvetica"/>
      <family val="2"/>
    </font>
    <font>
      <sz val="8"/>
      <color rgb="FF7C7C7C"/>
      <name val="Helvetica"/>
      <family val="2"/>
    </font>
    <font>
      <b/>
      <i/>
      <sz val="12"/>
      <color theme="1"/>
      <name val="Helvetica Light"/>
    </font>
  </fonts>
  <fills count="3">
    <fill>
      <patternFill patternType="none"/>
    </fill>
    <fill>
      <patternFill patternType="gray125"/>
    </fill>
    <fill>
      <patternFill patternType="solid">
        <fgColor theme="0"/>
        <bgColor indexed="64"/>
      </patternFill>
    </fill>
  </fills>
  <borders count="22">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rgb="FFFFC000"/>
      </left>
      <right/>
      <top/>
      <bottom/>
      <diagonal/>
    </border>
    <border>
      <left style="thin">
        <color rgb="FFFFC000"/>
      </left>
      <right/>
      <top style="thin">
        <color theme="1"/>
      </top>
      <bottom/>
      <diagonal/>
    </border>
    <border>
      <left style="thin">
        <color rgb="FFFFC000"/>
      </left>
      <right/>
      <top/>
      <bottom style="thin">
        <color theme="1"/>
      </bottom>
      <diagonal/>
    </border>
    <border>
      <left/>
      <right style="thin">
        <color theme="0"/>
      </right>
      <top style="thin">
        <color theme="1"/>
      </top>
      <bottom/>
      <diagonal/>
    </border>
    <border>
      <left/>
      <right style="thin">
        <color theme="0"/>
      </right>
      <top/>
      <bottom style="thin">
        <color theme="1"/>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85">
    <xf numFmtId="0" fontId="0" fillId="0" borderId="0" xfId="0"/>
    <xf numFmtId="0" fontId="3" fillId="2" borderId="0" xfId="0" applyFont="1" applyFill="1" applyAlignment="1">
      <alignment vertical="center"/>
    </xf>
    <xf numFmtId="0" fontId="4" fillId="2" borderId="0" xfId="0" applyFont="1" applyFill="1"/>
    <xf numFmtId="0" fontId="5" fillId="2" borderId="0" xfId="0" applyFont="1" applyFill="1"/>
    <xf numFmtId="14" fontId="4" fillId="2" borderId="0" xfId="0" applyNumberFormat="1" applyFont="1" applyFill="1"/>
    <xf numFmtId="0" fontId="6" fillId="2" borderId="0" xfId="0" applyFont="1" applyFill="1"/>
    <xf numFmtId="4" fontId="4" fillId="2" borderId="0" xfId="0" applyNumberFormat="1" applyFont="1" applyFill="1"/>
    <xf numFmtId="164" fontId="4" fillId="2" borderId="0" xfId="0" applyNumberFormat="1" applyFont="1" applyFill="1"/>
    <xf numFmtId="0" fontId="4" fillId="2" borderId="2" xfId="0" applyFont="1" applyFill="1" applyBorder="1"/>
    <xf numFmtId="0" fontId="4" fillId="2" borderId="3" xfId="0" applyFont="1" applyFill="1" applyBorder="1"/>
    <xf numFmtId="0" fontId="4" fillId="2" borderId="1" xfId="0" applyFont="1" applyFill="1" applyBorder="1"/>
    <xf numFmtId="14" fontId="4" fillId="2" borderId="5" xfId="0" applyNumberFormat="1" applyFont="1" applyFill="1" applyBorder="1"/>
    <xf numFmtId="14" fontId="4" fillId="2" borderId="6" xfId="0" applyNumberFormat="1" applyFont="1" applyFill="1" applyBorder="1"/>
    <xf numFmtId="0" fontId="4" fillId="2" borderId="4" xfId="0" applyFont="1" applyFill="1" applyBorder="1"/>
    <xf numFmtId="0" fontId="4" fillId="2" borderId="5" xfId="0" applyFont="1" applyFill="1" applyBorder="1"/>
    <xf numFmtId="0" fontId="4" fillId="2" borderId="6" xfId="0" applyFont="1" applyFill="1" applyBorder="1"/>
    <xf numFmtId="0" fontId="4" fillId="2" borderId="7" xfId="0" applyFont="1" applyFill="1" applyBorder="1"/>
    <xf numFmtId="0" fontId="4" fillId="2" borderId="8" xfId="0" applyFont="1" applyFill="1" applyBorder="1"/>
    <xf numFmtId="14" fontId="4" fillId="2" borderId="4" xfId="0" applyNumberFormat="1" applyFont="1" applyFill="1" applyBorder="1"/>
    <xf numFmtId="10" fontId="4" fillId="2" borderId="0" xfId="0" applyNumberFormat="1" applyFont="1" applyFill="1"/>
    <xf numFmtId="0" fontId="7" fillId="2" borderId="0" xfId="1" applyFont="1" applyFill="1"/>
    <xf numFmtId="0" fontId="8" fillId="2" borderId="0" xfId="0" applyFont="1" applyFill="1"/>
    <xf numFmtId="0" fontId="9" fillId="2" borderId="0" xfId="0" applyFont="1" applyFill="1"/>
    <xf numFmtId="4" fontId="9" fillId="2" borderId="0" xfId="0" applyNumberFormat="1" applyFont="1" applyFill="1"/>
    <xf numFmtId="0" fontId="10" fillId="2" borderId="0" xfId="1" applyFont="1" applyFill="1"/>
    <xf numFmtId="0" fontId="9" fillId="2" borderId="11" xfId="0" applyFont="1" applyFill="1" applyBorder="1"/>
    <xf numFmtId="0" fontId="9" fillId="2" borderId="12" xfId="0" applyFont="1" applyFill="1" applyBorder="1"/>
    <xf numFmtId="0" fontId="9" fillId="2" borderId="13" xfId="0" applyFont="1" applyFill="1" applyBorder="1"/>
    <xf numFmtId="14" fontId="9" fillId="2" borderId="14" xfId="0" applyNumberFormat="1" applyFont="1" applyFill="1" applyBorder="1"/>
    <xf numFmtId="14" fontId="9" fillId="2" borderId="15" xfId="0" applyNumberFormat="1" applyFont="1" applyFill="1" applyBorder="1"/>
    <xf numFmtId="14" fontId="9" fillId="2" borderId="16" xfId="0" applyNumberFormat="1" applyFont="1" applyFill="1" applyBorder="1"/>
    <xf numFmtId="0" fontId="9" fillId="2" borderId="17" xfId="0" applyFont="1" applyFill="1" applyBorder="1"/>
    <xf numFmtId="164" fontId="11" fillId="2" borderId="0" xfId="0" applyNumberFormat="1" applyFont="1" applyFill="1"/>
    <xf numFmtId="0" fontId="9" fillId="2" borderId="18" xfId="0" applyFont="1" applyFill="1" applyBorder="1"/>
    <xf numFmtId="0" fontId="9" fillId="2" borderId="20" xfId="0" applyFont="1" applyFill="1" applyBorder="1"/>
    <xf numFmtId="0" fontId="12" fillId="2" borderId="0" xfId="0" applyFont="1" applyFill="1"/>
    <xf numFmtId="14" fontId="9" fillId="2" borderId="19" xfId="0" applyNumberFormat="1" applyFont="1" applyFill="1" applyBorder="1"/>
    <xf numFmtId="0" fontId="9" fillId="2" borderId="14" xfId="0" applyFont="1" applyFill="1" applyBorder="1"/>
    <xf numFmtId="0" fontId="9" fillId="2" borderId="15" xfId="0" applyFont="1" applyFill="1" applyBorder="1"/>
    <xf numFmtId="0" fontId="9" fillId="2" borderId="21" xfId="0" applyFont="1" applyFill="1" applyBorder="1"/>
    <xf numFmtId="0" fontId="9" fillId="2" borderId="16" xfId="0" applyFont="1" applyFill="1" applyBorder="1"/>
    <xf numFmtId="0" fontId="9" fillId="2" borderId="1" xfId="0" applyFont="1" applyFill="1" applyBorder="1"/>
    <xf numFmtId="0" fontId="9" fillId="2" borderId="2" xfId="0" applyFont="1" applyFill="1" applyBorder="1"/>
    <xf numFmtId="0" fontId="9" fillId="2" borderId="3" xfId="0" applyFont="1" applyFill="1" applyBorder="1"/>
    <xf numFmtId="0" fontId="9" fillId="2" borderId="4" xfId="0" applyFont="1" applyFill="1" applyBorder="1"/>
    <xf numFmtId="0" fontId="9" fillId="2" borderId="5" xfId="0" applyFont="1" applyFill="1" applyBorder="1"/>
    <xf numFmtId="0" fontId="9" fillId="2" borderId="6" xfId="0" applyFont="1" applyFill="1" applyBorder="1"/>
    <xf numFmtId="0" fontId="9" fillId="2" borderId="9" xfId="0" applyFont="1" applyFill="1" applyBorder="1"/>
    <xf numFmtId="2" fontId="9" fillId="2" borderId="10" xfId="0" applyNumberFormat="1" applyFont="1" applyFill="1" applyBorder="1"/>
    <xf numFmtId="0" fontId="9" fillId="2" borderId="10" xfId="0" applyFont="1" applyFill="1" applyBorder="1"/>
    <xf numFmtId="2" fontId="9" fillId="2" borderId="0" xfId="0" applyNumberFormat="1" applyFont="1" applyFill="1"/>
    <xf numFmtId="9" fontId="9" fillId="2" borderId="0" xfId="2" applyFont="1" applyFill="1"/>
    <xf numFmtId="0" fontId="9" fillId="2" borderId="0" xfId="0" applyFont="1" applyFill="1" applyAlignment="1">
      <alignment horizontal="center"/>
    </xf>
    <xf numFmtId="0" fontId="13" fillId="2" borderId="0" xfId="0" applyFont="1" applyFill="1" applyAlignment="1">
      <alignment horizontal="center"/>
    </xf>
    <xf numFmtId="0" fontId="14" fillId="0" borderId="0" xfId="0" applyFont="1" applyAlignment="1">
      <alignment horizontal="left" vertical="center"/>
    </xf>
    <xf numFmtId="164" fontId="9" fillId="2" borderId="0" xfId="0" applyNumberFormat="1" applyFont="1" applyFill="1"/>
    <xf numFmtId="14" fontId="9" fillId="2" borderId="4" xfId="0" applyNumberFormat="1" applyFont="1" applyFill="1" applyBorder="1"/>
    <xf numFmtId="14" fontId="9" fillId="2" borderId="5" xfId="0" applyNumberFormat="1" applyFont="1" applyFill="1" applyBorder="1"/>
    <xf numFmtId="14" fontId="9" fillId="2" borderId="6" xfId="0" applyNumberFormat="1" applyFont="1" applyFill="1" applyBorder="1"/>
    <xf numFmtId="0" fontId="11" fillId="2" borderId="0" xfId="0" applyFont="1" applyFill="1"/>
    <xf numFmtId="9" fontId="11" fillId="2" borderId="0" xfId="0" applyNumberFormat="1" applyFont="1" applyFill="1"/>
    <xf numFmtId="9" fontId="11" fillId="2" borderId="0" xfId="2" applyFont="1" applyFill="1"/>
    <xf numFmtId="0" fontId="11" fillId="2" borderId="0" xfId="0" quotePrefix="1" applyFont="1" applyFill="1"/>
    <xf numFmtId="10" fontId="11" fillId="2" borderId="0" xfId="0" applyNumberFormat="1" applyFont="1" applyFill="1"/>
    <xf numFmtId="10" fontId="11" fillId="2" borderId="10" xfId="0" applyNumberFormat="1" applyFont="1" applyFill="1" applyBorder="1"/>
    <xf numFmtId="0" fontId="12" fillId="2" borderId="9" xfId="0" applyFont="1" applyFill="1" applyBorder="1"/>
    <xf numFmtId="0" fontId="12" fillId="2" borderId="10" xfId="0" applyFont="1" applyFill="1" applyBorder="1"/>
    <xf numFmtId="2" fontId="12" fillId="2" borderId="10" xfId="0" applyNumberFormat="1" applyFont="1" applyFill="1" applyBorder="1"/>
    <xf numFmtId="9" fontId="9" fillId="2" borderId="0" xfId="0" applyNumberFormat="1" applyFont="1" applyFill="1"/>
    <xf numFmtId="0" fontId="12" fillId="2" borderId="17" xfId="0" applyFont="1" applyFill="1" applyBorder="1"/>
    <xf numFmtId="0" fontId="1" fillId="2" borderId="0" xfId="1" applyFill="1" applyAlignment="1">
      <alignment horizontal="left"/>
    </xf>
    <xf numFmtId="164" fontId="10" fillId="2" borderId="0" xfId="1" applyNumberFormat="1" applyFont="1" applyFill="1"/>
    <xf numFmtId="0" fontId="9" fillId="2" borderId="0" xfId="1" applyFont="1" applyFill="1" applyAlignment="1">
      <alignment horizontal="left"/>
    </xf>
    <xf numFmtId="0" fontId="12" fillId="2" borderId="4" xfId="0" applyFont="1" applyFill="1" applyBorder="1"/>
    <xf numFmtId="165" fontId="9" fillId="2" borderId="0" xfId="0" applyNumberFormat="1" applyFont="1" applyFill="1"/>
    <xf numFmtId="165" fontId="9" fillId="2" borderId="17" xfId="0" applyNumberFormat="1" applyFont="1" applyFill="1" applyBorder="1"/>
    <xf numFmtId="2" fontId="11" fillId="2" borderId="0" xfId="0" applyNumberFormat="1" applyFont="1" applyFill="1"/>
    <xf numFmtId="9" fontId="11" fillId="2" borderId="0" xfId="2" applyFont="1" applyFill="1" applyBorder="1"/>
    <xf numFmtId="0" fontId="16" fillId="2" borderId="0" xfId="0" applyFont="1" applyFill="1"/>
    <xf numFmtId="9" fontId="16" fillId="2" borderId="0" xfId="2" applyFont="1" applyFill="1"/>
    <xf numFmtId="0" fontId="11" fillId="2" borderId="17" xfId="0" applyFont="1" applyFill="1" applyBorder="1"/>
    <xf numFmtId="0" fontId="16" fillId="2" borderId="17" xfId="0" applyFont="1" applyFill="1" applyBorder="1"/>
    <xf numFmtId="165" fontId="12" fillId="2" borderId="0" xfId="0" applyNumberFormat="1" applyFont="1" applyFill="1"/>
    <xf numFmtId="9" fontId="16" fillId="2" borderId="0" xfId="0" applyNumberFormat="1" applyFont="1" applyFill="1"/>
    <xf numFmtId="0" fontId="15" fillId="0" borderId="0" xfId="0" applyFont="1" applyAlignment="1">
      <alignment horizontal="center" vertical="top" wrapText="1"/>
    </xf>
  </cellXfs>
  <cellStyles count="3">
    <cellStyle name="Hyperlink" xfId="1" builtinId="8"/>
    <cellStyle name="Normal" xfId="0" builtinId="0"/>
    <cellStyle name="Percent" xfId="2" builtinId="5"/>
  </cellStyles>
  <dxfs count="31">
    <dxf>
      <font>
        <color rgb="FFBD352B"/>
      </font>
    </dxf>
    <dxf>
      <font>
        <color rgb="FFBD352B"/>
      </font>
    </dxf>
    <dxf>
      <font>
        <color rgb="FFBD352B"/>
      </font>
    </dxf>
    <dxf>
      <font>
        <color rgb="FFBD352B"/>
      </font>
    </dxf>
    <dxf>
      <font>
        <color rgb="FFBD352B"/>
      </font>
    </dxf>
    <dxf>
      <font>
        <color rgb="FFBD352B"/>
      </font>
    </dxf>
    <dxf>
      <font>
        <color rgb="FFBD352B"/>
      </font>
    </dxf>
    <dxf>
      <font>
        <b val="0"/>
        <i val="0"/>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b val="0"/>
        <i val="0"/>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
      <font>
        <color rgb="FFBD352B"/>
      </font>
    </dxf>
  </dxfs>
  <tableStyles count="0" defaultTableStyle="TableStyleMedium2" defaultPivotStyle="PivotStyleLight16"/>
  <colors>
    <mruColors>
      <color rgb="FFBD35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0</xdr:row>
      <xdr:rowOff>2590800</xdr:rowOff>
    </xdr:to>
    <xdr:pic>
      <xdr:nvPicPr>
        <xdr:cNvPr id="4" name="Picture 3">
          <a:extLst>
            <a:ext uri="{FF2B5EF4-FFF2-40B4-BE49-F238E27FC236}">
              <a16:creationId xmlns:a16="http://schemas.microsoft.com/office/drawing/2014/main" id="{5C6973A1-4622-508A-ED66-77D011E63D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90800" cy="259080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https://www.bing.com/financeapi/forcetrigger?t=bwvfa2&amp;q=XNAS%3aUPST&amp;form=skydnc</v>
    <v>Learn more on Bing</v>
  </rv>
  <rv s="1">
    <v>0</v>
    <v>Upstart Holdings Inc (XNAS:UPST)</v>
    <v>2</v>
    <v>3</v>
    <v>Finance</v>
    <v>4</v>
    <v>en-US</v>
    <v>bwvfa2</v>
    <v>268435456</v>
    <v>1</v>
    <v>Powered by Refinitiv</v>
    <v>401.48989999999998</v>
    <v>22.415500000000002</v>
    <v>2.3370000000000002</v>
    <v>-0.76500000000000001</v>
    <v>-3.2608999999999999E-2</v>
    <v>USD</v>
    <v>Upstart Holdings, Inc. is a cloud-based artificial intelligence (AI) lending platform. The Company’s platform aggregates consumer demand for loans and connects it to its network of Upstart AI-enabled bank partners. Its AI models are provided to bank partners within a consumer-facing cloud application that streamlines the end-to-end process of originating and servicing a loan. It has built a configurable, multi-tenant cloud application designed to integrate seamlessly into a bank’s existing technology systems. Its configurable platform allows each bank to define its own credit policy and determine the significant parameters of its lending program. The AI models use and analyze data from all of its bank partners. Its Consumers can discover Upstart-powered loans in one of two ways: either through Upstart.com or through a bank-branded product on its bank partners’ own websites. It has also made significant investments in Upstart Auto Retail, a front-end software-as-a-service application.</v>
    <v>1497</v>
    <v>Nasdaq Stock Market</v>
    <v>XNAS</v>
    <v>XNAS</v>
    <v>2950 S. Delaware Street, Suite 300, SAN MATEO, CA, 94403 US</v>
    <v>23.83</v>
    <v>Banking Services</v>
    <v>Stock</v>
    <v>44824.744050867972</v>
    <v>0</v>
    <v>22.69</v>
    <v>1846192860</v>
    <v>Upstart Holdings Inc</v>
    <v>Upstart Holdings Inc</v>
    <v>23</v>
    <v>26.082000000000001</v>
    <v>23.46</v>
    <v>22.695</v>
    <v>81348000</v>
    <v>UPST</v>
    <v>Upstart Holdings Inc (XNAS:UPST)</v>
    <v>4408443</v>
    <v>7209308</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whiteskycapita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pp.tikr.com/account/subs?ref=64an27" TargetMode="External"/><Relationship Id="rId2" Type="http://schemas.openxmlformats.org/officeDocument/2006/relationships/hyperlink" Target="https://app.tikr.com/account/subs?ref=64an27" TargetMode="External"/><Relationship Id="rId1" Type="http://schemas.openxmlformats.org/officeDocument/2006/relationships/hyperlink" Target="https://app.tikr.com/account/subs?ref=64an27" TargetMode="External"/><Relationship Id="rId6" Type="http://schemas.openxmlformats.org/officeDocument/2006/relationships/hyperlink" Target="https://app.tikr.com/account/subs?ref=64an27" TargetMode="External"/><Relationship Id="rId5" Type="http://schemas.openxmlformats.org/officeDocument/2006/relationships/hyperlink" Target="https://app.tikr.com/account/subs?ref=64an27" TargetMode="External"/><Relationship Id="rId4" Type="http://schemas.openxmlformats.org/officeDocument/2006/relationships/hyperlink" Target="https://app.tikr.com/account/subs?ref=64an2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tikr.com/account/subs?ref=64an27" TargetMode="External"/><Relationship Id="rId3" Type="http://schemas.openxmlformats.org/officeDocument/2006/relationships/hyperlink" Target="https://app.tikr.com/account/subs?ref=64an27" TargetMode="External"/><Relationship Id="rId7" Type="http://schemas.openxmlformats.org/officeDocument/2006/relationships/hyperlink" Target="https://app.tikr.com/account/subs?ref=64an27" TargetMode="External"/><Relationship Id="rId2" Type="http://schemas.openxmlformats.org/officeDocument/2006/relationships/hyperlink" Target="https://app.tikr.com/account/subs?ref=64an27" TargetMode="External"/><Relationship Id="rId1" Type="http://schemas.openxmlformats.org/officeDocument/2006/relationships/hyperlink" Target="https://app.tikr.com/account/subs?ref=64an27" TargetMode="External"/><Relationship Id="rId6" Type="http://schemas.openxmlformats.org/officeDocument/2006/relationships/hyperlink" Target="https://app.tikr.com/account/subs?ref=64an27" TargetMode="External"/><Relationship Id="rId5" Type="http://schemas.openxmlformats.org/officeDocument/2006/relationships/hyperlink" Target="https://app.tikr.com/account/subs?ref=64an27" TargetMode="External"/><Relationship Id="rId4" Type="http://schemas.openxmlformats.org/officeDocument/2006/relationships/hyperlink" Target="https://app.tikr.com/account/subs?ref=64an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023B-C9DE-A643-84E0-907C0A7F451C}">
  <dimension ref="A1:F29"/>
  <sheetViews>
    <sheetView workbookViewId="0">
      <selection activeCell="D9" sqref="D9"/>
    </sheetView>
  </sheetViews>
  <sheetFormatPr baseColWidth="10" defaultRowHeight="16"/>
  <cols>
    <col min="1" max="1" width="33.83203125" style="22" customWidth="1"/>
    <col min="2" max="16384" width="10.83203125" style="22"/>
  </cols>
  <sheetData>
    <row r="1" spans="1:1" ht="206" customHeight="1"/>
    <row r="4" spans="1:1">
      <c r="A4" s="52" t="s">
        <v>177</v>
      </c>
    </row>
    <row r="5" spans="1:1">
      <c r="A5" s="52" t="s">
        <v>133</v>
      </c>
    </row>
    <row r="9" spans="1:1">
      <c r="A9" s="71" t="s">
        <v>186</v>
      </c>
    </row>
    <row r="10" spans="1:1">
      <c r="A10" s="71" t="s">
        <v>137</v>
      </c>
    </row>
    <row r="11" spans="1:1">
      <c r="A11" s="71" t="s">
        <v>136</v>
      </c>
    </row>
    <row r="12" spans="1:1">
      <c r="A12" s="71" t="s">
        <v>205</v>
      </c>
    </row>
    <row r="13" spans="1:1">
      <c r="A13" s="71" t="s">
        <v>206</v>
      </c>
    </row>
    <row r="26" spans="1:6">
      <c r="A26" s="72" t="s">
        <v>178</v>
      </c>
    </row>
    <row r="27" spans="1:6" s="53" customFormat="1">
      <c r="A27" s="54" t="s">
        <v>179</v>
      </c>
    </row>
    <row r="28" spans="1:6" s="53" customFormat="1"/>
    <row r="29" spans="1:6" s="53" customFormat="1" ht="285" customHeight="1">
      <c r="A29" s="84" t="s">
        <v>180</v>
      </c>
      <c r="B29" s="84"/>
      <c r="C29" s="84"/>
      <c r="D29" s="84"/>
      <c r="E29" s="84"/>
      <c r="F29" s="84"/>
    </row>
  </sheetData>
  <mergeCells count="1">
    <mergeCell ref="A29:F29"/>
  </mergeCells>
  <conditionalFormatting sqref="A9:A13">
    <cfRule type="cellIs" dxfId="30" priority="1" operator="lessThan">
      <formula>0</formula>
    </cfRule>
  </conditionalFormatting>
  <hyperlinks>
    <hyperlink ref="A26" r:id="rId1" xr:uid="{47A199FC-6EB6-4B4A-A752-C8DCA8F77DE1}"/>
    <hyperlink ref="A9" location="Main!A1" display="Main" xr:uid="{6E79BD3A-B46E-B841-A8F6-A6D41929D3CC}"/>
    <hyperlink ref="A10" location="'Revenue Build'!A1" display="Revenue Build" xr:uid="{FDE5C1E7-A650-4B47-93A0-385019B43191}"/>
    <hyperlink ref="A11" location="'P&amp;L GAAP'!A1" display="P&amp;L GAAP" xr:uid="{164CEBE5-3A7F-F44D-B840-334DF07B0944}"/>
    <hyperlink ref="A12" location="BS!A1" display="BS" xr:uid="{5FD56826-B50A-9349-9FDA-0EB7AA970BEB}"/>
    <hyperlink ref="A13" location="CFS!A1" display="CFS" xr:uid="{EEE12E93-9F06-D54F-9393-D78B3523135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E17DD-AFE4-1C4A-B6FB-E076A76B8E5F}">
  <dimension ref="A1:AF46"/>
  <sheetViews>
    <sheetView workbookViewId="0">
      <pane xSplit="1" ySplit="14" topLeftCell="B36" activePane="bottomRight" state="frozen"/>
      <selection pane="topRight" activeCell="B1" sqref="B1"/>
      <selection pane="bottomLeft" activeCell="A8" sqref="A8"/>
      <selection pane="bottomRight" activeCell="A41" sqref="A41:XFD41"/>
    </sheetView>
  </sheetViews>
  <sheetFormatPr baseColWidth="10" defaultRowHeight="16"/>
  <cols>
    <col min="1" max="1" width="48.5" style="22" bestFit="1" customWidth="1"/>
    <col min="2" max="4" width="8" style="22" bestFit="1" customWidth="1"/>
    <col min="5" max="5" width="9.1640625" style="22" bestFit="1" customWidth="1"/>
    <col min="6" max="8" width="8" style="22" bestFit="1" customWidth="1"/>
    <col min="9" max="9" width="9.1640625" style="22" bestFit="1" customWidth="1"/>
    <col min="10" max="10" width="8" style="22" bestFit="1" customWidth="1"/>
    <col min="11" max="11" width="8" style="31" bestFit="1" customWidth="1"/>
    <col min="12" max="12" width="8" style="22" bestFit="1" customWidth="1"/>
    <col min="13" max="13" width="9.1640625" style="22" bestFit="1" customWidth="1"/>
    <col min="14" max="16" width="8" style="22" bestFit="1" customWidth="1"/>
    <col min="17" max="17" width="9.1640625" style="22" bestFit="1" customWidth="1"/>
    <col min="18" max="20" width="8" style="22" bestFit="1" customWidth="1"/>
    <col min="21" max="21" width="9.1640625" style="22" bestFit="1" customWidth="1"/>
    <col min="22" max="24" width="10.83203125" style="22"/>
    <col min="25" max="25" width="7.5" style="22" bestFit="1" customWidth="1"/>
    <col min="26" max="32" width="5.83203125" style="22" bestFit="1" customWidth="1"/>
    <col min="33" max="16384" width="10.83203125" style="22"/>
  </cols>
  <sheetData>
    <row r="1" spans="1:32" ht="81" customHeight="1">
      <c r="A1" s="1" t="s">
        <v>135</v>
      </c>
    </row>
    <row r="2" spans="1:32" ht="26">
      <c r="A2" s="21" t="s">
        <v>134</v>
      </c>
    </row>
    <row r="3" spans="1:32">
      <c r="A3" s="22" t="s">
        <v>133</v>
      </c>
    </row>
    <row r="4" spans="1:32">
      <c r="A4" s="32" t="s">
        <v>185</v>
      </c>
    </row>
    <row r="5" spans="1:32">
      <c r="A5" s="32"/>
    </row>
    <row r="6" spans="1:32">
      <c r="A6" s="70"/>
    </row>
    <row r="7" spans="1:32">
      <c r="A7" s="71" t="s">
        <v>186</v>
      </c>
    </row>
    <row r="8" spans="1:32">
      <c r="A8" s="71" t="s">
        <v>137</v>
      </c>
    </row>
    <row r="9" spans="1:32">
      <c r="A9" s="71" t="s">
        <v>136</v>
      </c>
    </row>
    <row r="10" spans="1:32">
      <c r="A10" s="71" t="s">
        <v>205</v>
      </c>
    </row>
    <row r="11" spans="1:32">
      <c r="A11" s="71" t="s">
        <v>206</v>
      </c>
    </row>
    <row r="13" spans="1:32">
      <c r="B13" s="25" t="s">
        <v>106</v>
      </c>
      <c r="C13" s="26" t="s">
        <v>107</v>
      </c>
      <c r="D13" s="26" t="s">
        <v>108</v>
      </c>
      <c r="E13" s="26" t="s">
        <v>109</v>
      </c>
      <c r="F13" s="26" t="s">
        <v>110</v>
      </c>
      <c r="G13" s="26" t="s">
        <v>111</v>
      </c>
      <c r="H13" s="26" t="s">
        <v>112</v>
      </c>
      <c r="I13" s="26" t="s">
        <v>113</v>
      </c>
      <c r="J13" s="26" t="s">
        <v>114</v>
      </c>
      <c r="K13" s="33" t="s">
        <v>115</v>
      </c>
      <c r="L13" s="26" t="s">
        <v>116</v>
      </c>
      <c r="M13" s="26" t="s">
        <v>117</v>
      </c>
      <c r="N13" s="26" t="s">
        <v>118</v>
      </c>
      <c r="O13" s="26" t="s">
        <v>119</v>
      </c>
      <c r="P13" s="26" t="s">
        <v>120</v>
      </c>
      <c r="Q13" s="26" t="s">
        <v>121</v>
      </c>
      <c r="R13" s="26" t="s">
        <v>122</v>
      </c>
      <c r="S13" s="26" t="s">
        <v>123</v>
      </c>
      <c r="T13" s="26" t="s">
        <v>124</v>
      </c>
      <c r="U13" s="27" t="s">
        <v>125</v>
      </c>
      <c r="Y13" s="25" t="s">
        <v>187</v>
      </c>
      <c r="Z13" s="26" t="s">
        <v>127</v>
      </c>
      <c r="AA13" s="26" t="s">
        <v>129</v>
      </c>
      <c r="AB13" s="26" t="s">
        <v>130</v>
      </c>
      <c r="AC13" s="34" t="s">
        <v>131</v>
      </c>
      <c r="AD13" s="26" t="s">
        <v>181</v>
      </c>
      <c r="AE13" s="26" t="s">
        <v>183</v>
      </c>
      <c r="AF13" s="27" t="s">
        <v>184</v>
      </c>
    </row>
    <row r="14" spans="1:32">
      <c r="A14" s="35" t="s">
        <v>186</v>
      </c>
      <c r="B14" s="28">
        <v>43921</v>
      </c>
      <c r="C14" s="29">
        <v>44012</v>
      </c>
      <c r="D14" s="29">
        <v>44104</v>
      </c>
      <c r="E14" s="29">
        <v>44196</v>
      </c>
      <c r="F14" s="29">
        <v>44286</v>
      </c>
      <c r="G14" s="29">
        <v>44377</v>
      </c>
      <c r="H14" s="29">
        <v>44469</v>
      </c>
      <c r="I14" s="29">
        <v>44561</v>
      </c>
      <c r="J14" s="29">
        <v>44651</v>
      </c>
      <c r="K14" s="36">
        <f>G14+365</f>
        <v>44742</v>
      </c>
      <c r="L14" s="29">
        <f t="shared" ref="L14:Q14" si="0">H14+365</f>
        <v>44834</v>
      </c>
      <c r="M14" s="29">
        <f t="shared" si="0"/>
        <v>44926</v>
      </c>
      <c r="N14" s="29">
        <f t="shared" si="0"/>
        <v>45016</v>
      </c>
      <c r="O14" s="29">
        <f t="shared" si="0"/>
        <v>45107</v>
      </c>
      <c r="P14" s="29">
        <f t="shared" si="0"/>
        <v>45199</v>
      </c>
      <c r="Q14" s="29">
        <f t="shared" si="0"/>
        <v>45291</v>
      </c>
      <c r="R14" s="29">
        <f>N14+366</f>
        <v>45382</v>
      </c>
      <c r="S14" s="29">
        <f t="shared" ref="S14:U14" si="1">O14+366</f>
        <v>45473</v>
      </c>
      <c r="T14" s="29">
        <f t="shared" si="1"/>
        <v>45565</v>
      </c>
      <c r="U14" s="30">
        <f t="shared" si="1"/>
        <v>45657</v>
      </c>
      <c r="Y14" s="37"/>
      <c r="Z14" s="38"/>
      <c r="AA14" s="38"/>
      <c r="AB14" s="38"/>
      <c r="AC14" s="39"/>
      <c r="AD14" s="38"/>
      <c r="AE14" s="38"/>
      <c r="AF14" s="40"/>
    </row>
    <row r="15" spans="1:32" s="35" customFormat="1">
      <c r="A15" s="35" t="s">
        <v>0</v>
      </c>
      <c r="B15" s="82">
        <f>'Revenue Build'!B44</f>
        <v>63.989999999999995</v>
      </c>
      <c r="C15" s="82">
        <f>'Revenue Build'!C44</f>
        <v>17.344000000000001</v>
      </c>
      <c r="D15" s="82">
        <f>'Revenue Build'!D44</f>
        <v>65.36</v>
      </c>
      <c r="E15" s="82">
        <f>'Revenue Build'!E44</f>
        <v>86.722000000000008</v>
      </c>
      <c r="F15" s="82">
        <f>'Revenue Build'!F44</f>
        <v>121.35</v>
      </c>
      <c r="G15" s="82">
        <f>'Revenue Build'!G44</f>
        <v>193.95000000000002</v>
      </c>
      <c r="H15" s="82">
        <f>'Revenue Build'!H44</f>
        <v>228.45</v>
      </c>
      <c r="I15" s="82">
        <f>'Revenue Build'!I44</f>
        <v>304.83899999999994</v>
      </c>
      <c r="J15" s="82">
        <f>'Revenue Build'!J44</f>
        <v>310.13</v>
      </c>
      <c r="K15" s="69"/>
    </row>
    <row r="16" spans="1:32">
      <c r="A16" s="22" t="s">
        <v>192</v>
      </c>
      <c r="B16" s="74">
        <f>'Revenue Build'!B14</f>
        <v>60.23</v>
      </c>
      <c r="C16" s="74">
        <f>'Revenue Build'!C14</f>
        <v>7.61</v>
      </c>
      <c r="D16" s="74">
        <f>'Revenue Build'!D14</f>
        <v>55.64</v>
      </c>
      <c r="E16" s="74">
        <f>'Revenue Build'!E14</f>
        <v>76.777000000000001</v>
      </c>
      <c r="F16" s="74">
        <f>'Revenue Build'!F14</f>
        <v>106.95</v>
      </c>
      <c r="G16" s="74">
        <f>'Revenue Build'!G14</f>
        <v>169.08</v>
      </c>
      <c r="H16" s="74">
        <f>'Revenue Build'!H14</f>
        <v>191.44</v>
      </c>
      <c r="I16" s="74">
        <f>'Revenue Build'!I14</f>
        <v>258.69099999999992</v>
      </c>
      <c r="J16" s="74">
        <f>'Revenue Build'!J14</f>
        <v>271.81</v>
      </c>
    </row>
    <row r="17" spans="1:11">
      <c r="A17" s="22" t="s">
        <v>191</v>
      </c>
      <c r="B17" s="74">
        <f>'Revenue Build'!B18</f>
        <v>7.78</v>
      </c>
      <c r="C17" s="74">
        <f>'Revenue Build'!C18</f>
        <v>5.69</v>
      </c>
      <c r="D17" s="74">
        <f>'Revenue Build'!D18</f>
        <v>7.22</v>
      </c>
      <c r="E17" s="74">
        <f>'Revenue Build'!E18</f>
        <v>7.6529999999999987</v>
      </c>
      <c r="F17" s="74">
        <f>'Revenue Build'!F18</f>
        <v>9.2200000000000006</v>
      </c>
      <c r="G17" s="74">
        <f>'Revenue Build'!G18</f>
        <v>18.22</v>
      </c>
      <c r="H17" s="74">
        <f>'Revenue Build'!H18</f>
        <v>18.98</v>
      </c>
      <c r="I17" s="74">
        <f>'Revenue Build'!I18</f>
        <v>28.694000000000003</v>
      </c>
      <c r="J17" s="74">
        <f>'Revenue Build'!J18</f>
        <v>42.17</v>
      </c>
    </row>
    <row r="18" spans="1:11">
      <c r="A18" s="22" t="s">
        <v>194</v>
      </c>
      <c r="B18" s="74">
        <f>'Revenue Build'!B40</f>
        <v>-4.0199999999999996</v>
      </c>
      <c r="C18" s="74">
        <f>'Revenue Build'!C40</f>
        <v>4.0440000000000005</v>
      </c>
      <c r="D18" s="74">
        <f>'Revenue Build'!D40</f>
        <v>2.4999999999999991</v>
      </c>
      <c r="E18" s="74">
        <f>'Revenue Build'!E40</f>
        <v>2.291999999999998</v>
      </c>
      <c r="F18" s="74">
        <f>'Revenue Build'!F40</f>
        <v>5.18</v>
      </c>
      <c r="G18" s="74">
        <f>'Revenue Build'!G40</f>
        <v>6.6499999999999995</v>
      </c>
      <c r="H18" s="74">
        <f>'Revenue Build'!H40</f>
        <v>18.03</v>
      </c>
      <c r="I18" s="74">
        <f>'Revenue Build'!I40</f>
        <v>17.454000000000001</v>
      </c>
      <c r="J18" s="74">
        <f>'Revenue Build'!J40</f>
        <v>-3.8499999999999979</v>
      </c>
    </row>
    <row r="20" spans="1:11" s="78" customFormat="1">
      <c r="A20" s="78" t="s">
        <v>189</v>
      </c>
      <c r="F20" s="79">
        <f>F15/B15-1</f>
        <v>0.896390060947023</v>
      </c>
      <c r="G20" s="79">
        <f t="shared" ref="G20:J23" si="2">G15/C15-1</f>
        <v>10.18254151291513</v>
      </c>
      <c r="H20" s="79">
        <f t="shared" si="2"/>
        <v>2.4952570379436962</v>
      </c>
      <c r="I20" s="79">
        <f t="shared" si="2"/>
        <v>2.5151288023800178</v>
      </c>
      <c r="J20" s="79">
        <f t="shared" si="2"/>
        <v>1.5556654305727236</v>
      </c>
      <c r="K20" s="81"/>
    </row>
    <row r="21" spans="1:11" s="59" customFormat="1">
      <c r="A21" s="59" t="s">
        <v>190</v>
      </c>
      <c r="F21" s="61">
        <f t="shared" ref="F21:F23" si="3">F16/B16-1</f>
        <v>0.77569317615806099</v>
      </c>
      <c r="G21" s="61">
        <f t="shared" si="2"/>
        <v>21.218134034165573</v>
      </c>
      <c r="H21" s="61">
        <f t="shared" si="2"/>
        <v>2.4406901509705246</v>
      </c>
      <c r="I21" s="61">
        <f t="shared" si="2"/>
        <v>2.3693814553837726</v>
      </c>
      <c r="J21" s="61">
        <f t="shared" si="2"/>
        <v>1.5414679756895744</v>
      </c>
      <c r="K21" s="80"/>
    </row>
    <row r="22" spans="1:11" s="59" customFormat="1">
      <c r="A22" s="59" t="s">
        <v>195</v>
      </c>
      <c r="F22" s="61">
        <f t="shared" si="3"/>
        <v>0.18508997429305918</v>
      </c>
      <c r="G22" s="61">
        <f t="shared" si="2"/>
        <v>2.2021089630931456</v>
      </c>
      <c r="H22" s="61">
        <f t="shared" si="2"/>
        <v>1.628808864265928</v>
      </c>
      <c r="I22" s="61">
        <f t="shared" si="2"/>
        <v>2.7493793283679611</v>
      </c>
      <c r="J22" s="61">
        <f t="shared" si="2"/>
        <v>3.5737527114967458</v>
      </c>
      <c r="K22" s="80"/>
    </row>
    <row r="23" spans="1:11" s="59" customFormat="1">
      <c r="A23" s="59" t="s">
        <v>196</v>
      </c>
      <c r="F23" s="61">
        <f t="shared" si="3"/>
        <v>-2.2885572139303481</v>
      </c>
      <c r="G23" s="61">
        <f t="shared" si="2"/>
        <v>0.64441147378832797</v>
      </c>
      <c r="H23" s="61">
        <f t="shared" si="2"/>
        <v>6.2120000000000033</v>
      </c>
      <c r="I23" s="61">
        <f t="shared" si="2"/>
        <v>6.6151832460733049</v>
      </c>
      <c r="J23" s="61">
        <f t="shared" si="2"/>
        <v>-1.743243243243243</v>
      </c>
      <c r="K23" s="80"/>
    </row>
    <row r="25" spans="1:11">
      <c r="A25" s="22" t="s">
        <v>2</v>
      </c>
      <c r="B25" s="74">
        <f>'P&amp;L GAAP'!D22</f>
        <v>55.179999999999993</v>
      </c>
      <c r="C25" s="74">
        <f>'P&amp;L GAAP'!E22</f>
        <v>10.724</v>
      </c>
      <c r="D25" s="74">
        <f>'P&amp;L GAAP'!F22</f>
        <v>56</v>
      </c>
      <c r="E25" s="74">
        <f>'P&amp;L GAAP'!G22</f>
        <v>73.932000000000016</v>
      </c>
      <c r="F25" s="74">
        <f>'P&amp;L GAAP'!H22</f>
        <v>103.96</v>
      </c>
      <c r="G25" s="74">
        <f>'P&amp;L GAAP'!I22</f>
        <v>169.79000000000002</v>
      </c>
      <c r="H25" s="74">
        <f>'P&amp;L GAAP'!J22</f>
        <v>193.47</v>
      </c>
      <c r="I25" s="74">
        <f>'P&amp;L GAAP'!K22</f>
        <v>263.78899999999993</v>
      </c>
      <c r="J25" s="74">
        <f>'P&amp;L GAAP'!L22</f>
        <v>261.72000000000003</v>
      </c>
    </row>
    <row r="26" spans="1:11">
      <c r="A26" s="22" t="s">
        <v>200</v>
      </c>
      <c r="B26" s="74">
        <f>'P&amp;L GAAP'!D40</f>
        <v>-54.63</v>
      </c>
      <c r="C26" s="74">
        <f>'P&amp;L GAAP'!E40</f>
        <v>-22.12</v>
      </c>
      <c r="D26" s="74">
        <f>'P&amp;L GAAP'!F40</f>
        <v>-43.79</v>
      </c>
      <c r="E26" s="74">
        <f>'P&amp;L GAAP'!G40</f>
        <v>-63.53</v>
      </c>
      <c r="F26" s="74">
        <f>'P&amp;L GAAP'!H40</f>
        <v>-88.38</v>
      </c>
      <c r="G26" s="74">
        <f>'P&amp;L GAAP'!I40</f>
        <v>-133.47</v>
      </c>
      <c r="H26" s="74">
        <f>'P&amp;L GAAP'!J40</f>
        <v>-164.87</v>
      </c>
      <c r="I26" s="74">
        <f>'P&amp;L GAAP'!K40</f>
        <v>-203.39</v>
      </c>
      <c r="J26" s="74">
        <f>'P&amp;L GAAP'!L40</f>
        <v>-226.9</v>
      </c>
    </row>
    <row r="27" spans="1:11" s="35" customFormat="1">
      <c r="A27" s="35" t="s">
        <v>201</v>
      </c>
      <c r="B27" s="82">
        <f>'P&amp;L GAAP'!D43</f>
        <v>0.54999999999999005</v>
      </c>
      <c r="C27" s="82">
        <f>'P&amp;L GAAP'!E43</f>
        <v>-11.396000000000001</v>
      </c>
      <c r="D27" s="82">
        <f>'P&amp;L GAAP'!F43</f>
        <v>12.21</v>
      </c>
      <c r="E27" s="82">
        <f>'P&amp;L GAAP'!G43</f>
        <v>10.402000000000015</v>
      </c>
      <c r="F27" s="82">
        <f>'P&amp;L GAAP'!H43</f>
        <v>15.579999999999998</v>
      </c>
      <c r="G27" s="82">
        <f>'P&amp;L GAAP'!I43</f>
        <v>36.320000000000022</v>
      </c>
      <c r="H27" s="82">
        <f>'P&amp;L GAAP'!J43</f>
        <v>28.599999999999994</v>
      </c>
      <c r="I27" s="82">
        <f>'P&amp;L GAAP'!K43</f>
        <v>60.398999999999944</v>
      </c>
      <c r="J27" s="82">
        <f>'P&amp;L GAAP'!L43</f>
        <v>34.820000000000022</v>
      </c>
      <c r="K27" s="69"/>
    </row>
    <row r="29" spans="1:11" s="59" customFormat="1">
      <c r="A29" s="59" t="s">
        <v>203</v>
      </c>
      <c r="F29" s="61">
        <f>F25/B25-1</f>
        <v>0.88401594780717674</v>
      </c>
      <c r="G29" s="61">
        <f t="shared" ref="G29:J31" si="4">G25/C25-1</f>
        <v>14.83271167474823</v>
      </c>
      <c r="H29" s="61">
        <f t="shared" si="4"/>
        <v>2.4548214285714285</v>
      </c>
      <c r="I29" s="61">
        <f t="shared" si="4"/>
        <v>2.5679949142455212</v>
      </c>
      <c r="J29" s="61">
        <f t="shared" si="4"/>
        <v>1.5175067333589847</v>
      </c>
      <c r="K29" s="80"/>
    </row>
    <row r="30" spans="1:11" s="59" customFormat="1">
      <c r="A30" s="59" t="s">
        <v>202</v>
      </c>
      <c r="F30" s="61">
        <f t="shared" ref="F30:F31" si="5">F26/B26-1</f>
        <v>0.61779242174629312</v>
      </c>
      <c r="G30" s="61">
        <f t="shared" si="4"/>
        <v>5.0339059674502709</v>
      </c>
      <c r="H30" s="61">
        <f t="shared" si="4"/>
        <v>2.765014843571592</v>
      </c>
      <c r="I30" s="61">
        <f t="shared" si="4"/>
        <v>2.201479615929482</v>
      </c>
      <c r="J30" s="61">
        <f t="shared" si="4"/>
        <v>1.5673229237384025</v>
      </c>
      <c r="K30" s="80"/>
    </row>
    <row r="31" spans="1:11" s="78" customFormat="1">
      <c r="A31" s="78" t="s">
        <v>204</v>
      </c>
      <c r="F31" s="79">
        <f t="shared" si="5"/>
        <v>27.327272727273236</v>
      </c>
      <c r="G31" s="79" t="s">
        <v>212</v>
      </c>
      <c r="H31" s="79">
        <f t="shared" si="4"/>
        <v>1.3423423423423415</v>
      </c>
      <c r="I31" s="79">
        <f t="shared" si="4"/>
        <v>4.8064795231686075</v>
      </c>
      <c r="J31" s="79">
        <f t="shared" si="4"/>
        <v>1.2349165596919143</v>
      </c>
      <c r="K31" s="81"/>
    </row>
    <row r="32" spans="1:11">
      <c r="A32" s="35"/>
    </row>
    <row r="33" spans="1:21" s="59" customFormat="1">
      <c r="A33" s="59" t="s">
        <v>199</v>
      </c>
      <c r="B33" s="60">
        <f>'P&amp;L GAAP'!D41</f>
        <v>-0.85372714486638546</v>
      </c>
      <c r="C33" s="60">
        <f>'P&amp;L GAAP'!E41</f>
        <v>-1.2753690036900369</v>
      </c>
      <c r="D33" s="60">
        <f>'P&amp;L GAAP'!F41</f>
        <v>-0.66998164014687878</v>
      </c>
      <c r="E33" s="60">
        <f>'P&amp;L GAAP'!G41</f>
        <v>-0.73257074329466565</v>
      </c>
      <c r="F33" s="60">
        <f>'P&amp;L GAAP'!H41</f>
        <v>-0.72830655129789867</v>
      </c>
      <c r="G33" s="60">
        <f>'P&amp;L GAAP'!I41</f>
        <v>-0.68816705336426909</v>
      </c>
      <c r="H33" s="60">
        <f>'P&amp;L GAAP'!J41</f>
        <v>-0.72168964762530097</v>
      </c>
      <c r="I33" s="60">
        <f>'P&amp;L GAAP'!K41</f>
        <v>-0.66720465557228581</v>
      </c>
      <c r="J33" s="60">
        <f>'P&amp;L GAAP'!L41</f>
        <v>-0.73162867184728975</v>
      </c>
      <c r="K33" s="80"/>
    </row>
    <row r="34" spans="1:21" s="59" customFormat="1">
      <c r="A34" s="59" t="s">
        <v>197</v>
      </c>
      <c r="B34" s="60">
        <f>'P&amp;L GAAP'!D24</f>
        <v>0.86899999999999999</v>
      </c>
      <c r="C34" s="60">
        <f>'P&amp;L GAAP'!E24</f>
        <v>0.66200000000000003</v>
      </c>
      <c r="D34" s="60">
        <f>'P&amp;L GAAP'!F24</f>
        <v>0.86</v>
      </c>
      <c r="E34" s="60">
        <f>'P&amp;L GAAP'!G24</f>
        <v>0.85399999999999998</v>
      </c>
      <c r="F34" s="60">
        <f>'P&amp;L GAAP'!H24</f>
        <v>0.85799999999999998</v>
      </c>
      <c r="G34" s="60">
        <f>'P&amp;L GAAP'!I24</f>
        <v>0.876</v>
      </c>
      <c r="H34" s="60">
        <f>'P&amp;L GAAP'!J24</f>
        <v>0.84699999999999998</v>
      </c>
      <c r="I34" s="60">
        <f>'P&amp;L GAAP'!K24</f>
        <v>0.86599999999999999</v>
      </c>
      <c r="J34" s="60">
        <f>'P&amp;L GAAP'!L24</f>
        <v>0.84399999999999997</v>
      </c>
      <c r="K34" s="80"/>
    </row>
    <row r="35" spans="1:21" s="78" customFormat="1">
      <c r="A35" s="78" t="s">
        <v>198</v>
      </c>
      <c r="B35" s="83">
        <f>'P&amp;L GAAP'!D45</f>
        <v>8.5950929832784833E-3</v>
      </c>
      <c r="C35" s="83">
        <f>'P&amp;L GAAP'!E45</f>
        <v>-0.65705719557195574</v>
      </c>
      <c r="D35" s="83">
        <f>'P&amp;L GAAP'!F45</f>
        <v>0.18681150550795594</v>
      </c>
      <c r="E35" s="83">
        <f>'P&amp;L GAAP'!G45</f>
        <v>0.11994649569890009</v>
      </c>
      <c r="F35" s="83">
        <f>'P&amp;L GAAP'!H45</f>
        <v>0.12838895756077462</v>
      </c>
      <c r="G35" s="83">
        <f>'P&amp;L GAAP'!I45</f>
        <v>0.18726475895849456</v>
      </c>
      <c r="H35" s="83">
        <f>'P&amp;L GAAP'!J45</f>
        <v>0.12519150798861894</v>
      </c>
      <c r="I35" s="83">
        <f>'P&amp;L GAAP'!K45</f>
        <v>0.19813409701514556</v>
      </c>
      <c r="J35" s="83">
        <f>'P&amp;L GAAP'!L45</f>
        <v>0.11227549737206982</v>
      </c>
      <c r="K35" s="81"/>
    </row>
    <row r="37" spans="1:21" s="35" customFormat="1">
      <c r="A37" s="35" t="s">
        <v>17</v>
      </c>
      <c r="B37" s="35">
        <f>'P&amp;L GAAP'!D67</f>
        <v>1.47999999999999</v>
      </c>
      <c r="C37" s="35">
        <f>'P&amp;L GAAP'!E67</f>
        <v>-6.19</v>
      </c>
      <c r="D37" s="35">
        <f>'P&amp;L GAAP'!F67</f>
        <v>9.67</v>
      </c>
      <c r="E37" s="35">
        <f>'P&amp;L GAAP'!G67</f>
        <v>1.0299999999999998</v>
      </c>
      <c r="F37" s="35">
        <f>'P&amp;L GAAP'!H67</f>
        <v>10.1</v>
      </c>
      <c r="G37" s="35">
        <f>'P&amp;L GAAP'!I67</f>
        <v>37.28</v>
      </c>
      <c r="H37" s="35">
        <f>'P&amp;L GAAP'!J67</f>
        <v>29.12</v>
      </c>
      <c r="I37" s="35">
        <f>'P&amp;L GAAP'!K67</f>
        <v>58.95</v>
      </c>
      <c r="J37" s="35">
        <f>'P&amp;L GAAP'!L67</f>
        <v>32.69</v>
      </c>
      <c r="K37" s="69"/>
    </row>
    <row r="38" spans="1:21">
      <c r="A38" s="35"/>
    </row>
    <row r="39" spans="1:21" s="78" customFormat="1">
      <c r="A39" s="78" t="s">
        <v>207</v>
      </c>
      <c r="F39" s="79">
        <f>F37/B37-1</f>
        <v>5.8243243243243699</v>
      </c>
      <c r="G39" s="79" t="s">
        <v>212</v>
      </c>
      <c r="H39" s="79">
        <f t="shared" ref="H39:J39" si="6">H37/D37-1</f>
        <v>2.0113753877973113</v>
      </c>
      <c r="I39" s="79">
        <f t="shared" si="6"/>
        <v>56.233009708737875</v>
      </c>
      <c r="J39" s="79">
        <f t="shared" si="6"/>
        <v>2.2366336633663364</v>
      </c>
      <c r="K39" s="81"/>
    </row>
    <row r="41" spans="1:21">
      <c r="A41" s="22" t="s">
        <v>21</v>
      </c>
      <c r="B41" s="74">
        <f>'P&amp;L GAAP'!D77</f>
        <v>14.63</v>
      </c>
      <c r="C41" s="74">
        <f>'P&amp;L GAAP'!E77</f>
        <v>14.66</v>
      </c>
      <c r="D41" s="74">
        <f>'P&amp;L GAAP'!F77</f>
        <v>14.71</v>
      </c>
      <c r="E41" s="74">
        <f>'P&amp;L GAAP'!G77</f>
        <v>26</v>
      </c>
      <c r="F41" s="74">
        <f>'P&amp;L GAAP'!H77</f>
        <v>73.63</v>
      </c>
      <c r="G41" s="74">
        <f>'P&amp;L GAAP'!I77</f>
        <v>76.67</v>
      </c>
      <c r="H41" s="74">
        <f>'P&amp;L GAAP'!J77</f>
        <v>79.39</v>
      </c>
      <c r="I41" s="74">
        <f>'P&amp;L GAAP'!K77</f>
        <v>82.62</v>
      </c>
      <c r="J41" s="74">
        <f>'P&amp;L GAAP'!L77</f>
        <v>84.23</v>
      </c>
      <c r="K41" s="74">
        <f>'P&amp;L GAAP'!M77</f>
        <v>82</v>
      </c>
      <c r="L41" s="74">
        <f>'P&amp;L GAAP'!N77</f>
        <v>80</v>
      </c>
      <c r="M41" s="74">
        <f>'P&amp;L GAAP'!O77</f>
        <v>79</v>
      </c>
      <c r="N41" s="74">
        <f>'P&amp;L GAAP'!P77</f>
        <v>81</v>
      </c>
      <c r="O41" s="74">
        <f>'P&amp;L GAAP'!Q77</f>
        <v>83</v>
      </c>
      <c r="P41" s="74">
        <f>'P&amp;L GAAP'!R77</f>
        <v>84</v>
      </c>
      <c r="Q41" s="74">
        <f>'P&amp;L GAAP'!S77</f>
        <v>0</v>
      </c>
      <c r="R41" s="74">
        <f>'P&amp;L GAAP'!T77</f>
        <v>0</v>
      </c>
      <c r="S41" s="74">
        <f>'P&amp;L GAAP'!U77</f>
        <v>0</v>
      </c>
      <c r="T41" s="74">
        <f>'P&amp;L GAAP'!V77</f>
        <v>0</v>
      </c>
      <c r="U41" s="74">
        <f>'P&amp;L GAAP'!W77</f>
        <v>0</v>
      </c>
    </row>
    <row r="42" spans="1:21">
      <c r="A42" s="22" t="s">
        <v>20</v>
      </c>
      <c r="B42" s="74">
        <f>'P&amp;L GAAP'!D74</f>
        <v>14.63</v>
      </c>
      <c r="C42" s="74">
        <f>'P&amp;L GAAP'!E74</f>
        <v>14.66</v>
      </c>
      <c r="D42" s="74">
        <f>'P&amp;L GAAP'!F74</f>
        <v>26.75</v>
      </c>
      <c r="E42" s="74">
        <f>'P&amp;L GAAP'!G74</f>
        <v>26</v>
      </c>
      <c r="F42" s="74">
        <f>'P&amp;L GAAP'!H74</f>
        <v>91.45</v>
      </c>
      <c r="G42" s="74">
        <f>'P&amp;L GAAP'!I74</f>
        <v>94.8</v>
      </c>
      <c r="H42" s="74">
        <f>'P&amp;L GAAP'!J74</f>
        <v>96.06</v>
      </c>
      <c r="I42" s="74">
        <f>'P&amp;L GAAP'!K74</f>
        <v>98.8</v>
      </c>
      <c r="J42" s="74">
        <f>'P&amp;L GAAP'!L74</f>
        <v>95.46</v>
      </c>
      <c r="K42" s="74">
        <f>'P&amp;L GAAP'!M74</f>
        <v>92</v>
      </c>
      <c r="L42" s="74">
        <f>'P&amp;L GAAP'!N74</f>
        <v>90</v>
      </c>
      <c r="M42" s="74">
        <f>'P&amp;L GAAP'!O74</f>
        <v>89</v>
      </c>
      <c r="N42" s="74">
        <f>'P&amp;L GAAP'!P74</f>
        <v>91</v>
      </c>
      <c r="O42" s="74">
        <f>'P&amp;L GAAP'!Q74</f>
        <v>94</v>
      </c>
      <c r="P42" s="74">
        <f>'P&amp;L GAAP'!R74</f>
        <v>96</v>
      </c>
      <c r="Q42" s="74">
        <f>'P&amp;L GAAP'!S74</f>
        <v>0</v>
      </c>
      <c r="R42" s="74">
        <f>'P&amp;L GAAP'!T74</f>
        <v>0</v>
      </c>
      <c r="S42" s="74">
        <f>'P&amp;L GAAP'!U74</f>
        <v>0</v>
      </c>
      <c r="T42" s="74">
        <f>'P&amp;L GAAP'!V74</f>
        <v>0</v>
      </c>
      <c r="U42" s="74">
        <f>'P&amp;L GAAP'!W74</f>
        <v>0</v>
      </c>
    </row>
    <row r="45" spans="1:21">
      <c r="K45" s="75"/>
      <c r="L45" s="74"/>
      <c r="M45" s="74"/>
      <c r="N45" s="74"/>
      <c r="O45" s="74"/>
    </row>
    <row r="46" spans="1:21">
      <c r="A46" s="35"/>
      <c r="K46" s="75"/>
      <c r="L46" s="74"/>
      <c r="M46" s="74"/>
      <c r="N46" s="74"/>
      <c r="O46" s="74"/>
    </row>
  </sheetData>
  <conditionalFormatting sqref="A1:XFD5 A33:A35 A12:XFD14 B6:XFD11 A40:A42">
    <cfRule type="cellIs" dxfId="29" priority="13" operator="lessThan">
      <formula>0</formula>
    </cfRule>
  </conditionalFormatting>
  <conditionalFormatting sqref="A46:A48">
    <cfRule type="cellIs" dxfId="28" priority="12" operator="lessThan">
      <formula>0</formula>
    </cfRule>
  </conditionalFormatting>
  <conditionalFormatting sqref="A49">
    <cfRule type="cellIs" dxfId="27" priority="11" operator="lessThan">
      <formula>0</formula>
    </cfRule>
  </conditionalFormatting>
  <conditionalFormatting sqref="A51:A55">
    <cfRule type="cellIs" dxfId="26" priority="10" operator="lessThan">
      <formula>0</formula>
    </cfRule>
  </conditionalFormatting>
  <conditionalFormatting sqref="A51:A55">
    <cfRule type="cellIs" dxfId="25" priority="9" operator="lessThan">
      <formula>0</formula>
    </cfRule>
  </conditionalFormatting>
  <conditionalFormatting sqref="A20:A22">
    <cfRule type="cellIs" dxfId="24" priority="6" operator="lessThan">
      <formula>0</formula>
    </cfRule>
  </conditionalFormatting>
  <conditionalFormatting sqref="A23">
    <cfRule type="cellIs" dxfId="23" priority="5" operator="lessThan">
      <formula>0</formula>
    </cfRule>
  </conditionalFormatting>
  <conditionalFormatting sqref="A18">
    <cfRule type="cellIs" dxfId="22" priority="4" operator="lessThan">
      <formula>0</formula>
    </cfRule>
  </conditionalFormatting>
  <conditionalFormatting sqref="A7:A11">
    <cfRule type="cellIs" dxfId="21" priority="3" operator="lessThan">
      <formula>0</formula>
    </cfRule>
  </conditionalFormatting>
  <conditionalFormatting sqref="A1:XFD1048576">
    <cfRule type="cellIs" dxfId="20" priority="1" operator="lessThan">
      <formula>0</formula>
    </cfRule>
  </conditionalFormatting>
  <hyperlinks>
    <hyperlink ref="A7" location="Main!A1" display="Main" xr:uid="{5B2F4BB4-71A3-2347-BBA6-274517097507}"/>
    <hyperlink ref="A8" location="'Revenue Build'!A1" display="Revenue Build" xr:uid="{E237C3F2-5342-9347-9F49-668DA2A31693}"/>
    <hyperlink ref="A9" location="'P&amp;L GAAP'!A1" display="P&amp;L GAAP" xr:uid="{B6BD1599-9E2B-C141-9369-A8652E27C5F7}"/>
    <hyperlink ref="A10" location="BS!A1" display="BS" xr:uid="{CB344E6B-C9DE-204A-AA1A-855B8804E655}"/>
    <hyperlink ref="A11" location="CFS!A1" display="CFS" xr:uid="{AE8FE2AA-7719-4543-9299-F65FC27822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DD18-96DA-4242-BBE2-2C2F01176C7B}">
  <dimension ref="A1:AF50"/>
  <sheetViews>
    <sheetView workbookViewId="0">
      <pane xSplit="1" ySplit="6" topLeftCell="B7" activePane="bottomRight" state="frozen"/>
      <selection pane="topRight" activeCell="B1" sqref="B1"/>
      <selection pane="bottomLeft" activeCell="A9" sqref="A9"/>
      <selection pane="bottomRight" activeCell="U9" sqref="U9"/>
    </sheetView>
  </sheetViews>
  <sheetFormatPr baseColWidth="10" defaultRowHeight="16"/>
  <cols>
    <col min="1" max="1" width="59" style="22" bestFit="1" customWidth="1"/>
    <col min="2" max="4" width="8.33203125" style="22" bestFit="1" customWidth="1"/>
    <col min="5" max="5" width="9.5" style="22" bestFit="1" customWidth="1"/>
    <col min="6" max="8" width="8.33203125" style="22" bestFit="1" customWidth="1"/>
    <col min="9" max="9" width="9.5" style="22" bestFit="1" customWidth="1"/>
    <col min="10" max="12" width="8.33203125" style="22" bestFit="1" customWidth="1"/>
    <col min="13" max="13" width="9.5" style="22" bestFit="1" customWidth="1"/>
    <col min="14" max="16" width="8.33203125" style="22" bestFit="1" customWidth="1"/>
    <col min="17" max="17" width="9.5" style="22" bestFit="1" customWidth="1"/>
    <col min="18" max="20" width="8.33203125" style="22" bestFit="1" customWidth="1"/>
    <col min="21" max="21" width="9.5" style="22" bestFit="1" customWidth="1"/>
    <col min="22" max="24" width="10.83203125" style="22"/>
    <col min="25" max="25" width="10.1640625" style="22" bestFit="1" customWidth="1"/>
    <col min="26" max="26" width="7.5" style="22" bestFit="1" customWidth="1"/>
    <col min="27" max="29" width="5.83203125" style="22" bestFit="1" customWidth="1"/>
    <col min="30" max="32" width="6.5" style="22" customWidth="1"/>
    <col min="33" max="16384" width="10.83203125" style="22"/>
  </cols>
  <sheetData>
    <row r="1" spans="1:32" ht="81" customHeight="1">
      <c r="A1" s="1" t="s">
        <v>135</v>
      </c>
    </row>
    <row r="2" spans="1:32" ht="26">
      <c r="A2" s="21" t="s">
        <v>134</v>
      </c>
    </row>
    <row r="3" spans="1:32">
      <c r="A3" s="22" t="s">
        <v>133</v>
      </c>
    </row>
    <row r="5" spans="1:32">
      <c r="B5" s="25" t="s">
        <v>106</v>
      </c>
      <c r="C5" s="26" t="s">
        <v>107</v>
      </c>
      <c r="D5" s="26" t="s">
        <v>108</v>
      </c>
      <c r="E5" s="26" t="s">
        <v>109</v>
      </c>
      <c r="F5" s="26" t="s">
        <v>110</v>
      </c>
      <c r="G5" s="26" t="s">
        <v>111</v>
      </c>
      <c r="H5" s="26" t="s">
        <v>112</v>
      </c>
      <c r="I5" s="26" t="s">
        <v>113</v>
      </c>
      <c r="J5" s="26" t="s">
        <v>114</v>
      </c>
      <c r="K5" s="26" t="s">
        <v>115</v>
      </c>
      <c r="L5" s="26" t="s">
        <v>116</v>
      </c>
      <c r="M5" s="26" t="s">
        <v>117</v>
      </c>
      <c r="N5" s="26" t="s">
        <v>118</v>
      </c>
      <c r="O5" s="26" t="s">
        <v>119</v>
      </c>
      <c r="P5" s="26" t="s">
        <v>120</v>
      </c>
      <c r="Q5" s="26" t="s">
        <v>121</v>
      </c>
      <c r="R5" s="26" t="s">
        <v>122</v>
      </c>
      <c r="S5" s="26" t="s">
        <v>123</v>
      </c>
      <c r="T5" s="26" t="s">
        <v>124</v>
      </c>
      <c r="U5" s="27" t="s">
        <v>125</v>
      </c>
      <c r="Y5" s="41" t="s">
        <v>126</v>
      </c>
      <c r="Z5" s="42" t="s">
        <v>127</v>
      </c>
      <c r="AA5" s="42" t="s">
        <v>129</v>
      </c>
      <c r="AB5" s="42" t="s">
        <v>130</v>
      </c>
      <c r="AC5" s="43" t="s">
        <v>131</v>
      </c>
      <c r="AD5" s="22" t="s">
        <v>181</v>
      </c>
      <c r="AE5" s="22" t="s">
        <v>183</v>
      </c>
      <c r="AF5" s="22" t="s">
        <v>184</v>
      </c>
    </row>
    <row r="6" spans="1:32">
      <c r="A6" s="35" t="s">
        <v>137</v>
      </c>
      <c r="B6" s="28">
        <v>43921</v>
      </c>
      <c r="C6" s="29">
        <v>44012</v>
      </c>
      <c r="D6" s="29">
        <v>44104</v>
      </c>
      <c r="E6" s="29">
        <v>44196</v>
      </c>
      <c r="F6" s="29">
        <v>44286</v>
      </c>
      <c r="G6" s="29">
        <v>44377</v>
      </c>
      <c r="H6" s="29">
        <v>44469</v>
      </c>
      <c r="I6" s="29">
        <v>44561</v>
      </c>
      <c r="J6" s="29">
        <v>44651</v>
      </c>
      <c r="K6" s="29">
        <f>G6+365</f>
        <v>44742</v>
      </c>
      <c r="L6" s="29">
        <f t="shared" ref="L6:Q6" si="0">H6+365</f>
        <v>44834</v>
      </c>
      <c r="M6" s="29">
        <f t="shared" si="0"/>
        <v>44926</v>
      </c>
      <c r="N6" s="29">
        <f t="shared" si="0"/>
        <v>45016</v>
      </c>
      <c r="O6" s="29">
        <f t="shared" si="0"/>
        <v>45107</v>
      </c>
      <c r="P6" s="29">
        <f t="shared" si="0"/>
        <v>45199</v>
      </c>
      <c r="Q6" s="29">
        <f t="shared" si="0"/>
        <v>45291</v>
      </c>
      <c r="R6" s="29">
        <f>N6+366</f>
        <v>45382</v>
      </c>
      <c r="S6" s="29">
        <f t="shared" ref="S6:U6" si="1">O6+366</f>
        <v>45473</v>
      </c>
      <c r="T6" s="29">
        <f t="shared" si="1"/>
        <v>45565</v>
      </c>
      <c r="U6" s="30">
        <f t="shared" si="1"/>
        <v>45657</v>
      </c>
      <c r="Y6" s="44" t="s">
        <v>182</v>
      </c>
      <c r="Z6" s="45" t="s">
        <v>182</v>
      </c>
      <c r="AA6" s="45" t="s">
        <v>182</v>
      </c>
      <c r="AB6" s="45" t="s">
        <v>182</v>
      </c>
      <c r="AC6" s="46" t="s">
        <v>182</v>
      </c>
      <c r="AD6" s="22" t="s">
        <v>182</v>
      </c>
      <c r="AE6" s="22" t="s">
        <v>182</v>
      </c>
      <c r="AF6" s="22" t="s">
        <v>182</v>
      </c>
    </row>
    <row r="8" spans="1:32" s="49" customFormat="1">
      <c r="A8" s="47" t="s">
        <v>0</v>
      </c>
      <c r="B8" s="48">
        <f>B44</f>
        <v>63.989999999999995</v>
      </c>
      <c r="C8" s="48">
        <f>C44</f>
        <v>17.344000000000001</v>
      </c>
      <c r="D8" s="48">
        <f t="shared" ref="D8:J8" si="2">D44</f>
        <v>65.36</v>
      </c>
      <c r="E8" s="48">
        <f t="shared" si="2"/>
        <v>86.722000000000008</v>
      </c>
      <c r="F8" s="48">
        <f t="shared" si="2"/>
        <v>121.35</v>
      </c>
      <c r="G8" s="48">
        <f t="shared" si="2"/>
        <v>193.95000000000002</v>
      </c>
      <c r="H8" s="48">
        <f t="shared" si="2"/>
        <v>228.45</v>
      </c>
      <c r="I8" s="48">
        <f t="shared" si="2"/>
        <v>304.83899999999994</v>
      </c>
      <c r="J8" s="48">
        <f t="shared" si="2"/>
        <v>310.13</v>
      </c>
    </row>
    <row r="9" spans="1:32" s="59" customFormat="1">
      <c r="A9" s="59" t="s">
        <v>165</v>
      </c>
      <c r="B9" s="76"/>
      <c r="C9" s="76"/>
      <c r="D9" s="76"/>
      <c r="E9" s="77"/>
      <c r="F9" s="77">
        <f t="shared" ref="F9:I9" si="3">F8/B8-1</f>
        <v>0.896390060947023</v>
      </c>
      <c r="G9" s="77">
        <f t="shared" si="3"/>
        <v>10.18254151291513</v>
      </c>
      <c r="H9" s="77">
        <f t="shared" si="3"/>
        <v>2.4952570379436962</v>
      </c>
      <c r="I9" s="77">
        <f t="shared" si="3"/>
        <v>2.5151288023800178</v>
      </c>
      <c r="J9" s="77">
        <f>J8/F8-1</f>
        <v>1.5556654305727236</v>
      </c>
    </row>
    <row r="10" spans="1:32" s="59" customFormat="1">
      <c r="A10" s="59" t="s">
        <v>167</v>
      </c>
      <c r="B10" s="76"/>
      <c r="C10" s="77">
        <f>C8/B8-1</f>
        <v>-0.728957649632755</v>
      </c>
      <c r="D10" s="77">
        <f t="shared" ref="D10:J10" si="4">D8/C8-1</f>
        <v>2.7684501845018445</v>
      </c>
      <c r="E10" s="77">
        <f t="shared" si="4"/>
        <v>0.32683598531211766</v>
      </c>
      <c r="F10" s="77">
        <f t="shared" si="4"/>
        <v>0.39929890915799882</v>
      </c>
      <c r="G10" s="77">
        <f t="shared" si="4"/>
        <v>0.5982694684796046</v>
      </c>
      <c r="H10" s="77">
        <f t="shared" si="4"/>
        <v>0.17788089713843758</v>
      </c>
      <c r="I10" s="77">
        <f t="shared" si="4"/>
        <v>0.33437951411687439</v>
      </c>
      <c r="J10" s="77">
        <f t="shared" si="4"/>
        <v>1.7356703046526478E-2</v>
      </c>
    </row>
    <row r="12" spans="1:32" s="49" customFormat="1">
      <c r="A12" s="47" t="s">
        <v>161</v>
      </c>
    </row>
    <row r="14" spans="1:32">
      <c r="A14" s="22" t="s">
        <v>192</v>
      </c>
      <c r="B14" s="22">
        <v>60.23</v>
      </c>
      <c r="C14" s="22">
        <v>7.61</v>
      </c>
      <c r="D14" s="22">
        <v>55.64</v>
      </c>
      <c r="E14" s="50">
        <f>Y14-SUM(B14,C14,D14)</f>
        <v>76.777000000000001</v>
      </c>
      <c r="F14" s="22">
        <v>106.95</v>
      </c>
      <c r="G14" s="22">
        <v>169.08</v>
      </c>
      <c r="H14" s="22">
        <v>191.44</v>
      </c>
      <c r="I14" s="50">
        <f>Z14-SUM(F14,G14,H14)</f>
        <v>258.69099999999992</v>
      </c>
      <c r="J14" s="22">
        <v>271.81</v>
      </c>
      <c r="Y14" s="50">
        <v>200.25700000000001</v>
      </c>
      <c r="Z14" s="50">
        <v>726.16099999999994</v>
      </c>
    </row>
    <row r="15" spans="1:32" s="59" customFormat="1">
      <c r="A15" s="59" t="s">
        <v>165</v>
      </c>
      <c r="B15" s="76"/>
      <c r="F15" s="61">
        <f>F14/B14-1</f>
        <v>0.77569317615806099</v>
      </c>
      <c r="G15" s="61">
        <f t="shared" ref="G15:J15" si="5">G14/C14-1</f>
        <v>21.218134034165573</v>
      </c>
      <c r="H15" s="61">
        <f t="shared" si="5"/>
        <v>2.4406901509705246</v>
      </c>
      <c r="I15" s="61">
        <f t="shared" si="5"/>
        <v>2.3693814553837726</v>
      </c>
      <c r="J15" s="61">
        <f t="shared" si="5"/>
        <v>1.5414679756895744</v>
      </c>
      <c r="Y15" s="76"/>
      <c r="Z15" s="76"/>
    </row>
    <row r="16" spans="1:32" s="59" customFormat="1">
      <c r="A16" s="59" t="s">
        <v>166</v>
      </c>
      <c r="B16" s="61">
        <f>B14/B$44</f>
        <v>0.94124081887794975</v>
      </c>
      <c r="C16" s="61">
        <f t="shared" ref="C16:J16" si="6">C14/C$44</f>
        <v>0.43876845018450183</v>
      </c>
      <c r="D16" s="61">
        <f t="shared" si="6"/>
        <v>0.85128518971848222</v>
      </c>
      <c r="E16" s="61">
        <f t="shared" si="6"/>
        <v>0.88532321671548153</v>
      </c>
      <c r="F16" s="61">
        <f t="shared" si="6"/>
        <v>0.8813349814585909</v>
      </c>
      <c r="G16" s="61">
        <f t="shared" si="6"/>
        <v>0.87177107501933482</v>
      </c>
      <c r="H16" s="61">
        <f t="shared" si="6"/>
        <v>0.83799518494200043</v>
      </c>
      <c r="I16" s="61">
        <f t="shared" si="6"/>
        <v>0.84861517063105429</v>
      </c>
      <c r="J16" s="61">
        <f t="shared" si="6"/>
        <v>0.87643891271402319</v>
      </c>
      <c r="Y16" s="76"/>
      <c r="Z16" s="76"/>
    </row>
    <row r="17" spans="1:26">
      <c r="Y17" s="50"/>
      <c r="Z17" s="50"/>
    </row>
    <row r="18" spans="1:26">
      <c r="A18" s="22" t="s">
        <v>191</v>
      </c>
      <c r="B18" s="22">
        <v>7.78</v>
      </c>
      <c r="C18" s="22">
        <v>5.69</v>
      </c>
      <c r="D18" s="22">
        <v>7.22</v>
      </c>
      <c r="E18" s="50">
        <f>Y18-SUM(B18,C18,D18)</f>
        <v>7.6529999999999987</v>
      </c>
      <c r="F18" s="22">
        <v>9.2200000000000006</v>
      </c>
      <c r="G18" s="22">
        <v>18.22</v>
      </c>
      <c r="H18" s="22">
        <v>18.98</v>
      </c>
      <c r="I18" s="50">
        <f>Z18-SUM(F18,G18,H18)</f>
        <v>28.694000000000003</v>
      </c>
      <c r="J18" s="22">
        <v>42.17</v>
      </c>
      <c r="Y18" s="50">
        <v>28.343</v>
      </c>
      <c r="Z18" s="50">
        <v>75.114000000000004</v>
      </c>
    </row>
    <row r="19" spans="1:26" s="59" customFormat="1">
      <c r="A19" s="59" t="s">
        <v>165</v>
      </c>
      <c r="B19" s="76"/>
      <c r="F19" s="61">
        <f>F18/B18-1</f>
        <v>0.18508997429305918</v>
      </c>
      <c r="G19" s="61">
        <f t="shared" ref="G19" si="7">G18/C18-1</f>
        <v>2.2021089630931456</v>
      </c>
      <c r="H19" s="61">
        <f t="shared" ref="H19" si="8">H18/D18-1</f>
        <v>1.628808864265928</v>
      </c>
      <c r="I19" s="61">
        <f t="shared" ref="I19" si="9">I18/E18-1</f>
        <v>2.7493793283679611</v>
      </c>
      <c r="J19" s="61">
        <f t="shared" ref="J19" si="10">J18/F18-1</f>
        <v>3.5737527114967458</v>
      </c>
      <c r="Y19" s="76"/>
      <c r="Z19" s="76"/>
    </row>
    <row r="20" spans="1:26" s="59" customFormat="1">
      <c r="A20" s="59" t="s">
        <v>166</v>
      </c>
      <c r="B20" s="61">
        <f>B18/B$44</f>
        <v>0.12158149710892328</v>
      </c>
      <c r="C20" s="61">
        <f t="shared" ref="C20:J20" si="11">C18/C$44</f>
        <v>0.32806734317343172</v>
      </c>
      <c r="D20" s="61">
        <f t="shared" si="11"/>
        <v>0.11046511627906977</v>
      </c>
      <c r="E20" s="61">
        <f t="shared" si="11"/>
        <v>8.8247503516985279E-2</v>
      </c>
      <c r="F20" s="61">
        <f t="shared" si="11"/>
        <v>7.5978574371652258E-2</v>
      </c>
      <c r="G20" s="61">
        <f t="shared" si="11"/>
        <v>9.3941737561227104E-2</v>
      </c>
      <c r="H20" s="61">
        <f t="shared" si="11"/>
        <v>8.3081637119719859E-2</v>
      </c>
      <c r="I20" s="61">
        <f t="shared" si="11"/>
        <v>9.412837596239329E-2</v>
      </c>
      <c r="J20" s="61">
        <f t="shared" si="11"/>
        <v>0.13597523619127463</v>
      </c>
      <c r="Y20" s="76"/>
      <c r="Z20" s="76"/>
    </row>
    <row r="21" spans="1:26">
      <c r="Y21" s="50"/>
      <c r="Z21" s="50"/>
    </row>
    <row r="22" spans="1:26">
      <c r="A22" s="22" t="s">
        <v>162</v>
      </c>
      <c r="B22" s="22">
        <f>SUM(B14,B18)</f>
        <v>68.009999999999991</v>
      </c>
      <c r="C22" s="22">
        <f>SUM(C14,C18)</f>
        <v>13.3</v>
      </c>
      <c r="D22" s="22">
        <f>SUM(D14,D18)</f>
        <v>62.86</v>
      </c>
      <c r="E22" s="22">
        <f>SUM(E14,E18)</f>
        <v>84.43</v>
      </c>
      <c r="F22" s="22">
        <f>SUM(F14,F18)</f>
        <v>116.17</v>
      </c>
      <c r="G22" s="22">
        <f t="shared" ref="G22:I22" si="12">SUM(G14,G18)</f>
        <v>187.3</v>
      </c>
      <c r="H22" s="22">
        <f t="shared" si="12"/>
        <v>210.42</v>
      </c>
      <c r="I22" s="22">
        <f t="shared" si="12"/>
        <v>287.38499999999993</v>
      </c>
      <c r="J22" s="22">
        <f>SUM(J14,J18)</f>
        <v>313.98</v>
      </c>
      <c r="Y22" s="50">
        <f>SUM(Y14,Y18)</f>
        <v>228.6</v>
      </c>
      <c r="Z22" s="50">
        <v>801.27499999999998</v>
      </c>
    </row>
    <row r="23" spans="1:26" s="59" customFormat="1">
      <c r="A23" s="59" t="s">
        <v>165</v>
      </c>
      <c r="B23" s="76"/>
      <c r="F23" s="61">
        <f>F22/B22-1</f>
        <v>0.70813115718276753</v>
      </c>
      <c r="G23" s="61">
        <f t="shared" ref="G23" si="13">G22/C22-1</f>
        <v>13.082706766917294</v>
      </c>
      <c r="H23" s="61">
        <f t="shared" ref="H23" si="14">H22/D22-1</f>
        <v>2.3474387527839644</v>
      </c>
      <c r="I23" s="61">
        <f t="shared" ref="I23" si="15">I22/E22-1</f>
        <v>2.4038256543882497</v>
      </c>
      <c r="J23" s="61">
        <f t="shared" ref="J23" si="16">J22/F22-1</f>
        <v>1.7027631918739781</v>
      </c>
      <c r="Y23" s="76"/>
      <c r="Z23" s="76"/>
    </row>
    <row r="24" spans="1:26" s="59" customFormat="1">
      <c r="A24" s="59" t="s">
        <v>166</v>
      </c>
      <c r="B24" s="61">
        <f>B22/B$44</f>
        <v>1.0628223159868728</v>
      </c>
      <c r="C24" s="61">
        <f t="shared" ref="C24:J24" si="17">C22/C$44</f>
        <v>0.76683579335793361</v>
      </c>
      <c r="D24" s="61">
        <f t="shared" si="17"/>
        <v>0.96175030599755207</v>
      </c>
      <c r="E24" s="61">
        <f t="shared" si="17"/>
        <v>0.97357072023246694</v>
      </c>
      <c r="F24" s="61">
        <f t="shared" si="17"/>
        <v>0.95731355583024313</v>
      </c>
      <c r="G24" s="61">
        <f t="shared" si="17"/>
        <v>0.96571281258056196</v>
      </c>
      <c r="H24" s="61">
        <f t="shared" si="17"/>
        <v>0.92107682206172026</v>
      </c>
      <c r="I24" s="61">
        <f t="shared" si="17"/>
        <v>0.94274354659344761</v>
      </c>
      <c r="J24" s="61">
        <f t="shared" si="17"/>
        <v>1.0124141489052978</v>
      </c>
      <c r="Y24" s="76"/>
      <c r="Z24" s="76"/>
    </row>
    <row r="26" spans="1:26" s="49" customFormat="1">
      <c r="A26" s="47" t="s">
        <v>193</v>
      </c>
    </row>
    <row r="28" spans="1:26">
      <c r="A28" s="22" t="s">
        <v>163</v>
      </c>
      <c r="B28" s="22">
        <v>9.18</v>
      </c>
      <c r="C28" s="50">
        <v>7.7240000000000002</v>
      </c>
      <c r="D28" s="22">
        <v>5.8</v>
      </c>
      <c r="E28" s="50">
        <f>Y28-SUM(B28,C28,D28)</f>
        <v>3.7040000000000006</v>
      </c>
      <c r="F28" s="22">
        <v>3.41</v>
      </c>
      <c r="G28" s="22">
        <v>3.55</v>
      </c>
      <c r="H28" s="22">
        <v>5.07</v>
      </c>
      <c r="I28" s="50">
        <f>Z28-SUM(F28,G28,H28)</f>
        <v>8.6039999999999992</v>
      </c>
      <c r="J28" s="22">
        <v>15.13</v>
      </c>
      <c r="Y28" s="22">
        <v>26.408000000000001</v>
      </c>
      <c r="Z28" s="22">
        <v>20.634</v>
      </c>
    </row>
    <row r="29" spans="1:26" s="59" customFormat="1">
      <c r="A29" s="59" t="s">
        <v>165</v>
      </c>
      <c r="B29" s="76"/>
      <c r="F29" s="61">
        <f>F28/B28-1</f>
        <v>-0.6285403050108932</v>
      </c>
      <c r="G29" s="61">
        <f t="shared" ref="G29" si="18">G28/C28-1</f>
        <v>-0.54039357845675817</v>
      </c>
      <c r="H29" s="61">
        <f t="shared" ref="H29" si="19">H28/D28-1</f>
        <v>-0.12586206896551722</v>
      </c>
      <c r="I29" s="61">
        <f t="shared" ref="I29" si="20">I28/E28-1</f>
        <v>1.3228941684665219</v>
      </c>
      <c r="J29" s="61">
        <f t="shared" ref="J29" si="21">J28/F28-1</f>
        <v>3.4369501466275656</v>
      </c>
    </row>
    <row r="30" spans="1:26" s="59" customFormat="1">
      <c r="A30" s="59" t="s">
        <v>166</v>
      </c>
      <c r="B30" s="61">
        <f>B28/B$44</f>
        <v>0.14345991561181434</v>
      </c>
      <c r="C30" s="61">
        <f t="shared" ref="C30:J30" si="22">C28/C$44</f>
        <v>0.44534132841328411</v>
      </c>
      <c r="D30" s="61">
        <f t="shared" si="22"/>
        <v>8.8739290085679309E-2</v>
      </c>
      <c r="E30" s="61">
        <f t="shared" si="22"/>
        <v>4.271119208505339E-2</v>
      </c>
      <c r="F30" s="61">
        <f t="shared" si="22"/>
        <v>2.8100535640708697E-2</v>
      </c>
      <c r="G30" s="61">
        <f t="shared" si="22"/>
        <v>1.8303686517143591E-2</v>
      </c>
      <c r="H30" s="61">
        <f t="shared" si="22"/>
        <v>2.2193040052527906E-2</v>
      </c>
      <c r="I30" s="61">
        <f t="shared" si="22"/>
        <v>2.8224735024061885E-2</v>
      </c>
      <c r="J30" s="61">
        <f t="shared" si="22"/>
        <v>4.8785992970689716E-2</v>
      </c>
    </row>
    <row r="32" spans="1:26">
      <c r="A32" s="22" t="s">
        <v>6</v>
      </c>
      <c r="B32" s="22">
        <v>-3.25</v>
      </c>
      <c r="C32" s="22">
        <v>-2.2599999999999998</v>
      </c>
      <c r="D32" s="22">
        <v>-1.44</v>
      </c>
      <c r="E32" s="50">
        <f>Y32-SUM(B32,C32,D32)</f>
        <v>-1.0760000000000005</v>
      </c>
      <c r="F32" s="22">
        <v>-1.03</v>
      </c>
      <c r="G32" s="22">
        <v>-1.5</v>
      </c>
      <c r="H32" s="22">
        <v>-0.27</v>
      </c>
      <c r="I32" s="50">
        <f>Z32-SUM(F32,G32,H32)</f>
        <v>-0.47399999999999975</v>
      </c>
      <c r="J32" s="22">
        <v>-0.96</v>
      </c>
      <c r="Y32" s="22">
        <v>-8.0259999999999998</v>
      </c>
      <c r="Z32" s="22">
        <v>-3.274</v>
      </c>
    </row>
    <row r="33" spans="1:26" s="59" customFormat="1">
      <c r="A33" s="59" t="s">
        <v>165</v>
      </c>
      <c r="B33" s="76"/>
      <c r="F33" s="61">
        <f>F32/B32-1</f>
        <v>-0.68307692307692314</v>
      </c>
      <c r="G33" s="61">
        <f t="shared" ref="G33" si="23">G32/C32-1</f>
        <v>-0.33628318584070793</v>
      </c>
      <c r="H33" s="61">
        <f t="shared" ref="H33" si="24">H32/D32-1</f>
        <v>-0.8125</v>
      </c>
      <c r="I33" s="61">
        <f t="shared" ref="I33" si="25">I32/E32-1</f>
        <v>-0.55947955390334614</v>
      </c>
      <c r="J33" s="61">
        <f t="shared" ref="J33" si="26">J32/F32-1</f>
        <v>-6.796116504854377E-2</v>
      </c>
    </row>
    <row r="34" spans="1:26" s="59" customFormat="1">
      <c r="A34" s="59" t="s">
        <v>166</v>
      </c>
      <c r="B34" s="61">
        <f>B32/B$44</f>
        <v>-5.0789185810282862E-2</v>
      </c>
      <c r="C34" s="61">
        <f t="shared" ref="C34:J34" si="27">C32/C$44</f>
        <v>-0.13030442804428041</v>
      </c>
      <c r="D34" s="61">
        <f t="shared" si="27"/>
        <v>-2.2031823745410035E-2</v>
      </c>
      <c r="E34" s="61">
        <f t="shared" si="27"/>
        <v>-1.2407462927515513E-2</v>
      </c>
      <c r="F34" s="61">
        <f t="shared" si="27"/>
        <v>-8.4878450762257938E-3</v>
      </c>
      <c r="G34" s="61">
        <f t="shared" si="27"/>
        <v>-7.7339520494972922E-3</v>
      </c>
      <c r="H34" s="61">
        <f t="shared" si="27"/>
        <v>-1.1818778726198295E-3</v>
      </c>
      <c r="I34" s="61">
        <f t="shared" si="27"/>
        <v>-1.5549191540452495E-3</v>
      </c>
      <c r="J34" s="61">
        <f t="shared" si="27"/>
        <v>-3.0954760906716536E-3</v>
      </c>
    </row>
    <row r="36" spans="1:26">
      <c r="A36" s="22" t="s">
        <v>168</v>
      </c>
      <c r="B36" s="22">
        <v>-9.9499999999999993</v>
      </c>
      <c r="C36" s="22">
        <v>-1.42</v>
      </c>
      <c r="D36" s="22">
        <v>-1.86</v>
      </c>
      <c r="E36" s="50">
        <f>Y36-SUM(B36,C36,D36)</f>
        <v>-0.33600000000000207</v>
      </c>
      <c r="F36" s="22">
        <v>2.8</v>
      </c>
      <c r="G36" s="22">
        <v>4.5999999999999996</v>
      </c>
      <c r="H36" s="22">
        <v>13.23</v>
      </c>
      <c r="I36" s="50">
        <f>Z36-SUM(F36,G36,H36)</f>
        <v>9.3240000000000016</v>
      </c>
      <c r="J36" s="22">
        <v>-18.02</v>
      </c>
      <c r="Y36" s="22">
        <v>-13.566000000000001</v>
      </c>
      <c r="Z36" s="22">
        <v>29.954000000000001</v>
      </c>
    </row>
    <row r="37" spans="1:26" s="59" customFormat="1">
      <c r="A37" s="59" t="s">
        <v>165</v>
      </c>
      <c r="B37" s="76"/>
      <c r="F37" s="61">
        <f>F36/B36-1</f>
        <v>-1.2814070351758793</v>
      </c>
      <c r="G37" s="61">
        <f t="shared" ref="G37" si="28">G36/C36-1</f>
        <v>-4.23943661971831</v>
      </c>
      <c r="H37" s="61">
        <f t="shared" ref="H37" si="29">H36/D36-1</f>
        <v>-8.112903225806452</v>
      </c>
      <c r="I37" s="61">
        <f t="shared" ref="I37" si="30">I36/E36-1</f>
        <v>-28.749999999999833</v>
      </c>
      <c r="J37" s="61">
        <f t="shared" ref="J37" si="31">J36/F36-1</f>
        <v>-7.4357142857142859</v>
      </c>
    </row>
    <row r="38" spans="1:26" s="59" customFormat="1">
      <c r="A38" s="59" t="s">
        <v>166</v>
      </c>
      <c r="B38" s="61">
        <f>B36/B$44</f>
        <v>-0.15549304578840445</v>
      </c>
      <c r="C38" s="61">
        <f t="shared" ref="C38:J38" si="32">C36/C$44</f>
        <v>-8.1872693726937257E-2</v>
      </c>
      <c r="D38" s="61">
        <f t="shared" si="32"/>
        <v>-2.8457772337821298E-2</v>
      </c>
      <c r="E38" s="61">
        <f t="shared" si="32"/>
        <v>-3.8744493900048668E-3</v>
      </c>
      <c r="F38" s="61">
        <f t="shared" si="32"/>
        <v>2.3073753605274E-2</v>
      </c>
      <c r="G38" s="61">
        <f t="shared" si="32"/>
        <v>2.3717452951791694E-2</v>
      </c>
      <c r="H38" s="61">
        <f t="shared" si="32"/>
        <v>5.7912015758371641E-2</v>
      </c>
      <c r="I38" s="61">
        <f t="shared" si="32"/>
        <v>3.0586637536535691E-2</v>
      </c>
      <c r="J38" s="61">
        <f t="shared" si="32"/>
        <v>-5.8104665785315833E-2</v>
      </c>
    </row>
    <row r="40" spans="1:26">
      <c r="A40" s="22" t="s">
        <v>194</v>
      </c>
      <c r="B40" s="50">
        <f>SUM(B28,B32,B36)</f>
        <v>-4.0199999999999996</v>
      </c>
      <c r="C40" s="50">
        <f>SUM(C28,C32,C36)</f>
        <v>4.0440000000000005</v>
      </c>
      <c r="D40" s="22">
        <f>SUM(D28,D32,D36)</f>
        <v>2.4999999999999991</v>
      </c>
      <c r="E40" s="22">
        <f>SUM(E28,E32,E36)</f>
        <v>2.291999999999998</v>
      </c>
      <c r="F40" s="22">
        <f t="shared" ref="F40:G40" si="33">SUM(F28,F32,F36)</f>
        <v>5.18</v>
      </c>
      <c r="G40" s="22">
        <f t="shared" si="33"/>
        <v>6.6499999999999995</v>
      </c>
      <c r="H40" s="22">
        <f>SUM(H28,H32,H36)</f>
        <v>18.03</v>
      </c>
      <c r="I40" s="22">
        <f>SUM(I28,I32,I36)</f>
        <v>17.454000000000001</v>
      </c>
      <c r="J40" s="22">
        <f>SUM(J28,J32,J36)</f>
        <v>-3.8499999999999979</v>
      </c>
      <c r="K40" s="22">
        <f>SUM(K28,K32,K36)</f>
        <v>0</v>
      </c>
      <c r="L40" s="22">
        <f>SUM(L28,L32,L36)</f>
        <v>0</v>
      </c>
      <c r="Y40" s="22">
        <f>SUM(Y28,Y32,Y36)</f>
        <v>4.8160000000000007</v>
      </c>
      <c r="Z40" s="22">
        <f>SUM(Z28,Z32,Z36)</f>
        <v>47.314</v>
      </c>
    </row>
    <row r="41" spans="1:26" s="59" customFormat="1">
      <c r="A41" s="59" t="s">
        <v>165</v>
      </c>
      <c r="B41" s="76"/>
      <c r="F41" s="61">
        <f>F40/B40-1</f>
        <v>-2.2885572139303481</v>
      </c>
      <c r="G41" s="61">
        <f t="shared" ref="G41" si="34">G40/C40-1</f>
        <v>0.64441147378832797</v>
      </c>
      <c r="H41" s="61">
        <f t="shared" ref="H41" si="35">H40/D40-1</f>
        <v>6.2120000000000033</v>
      </c>
      <c r="I41" s="61">
        <f t="shared" ref="I41" si="36">I40/E40-1</f>
        <v>6.6151832460733049</v>
      </c>
      <c r="J41" s="61">
        <f t="shared" ref="J41" si="37">J40/F40-1</f>
        <v>-1.743243243243243</v>
      </c>
    </row>
    <row r="42" spans="1:26" s="59" customFormat="1">
      <c r="A42" s="59" t="s">
        <v>166</v>
      </c>
      <c r="B42" s="61">
        <f>B40/B$44</f>
        <v>-6.2822315986872948E-2</v>
      </c>
      <c r="C42" s="61">
        <f t="shared" ref="C42:J42" si="38">C40/C$44</f>
        <v>0.23316420664206644</v>
      </c>
      <c r="D42" s="61">
        <f t="shared" si="38"/>
        <v>3.8249694002447966E-2</v>
      </c>
      <c r="E42" s="61">
        <f t="shared" si="38"/>
        <v>2.6429279767533013E-2</v>
      </c>
      <c r="F42" s="61">
        <f t="shared" si="38"/>
        <v>4.26864441697569E-2</v>
      </c>
      <c r="G42" s="61">
        <f t="shared" si="38"/>
        <v>3.4287187419437995E-2</v>
      </c>
      <c r="H42" s="61">
        <f t="shared" si="38"/>
        <v>7.8923177938279715E-2</v>
      </c>
      <c r="I42" s="61">
        <f t="shared" si="38"/>
        <v>5.7256453406552325E-2</v>
      </c>
      <c r="J42" s="61">
        <f t="shared" si="38"/>
        <v>-1.2414148905297772E-2</v>
      </c>
    </row>
    <row r="44" spans="1:26" s="49" customFormat="1">
      <c r="A44" s="47" t="s">
        <v>0</v>
      </c>
      <c r="B44" s="48">
        <f t="shared" ref="B44:J44" si="39">SUM(B22,B40)</f>
        <v>63.989999999999995</v>
      </c>
      <c r="C44" s="48">
        <f t="shared" si="39"/>
        <v>17.344000000000001</v>
      </c>
      <c r="D44" s="48">
        <f t="shared" si="39"/>
        <v>65.36</v>
      </c>
      <c r="E44" s="48">
        <f t="shared" si="39"/>
        <v>86.722000000000008</v>
      </c>
      <c r="F44" s="48">
        <f t="shared" si="39"/>
        <v>121.35</v>
      </c>
      <c r="G44" s="48">
        <f t="shared" si="39"/>
        <v>193.95000000000002</v>
      </c>
      <c r="H44" s="48">
        <f t="shared" si="39"/>
        <v>228.45</v>
      </c>
      <c r="I44" s="48">
        <f t="shared" si="39"/>
        <v>304.83899999999994</v>
      </c>
      <c r="J44" s="48">
        <f t="shared" si="39"/>
        <v>310.13</v>
      </c>
    </row>
    <row r="45" spans="1:26">
      <c r="B45" s="50"/>
      <c r="F45" s="51"/>
      <c r="G45" s="51"/>
      <c r="H45" s="51"/>
      <c r="I45" s="51"/>
      <c r="J45" s="51"/>
    </row>
    <row r="46" spans="1:26">
      <c r="B46" s="51"/>
      <c r="C46" s="51"/>
      <c r="D46" s="51"/>
      <c r="E46" s="51"/>
      <c r="F46" s="51"/>
      <c r="G46" s="51"/>
      <c r="H46" s="51"/>
      <c r="I46" s="51"/>
      <c r="J46" s="51"/>
    </row>
    <row r="47" spans="1:26">
      <c r="A47" s="35" t="s">
        <v>189</v>
      </c>
      <c r="F47" s="51">
        <f>F44/B44-1</f>
        <v>0.896390060947023</v>
      </c>
      <c r="G47" s="51">
        <f t="shared" ref="G47:J47" si="40">G44/C44-1</f>
        <v>10.18254151291513</v>
      </c>
      <c r="H47" s="51">
        <f t="shared" si="40"/>
        <v>2.4952570379436962</v>
      </c>
      <c r="I47" s="51">
        <f t="shared" si="40"/>
        <v>2.5151288023800178</v>
      </c>
      <c r="J47" s="51">
        <f t="shared" si="40"/>
        <v>1.5556654305727236</v>
      </c>
    </row>
    <row r="48" spans="1:26">
      <c r="A48" s="22" t="s">
        <v>190</v>
      </c>
      <c r="F48" s="51">
        <f>F14/B14-1</f>
        <v>0.77569317615806099</v>
      </c>
      <c r="G48" s="51">
        <f t="shared" ref="G48:J48" si="41">G14/C14-1</f>
        <v>21.218134034165573</v>
      </c>
      <c r="H48" s="51">
        <f t="shared" si="41"/>
        <v>2.4406901509705246</v>
      </c>
      <c r="I48" s="51">
        <f t="shared" si="41"/>
        <v>2.3693814553837726</v>
      </c>
      <c r="J48" s="51">
        <f t="shared" si="41"/>
        <v>1.5414679756895744</v>
      </c>
    </row>
    <row r="49" spans="1:10">
      <c r="A49" s="22" t="s">
        <v>195</v>
      </c>
      <c r="F49" s="51">
        <f>F18/B18-1</f>
        <v>0.18508997429305918</v>
      </c>
      <c r="G49" s="51">
        <f t="shared" ref="G49:J49" si="42">G18/C18-1</f>
        <v>2.2021089630931456</v>
      </c>
      <c r="H49" s="51">
        <f t="shared" si="42"/>
        <v>1.628808864265928</v>
      </c>
      <c r="I49" s="51">
        <f t="shared" si="42"/>
        <v>2.7493793283679611</v>
      </c>
      <c r="J49" s="51">
        <f t="shared" si="42"/>
        <v>3.5737527114967458</v>
      </c>
    </row>
    <row r="50" spans="1:10">
      <c r="A50" s="22" t="s">
        <v>196</v>
      </c>
      <c r="F50" s="51">
        <f>-(F40/B40-1)</f>
        <v>2.2885572139303481</v>
      </c>
      <c r="G50" s="51">
        <f t="shared" ref="G50:I50" si="43">G40/C40-1</f>
        <v>0.64441147378832797</v>
      </c>
      <c r="H50" s="51">
        <f t="shared" si="43"/>
        <v>6.2120000000000033</v>
      </c>
      <c r="I50" s="51">
        <f t="shared" si="43"/>
        <v>6.6151832460733049</v>
      </c>
      <c r="J50" s="51">
        <f>J40/F40-1</f>
        <v>-1.743243243243243</v>
      </c>
    </row>
  </sheetData>
  <conditionalFormatting sqref="F31:X31 Z31:XFD31 F28:XFD28 F32:XFD32 A28:D28 A39:XFD40 A17:XFD18 A15:D15 K15:XFD16 F15:J15 A16:J16 A21:XFD22 A19:A20 K19:XFD20 A25:XFD27 A23:A24 K23:XFD24 A31:D32 A29:A30 K29:XFD30 A35:D36 A33:A34 F35:XFD36 K33:XFD34 K37:XFD38 A37:A38 A43:XFD44 A41:A42 K41:XFD42 A45:A46 K45:XFD46 A1:XFD14 A47:XFD1048576">
    <cfRule type="cellIs" dxfId="19" priority="11" operator="lessThan">
      <formula>0</formula>
    </cfRule>
  </conditionalFormatting>
  <conditionalFormatting sqref="E28">
    <cfRule type="cellIs" dxfId="18" priority="10" operator="lessThan">
      <formula>0</formula>
    </cfRule>
  </conditionalFormatting>
  <conditionalFormatting sqref="E32">
    <cfRule type="cellIs" dxfId="17" priority="9" operator="lessThan">
      <formula>0</formula>
    </cfRule>
  </conditionalFormatting>
  <conditionalFormatting sqref="E36">
    <cfRule type="cellIs" dxfId="16" priority="8" operator="lessThan">
      <formula>0</formula>
    </cfRule>
  </conditionalFormatting>
  <conditionalFormatting sqref="B19:D19 F19:J19 B20:J20">
    <cfRule type="cellIs" dxfId="15" priority="7" operator="lessThan">
      <formula>0</formula>
    </cfRule>
  </conditionalFormatting>
  <conditionalFormatting sqref="B23:D23 F23:J23 B24:J24">
    <cfRule type="cellIs" dxfId="14" priority="6" operator="lessThan">
      <formula>0</formula>
    </cfRule>
  </conditionalFormatting>
  <conditionalFormatting sqref="B29:D29 F29:J29 B30:J30">
    <cfRule type="cellIs" dxfId="13" priority="5" operator="lessThan">
      <formula>0</formula>
    </cfRule>
  </conditionalFormatting>
  <conditionalFormatting sqref="B33:D33 F33:J33 B34:J34">
    <cfRule type="cellIs" dxfId="12" priority="4" operator="lessThan">
      <formula>0</formula>
    </cfRule>
  </conditionalFormatting>
  <conditionalFormatting sqref="B37:D37 F37:J37 B38:J38">
    <cfRule type="cellIs" dxfId="11" priority="3" operator="lessThan">
      <formula>0</formula>
    </cfRule>
  </conditionalFormatting>
  <conditionalFormatting sqref="B41:D41 F41:J41 B42:J42">
    <cfRule type="cellIs" dxfId="10" priority="2" operator="lessThan">
      <formula>0</formula>
    </cfRule>
  </conditionalFormatting>
  <conditionalFormatting sqref="B45:D45 F45:J45 B46:J46">
    <cfRule type="cellIs" dxfId="9" priority="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E476-3775-874F-BFEF-AADF695B4A82}">
  <dimension ref="A1:AE100"/>
  <sheetViews>
    <sheetView tabSelected="1" workbookViewId="0">
      <pane xSplit="1" ySplit="7" topLeftCell="J26" activePane="bottomRight" state="frozen"/>
      <selection pane="topRight" activeCell="B1" sqref="B1"/>
      <selection pane="bottomLeft" activeCell="A8" sqref="A8"/>
      <selection pane="bottomRight" activeCell="O23" sqref="O23"/>
    </sheetView>
  </sheetViews>
  <sheetFormatPr baseColWidth="10" defaultRowHeight="16"/>
  <cols>
    <col min="1" max="1" width="63.33203125" style="22" bestFit="1" customWidth="1"/>
    <col min="2" max="2" width="9.83203125" style="22" hidden="1" customWidth="1"/>
    <col min="3" max="3" width="10.5" style="22" hidden="1" customWidth="1"/>
    <col min="4" max="4" width="9.83203125" style="22" bestFit="1" customWidth="1"/>
    <col min="5" max="5" width="10.6640625" style="22" bestFit="1" customWidth="1"/>
    <col min="6" max="6" width="11.1640625" style="22" bestFit="1" customWidth="1"/>
    <col min="7" max="7" width="10.6640625" style="22" bestFit="1" customWidth="1"/>
    <col min="8" max="8" width="11.1640625" style="22" bestFit="1" customWidth="1"/>
    <col min="9" max="9" width="12.5" style="22" bestFit="1" customWidth="1"/>
    <col min="10" max="10" width="11.1640625" style="22" bestFit="1" customWidth="1"/>
    <col min="11" max="11" width="12.5" style="22" bestFit="1" customWidth="1"/>
    <col min="12" max="12" width="11.1640625" style="22" bestFit="1" customWidth="1"/>
    <col min="13" max="16384" width="10.83203125" style="22"/>
  </cols>
  <sheetData>
    <row r="1" spans="1:31" ht="81" customHeight="1">
      <c r="A1" s="1" t="s">
        <v>135</v>
      </c>
    </row>
    <row r="2" spans="1:31" ht="26">
      <c r="A2" s="21" t="s">
        <v>134</v>
      </c>
    </row>
    <row r="3" spans="1:31">
      <c r="A3" s="22" t="s">
        <v>133</v>
      </c>
    </row>
    <row r="4" spans="1:31">
      <c r="A4" s="55"/>
    </row>
    <row r="6" spans="1:31" s="42" customFormat="1">
      <c r="A6" s="41"/>
      <c r="B6" s="41" t="s">
        <v>104</v>
      </c>
      <c r="C6" s="42" t="s">
        <v>105</v>
      </c>
      <c r="D6" s="42" t="s">
        <v>106</v>
      </c>
      <c r="E6" s="42" t="s">
        <v>107</v>
      </c>
      <c r="F6" s="42" t="s">
        <v>108</v>
      </c>
      <c r="G6" s="42" t="s">
        <v>109</v>
      </c>
      <c r="H6" s="42" t="s">
        <v>110</v>
      </c>
      <c r="I6" s="42" t="s">
        <v>111</v>
      </c>
      <c r="J6" s="42" t="s">
        <v>112</v>
      </c>
      <c r="K6" s="42" t="s">
        <v>113</v>
      </c>
      <c r="L6" s="42" t="s">
        <v>114</v>
      </c>
      <c r="M6" s="42" t="s">
        <v>115</v>
      </c>
      <c r="N6" s="42" t="s">
        <v>116</v>
      </c>
      <c r="O6" s="42" t="s">
        <v>117</v>
      </c>
      <c r="P6" s="42" t="s">
        <v>118</v>
      </c>
      <c r="Q6" s="42" t="s">
        <v>119</v>
      </c>
      <c r="R6" s="42" t="s">
        <v>120</v>
      </c>
      <c r="S6" s="42" t="s">
        <v>121</v>
      </c>
      <c r="T6" s="42" t="s">
        <v>122</v>
      </c>
      <c r="U6" s="42" t="s">
        <v>123</v>
      </c>
      <c r="V6" s="42" t="s">
        <v>124</v>
      </c>
      <c r="W6" s="43" t="s">
        <v>125</v>
      </c>
      <c r="AA6" s="41" t="s">
        <v>126</v>
      </c>
      <c r="AB6" s="42" t="s">
        <v>127</v>
      </c>
      <c r="AC6" s="42" t="s">
        <v>129</v>
      </c>
      <c r="AD6" s="42" t="s">
        <v>130</v>
      </c>
      <c r="AE6" s="43" t="s">
        <v>131</v>
      </c>
    </row>
    <row r="7" spans="1:31" s="45" customFormat="1">
      <c r="A7" s="73" t="s">
        <v>136</v>
      </c>
      <c r="B7" s="56">
        <v>43738</v>
      </c>
      <c r="C7" s="57">
        <v>43830</v>
      </c>
      <c r="D7" s="57">
        <v>43921</v>
      </c>
      <c r="E7" s="57">
        <v>44012</v>
      </c>
      <c r="F7" s="57">
        <v>44104</v>
      </c>
      <c r="G7" s="57">
        <v>44196</v>
      </c>
      <c r="H7" s="57">
        <v>44286</v>
      </c>
      <c r="I7" s="57">
        <v>44377</v>
      </c>
      <c r="J7" s="57">
        <v>44469</v>
      </c>
      <c r="K7" s="57">
        <v>44561</v>
      </c>
      <c r="L7" s="57">
        <v>44651</v>
      </c>
      <c r="M7" s="57">
        <f>I7+365</f>
        <v>44742</v>
      </c>
      <c r="N7" s="57">
        <f t="shared" ref="N7:S7" si="0">J7+365</f>
        <v>44834</v>
      </c>
      <c r="O7" s="57">
        <f t="shared" si="0"/>
        <v>44926</v>
      </c>
      <c r="P7" s="57">
        <f t="shared" si="0"/>
        <v>45016</v>
      </c>
      <c r="Q7" s="57">
        <f t="shared" si="0"/>
        <v>45107</v>
      </c>
      <c r="R7" s="57">
        <f t="shared" si="0"/>
        <v>45199</v>
      </c>
      <c r="S7" s="57">
        <f t="shared" si="0"/>
        <v>45291</v>
      </c>
      <c r="T7" s="57">
        <f>P7+366</f>
        <v>45382</v>
      </c>
      <c r="U7" s="57">
        <f t="shared" ref="U7:W7" si="1">Q7+366</f>
        <v>45473</v>
      </c>
      <c r="V7" s="57">
        <f t="shared" si="1"/>
        <v>45565</v>
      </c>
      <c r="W7" s="58">
        <f t="shared" si="1"/>
        <v>45657</v>
      </c>
      <c r="AA7" s="44" t="s">
        <v>128</v>
      </c>
      <c r="AB7" s="45" t="s">
        <v>128</v>
      </c>
      <c r="AC7" s="45" t="s">
        <v>128</v>
      </c>
      <c r="AD7" s="45" t="s">
        <v>132</v>
      </c>
      <c r="AE7" s="46" t="s">
        <v>128</v>
      </c>
    </row>
    <row r="9" spans="1:31">
      <c r="A9" s="22" t="s">
        <v>161</v>
      </c>
      <c r="B9" s="22">
        <v>47.9</v>
      </c>
      <c r="C9" s="22">
        <v>61.15</v>
      </c>
      <c r="D9" s="50">
        <f>'Revenue Build'!B22</f>
        <v>68.009999999999991</v>
      </c>
      <c r="E9" s="50">
        <f>'Revenue Build'!C22</f>
        <v>13.3</v>
      </c>
      <c r="F9" s="50">
        <f>'Revenue Build'!D22</f>
        <v>62.86</v>
      </c>
      <c r="G9" s="50">
        <f>'Revenue Build'!E22</f>
        <v>84.43</v>
      </c>
      <c r="H9" s="50">
        <f>'Revenue Build'!F22</f>
        <v>116.17</v>
      </c>
      <c r="I9" s="50">
        <f>'Revenue Build'!G22</f>
        <v>187.3</v>
      </c>
      <c r="J9" s="50">
        <f>'Revenue Build'!H22</f>
        <v>210.42</v>
      </c>
      <c r="K9" s="50">
        <f>'Revenue Build'!I22</f>
        <v>287.38499999999993</v>
      </c>
      <c r="L9" s="50">
        <f>'Revenue Build'!J22</f>
        <v>313.98</v>
      </c>
      <c r="M9" s="22">
        <f>'Revenue Build'!K22</f>
        <v>0</v>
      </c>
      <c r="N9" s="22">
        <f>'Revenue Build'!L22</f>
        <v>0</v>
      </c>
      <c r="O9" s="22">
        <f>'Revenue Build'!M22</f>
        <v>0</v>
      </c>
      <c r="P9" s="22">
        <f>'Revenue Build'!N22</f>
        <v>0</v>
      </c>
      <c r="Q9" s="22">
        <f>'Revenue Build'!O22</f>
        <v>0</v>
      </c>
      <c r="R9" s="22">
        <f>'Revenue Build'!P22</f>
        <v>0</v>
      </c>
      <c r="S9" s="22">
        <f>'Revenue Build'!Q22</f>
        <v>0</v>
      </c>
      <c r="T9" s="22">
        <f>'Revenue Build'!R22</f>
        <v>0</v>
      </c>
      <c r="U9" s="22">
        <f>'Revenue Build'!S22</f>
        <v>0</v>
      </c>
      <c r="V9" s="22">
        <f>'Revenue Build'!T22</f>
        <v>0</v>
      </c>
      <c r="W9" s="22">
        <f>'Revenue Build'!U22</f>
        <v>0</v>
      </c>
      <c r="AA9" s="50">
        <f>SUM(D9:G9)</f>
        <v>228.6</v>
      </c>
      <c r="AB9" s="50">
        <f>SUM(H9:K9)</f>
        <v>801.27499999999986</v>
      </c>
      <c r="AC9" s="50">
        <f>SUM(L9:O9)</f>
        <v>313.98</v>
      </c>
      <c r="AD9" s="50">
        <f>SUM(P9:S9)</f>
        <v>0</v>
      </c>
      <c r="AE9" s="50">
        <f>SUM(T9:W9)</f>
        <v>0</v>
      </c>
    </row>
    <row r="10" spans="1:31">
      <c r="A10" s="22" t="s">
        <v>169</v>
      </c>
      <c r="B10" s="22">
        <v>1.59</v>
      </c>
      <c r="C10" s="22">
        <v>1.42</v>
      </c>
      <c r="D10" s="50">
        <f>SUM('Revenue Build'!B28,'Revenue Build'!B32)</f>
        <v>5.93</v>
      </c>
      <c r="E10" s="50">
        <f>SUM('Revenue Build'!C28,'Revenue Build'!C32)</f>
        <v>5.4640000000000004</v>
      </c>
      <c r="F10" s="50">
        <f>SUM('Revenue Build'!D28,'Revenue Build'!D32)</f>
        <v>4.3599999999999994</v>
      </c>
      <c r="G10" s="50">
        <f>SUM('Revenue Build'!E28,'Revenue Build'!E32)</f>
        <v>2.6280000000000001</v>
      </c>
      <c r="H10" s="50">
        <f>SUM('Revenue Build'!F28,'Revenue Build'!F32)</f>
        <v>2.38</v>
      </c>
      <c r="I10" s="50">
        <f>SUM('Revenue Build'!G28,'Revenue Build'!G32)</f>
        <v>2.0499999999999998</v>
      </c>
      <c r="J10" s="50">
        <f>SUM('Revenue Build'!H28,'Revenue Build'!H32)</f>
        <v>4.8000000000000007</v>
      </c>
      <c r="K10" s="50">
        <f>SUM('Revenue Build'!I28,'Revenue Build'!I32)</f>
        <v>8.129999999999999</v>
      </c>
      <c r="L10" s="50">
        <f>SUM('Revenue Build'!J28,'Revenue Build'!J32)</f>
        <v>14.170000000000002</v>
      </c>
      <c r="M10" s="22">
        <f>SUM('Revenue Build'!K32,'Revenue Build'!K36)</f>
        <v>0</v>
      </c>
      <c r="N10" s="22">
        <f>SUM('Revenue Build'!L32,'Revenue Build'!L36)</f>
        <v>0</v>
      </c>
      <c r="O10" s="22">
        <f>SUM('Revenue Build'!M32,'Revenue Build'!M36)</f>
        <v>0</v>
      </c>
      <c r="P10" s="22">
        <f>SUM('Revenue Build'!N32,'Revenue Build'!N36)</f>
        <v>0</v>
      </c>
      <c r="Q10" s="22">
        <f>SUM('Revenue Build'!O32,'Revenue Build'!O36)</f>
        <v>0</v>
      </c>
      <c r="R10" s="22">
        <f>SUM('Revenue Build'!P32,'Revenue Build'!P36)</f>
        <v>0</v>
      </c>
      <c r="S10" s="22">
        <f>SUM('Revenue Build'!Q32,'Revenue Build'!Q36)</f>
        <v>0</v>
      </c>
      <c r="T10" s="22">
        <f>SUM('Revenue Build'!R32,'Revenue Build'!R36)</f>
        <v>0</v>
      </c>
      <c r="U10" s="22">
        <f>SUM('Revenue Build'!S32,'Revenue Build'!S36)</f>
        <v>0</v>
      </c>
      <c r="V10" s="22">
        <f>SUM('Revenue Build'!T32,'Revenue Build'!T36)</f>
        <v>0</v>
      </c>
      <c r="W10" s="22">
        <f>SUM('Revenue Build'!U32,'Revenue Build'!U36)</f>
        <v>0</v>
      </c>
      <c r="AA10" s="50">
        <f>SUM(D10:G10)</f>
        <v>18.381999999999998</v>
      </c>
      <c r="AB10" s="50">
        <f>SUM(H10:K10)</f>
        <v>17.36</v>
      </c>
      <c r="AC10" s="50">
        <f>SUM(L10:O10)</f>
        <v>14.170000000000002</v>
      </c>
      <c r="AD10" s="50">
        <f>SUM(P10:S10)</f>
        <v>0</v>
      </c>
      <c r="AE10" s="50">
        <f>SUM(T10:W10)</f>
        <v>0</v>
      </c>
    </row>
    <row r="11" spans="1:31">
      <c r="A11" s="22" t="s">
        <v>168</v>
      </c>
      <c r="C11" s="22">
        <v>5.78</v>
      </c>
      <c r="D11" s="22">
        <f>'Revenue Build'!B36</f>
        <v>-9.9499999999999993</v>
      </c>
      <c r="E11" s="22">
        <f>'Revenue Build'!C36</f>
        <v>-1.42</v>
      </c>
      <c r="F11" s="22">
        <f>'Revenue Build'!D36</f>
        <v>-1.86</v>
      </c>
      <c r="G11" s="50">
        <f>'Revenue Build'!E36</f>
        <v>-0.33600000000000207</v>
      </c>
      <c r="H11" s="50">
        <f>'Revenue Build'!F36</f>
        <v>2.8</v>
      </c>
      <c r="I11" s="50">
        <f>'Revenue Build'!G36</f>
        <v>4.5999999999999996</v>
      </c>
      <c r="J11" s="50">
        <f>'Revenue Build'!H36</f>
        <v>13.23</v>
      </c>
      <c r="K11" s="50">
        <f>'Revenue Build'!I36</f>
        <v>9.3240000000000016</v>
      </c>
      <c r="L11" s="50">
        <f>'Revenue Build'!J36</f>
        <v>-18.02</v>
      </c>
      <c r="M11" s="22">
        <f>'Revenue Build'!K36</f>
        <v>0</v>
      </c>
      <c r="N11" s="22">
        <f>'Revenue Build'!L36</f>
        <v>0</v>
      </c>
      <c r="O11" s="22">
        <f>'Revenue Build'!M36</f>
        <v>0</v>
      </c>
      <c r="P11" s="22">
        <f>'Revenue Build'!N36</f>
        <v>0</v>
      </c>
      <c r="Q11" s="22">
        <f>'Revenue Build'!O36</f>
        <v>0</v>
      </c>
      <c r="R11" s="22">
        <f>'Revenue Build'!P36</f>
        <v>0</v>
      </c>
      <c r="S11" s="22">
        <f>'Revenue Build'!Q36</f>
        <v>0</v>
      </c>
      <c r="T11" s="22">
        <f>'Revenue Build'!R36</f>
        <v>0</v>
      </c>
      <c r="U11" s="22">
        <f>'Revenue Build'!S36</f>
        <v>0</v>
      </c>
      <c r="V11" s="22">
        <f>'Revenue Build'!T36</f>
        <v>0</v>
      </c>
      <c r="W11" s="22">
        <f>'Revenue Build'!U36</f>
        <v>0</v>
      </c>
      <c r="AA11" s="50">
        <f>SUM(D11:G11)</f>
        <v>-13.566000000000001</v>
      </c>
      <c r="AB11" s="50">
        <f>SUM(H11:K11)</f>
        <v>29.954000000000001</v>
      </c>
      <c r="AC11" s="50">
        <f>SUM(L11:O11)</f>
        <v>-18.02</v>
      </c>
      <c r="AD11" s="50">
        <f>SUM(P11:S11)</f>
        <v>0</v>
      </c>
      <c r="AE11" s="50">
        <f>SUM(T11:W11)</f>
        <v>0</v>
      </c>
    </row>
    <row r="13" spans="1:31" s="66" customFormat="1">
      <c r="A13" s="65" t="s">
        <v>0</v>
      </c>
      <c r="B13" s="66">
        <f t="shared" ref="B13:K13" si="2">SUM(B9,B10,B11)</f>
        <v>49.49</v>
      </c>
      <c r="C13" s="66">
        <f t="shared" si="2"/>
        <v>68.349999999999994</v>
      </c>
      <c r="D13" s="67">
        <f t="shared" si="2"/>
        <v>63.989999999999995</v>
      </c>
      <c r="E13" s="67">
        <f t="shared" si="2"/>
        <v>17.344000000000001</v>
      </c>
      <c r="F13" s="67">
        <f t="shared" si="2"/>
        <v>65.36</v>
      </c>
      <c r="G13" s="67">
        <f t="shared" si="2"/>
        <v>86.722000000000008</v>
      </c>
      <c r="H13" s="67">
        <f t="shared" si="2"/>
        <v>121.35</v>
      </c>
      <c r="I13" s="67">
        <f t="shared" si="2"/>
        <v>193.95000000000002</v>
      </c>
      <c r="J13" s="67">
        <f t="shared" si="2"/>
        <v>228.45</v>
      </c>
      <c r="K13" s="67">
        <f t="shared" si="2"/>
        <v>304.83899999999994</v>
      </c>
      <c r="L13" s="67">
        <f>SUM(L9,L10,L11)</f>
        <v>310.13000000000005</v>
      </c>
      <c r="M13" s="67">
        <f t="shared" ref="M13:W13" si="3">SUM(M9,M10,M11)</f>
        <v>0</v>
      </c>
      <c r="N13" s="67">
        <f t="shared" si="3"/>
        <v>0</v>
      </c>
      <c r="O13" s="67">
        <f t="shared" si="3"/>
        <v>0</v>
      </c>
      <c r="P13" s="67">
        <f t="shared" si="3"/>
        <v>0</v>
      </c>
      <c r="Q13" s="67">
        <f t="shared" si="3"/>
        <v>0</v>
      </c>
      <c r="R13" s="67">
        <f t="shared" si="3"/>
        <v>0</v>
      </c>
      <c r="S13" s="67">
        <f t="shared" si="3"/>
        <v>0</v>
      </c>
      <c r="T13" s="67">
        <f t="shared" si="3"/>
        <v>0</v>
      </c>
      <c r="U13" s="67">
        <f t="shared" si="3"/>
        <v>0</v>
      </c>
      <c r="V13" s="67">
        <f t="shared" si="3"/>
        <v>0</v>
      </c>
      <c r="W13" s="67">
        <f t="shared" si="3"/>
        <v>0</v>
      </c>
      <c r="AA13" s="67">
        <f>SUM(D13:G13)</f>
        <v>233.41600000000003</v>
      </c>
      <c r="AB13" s="67">
        <f>SUM(H13:K13)</f>
        <v>848.58899999999994</v>
      </c>
      <c r="AC13" s="67">
        <f>SUM(L13:O13)</f>
        <v>310.13000000000005</v>
      </c>
      <c r="AD13" s="67">
        <f>SUM(P13:S13)</f>
        <v>0</v>
      </c>
      <c r="AE13" s="67">
        <f>SUM(T13:W13)</f>
        <v>0</v>
      </c>
    </row>
    <row r="14" spans="1:31" s="59" customFormat="1">
      <c r="A14" s="59" t="s">
        <v>1</v>
      </c>
      <c r="F14" s="60">
        <f>F13/B13-1</f>
        <v>0.32067084259446355</v>
      </c>
      <c r="G14" s="60">
        <f t="shared" ref="G14:L14" si="4">G13/C13-1</f>
        <v>0.26879297732260454</v>
      </c>
      <c r="H14" s="60">
        <f t="shared" si="4"/>
        <v>0.896390060947023</v>
      </c>
      <c r="I14" s="60">
        <f t="shared" si="4"/>
        <v>10.18254151291513</v>
      </c>
      <c r="J14" s="60">
        <f t="shared" si="4"/>
        <v>2.4952570379436962</v>
      </c>
      <c r="K14" s="60">
        <f t="shared" si="4"/>
        <v>2.5151288023800178</v>
      </c>
      <c r="L14" s="60">
        <f t="shared" si="4"/>
        <v>1.555665430572724</v>
      </c>
      <c r="M14" s="60">
        <f t="shared" ref="M14" si="5">M13/I13-1</f>
        <v>-1</v>
      </c>
      <c r="N14" s="60">
        <f t="shared" ref="N14" si="6">N13/J13-1</f>
        <v>-1</v>
      </c>
      <c r="O14" s="60">
        <f t="shared" ref="O14" si="7">O13/K13-1</f>
        <v>-1</v>
      </c>
      <c r="P14" s="60">
        <f t="shared" ref="P14" si="8">P13/L13-1</f>
        <v>-1</v>
      </c>
      <c r="Q14" s="60" t="e">
        <f t="shared" ref="Q14" si="9">Q13/M13-1</f>
        <v>#DIV/0!</v>
      </c>
      <c r="R14" s="60" t="e">
        <f t="shared" ref="R14" si="10">R13/N13-1</f>
        <v>#DIV/0!</v>
      </c>
      <c r="S14" s="60" t="e">
        <f t="shared" ref="S14" si="11">S13/O13-1</f>
        <v>#DIV/0!</v>
      </c>
      <c r="T14" s="60" t="e">
        <f t="shared" ref="T14" si="12">T13/P13-1</f>
        <v>#DIV/0!</v>
      </c>
      <c r="U14" s="60" t="e">
        <f t="shared" ref="U14" si="13">U13/Q13-1</f>
        <v>#DIV/0!</v>
      </c>
      <c r="V14" s="60" t="e">
        <f t="shared" ref="V14" si="14">V13/R13-1</f>
        <v>#DIV/0!</v>
      </c>
      <c r="W14" s="60" t="e">
        <f t="shared" ref="W14" si="15">W13/S13-1</f>
        <v>#DIV/0!</v>
      </c>
    </row>
    <row r="15" spans="1:31" s="59" customFormat="1">
      <c r="A15" s="59" t="s">
        <v>170</v>
      </c>
      <c r="C15" s="61">
        <f>C13/B13-1</f>
        <v>0.38108708830066673</v>
      </c>
      <c r="D15" s="61">
        <f t="shared" ref="D15:L15" si="16">D13/C13-1</f>
        <v>-6.3789319678127288E-2</v>
      </c>
      <c r="E15" s="61">
        <f t="shared" si="16"/>
        <v>-0.728957649632755</v>
      </c>
      <c r="F15" s="61">
        <f t="shared" si="16"/>
        <v>2.7684501845018445</v>
      </c>
      <c r="G15" s="61">
        <f t="shared" si="16"/>
        <v>0.32683598531211766</v>
      </c>
      <c r="H15" s="61">
        <f t="shared" si="16"/>
        <v>0.39929890915799882</v>
      </c>
      <c r="I15" s="61">
        <f t="shared" si="16"/>
        <v>0.5982694684796046</v>
      </c>
      <c r="J15" s="61">
        <f t="shared" si="16"/>
        <v>0.17788089713843758</v>
      </c>
      <c r="K15" s="61">
        <f t="shared" si="16"/>
        <v>0.33437951411687439</v>
      </c>
      <c r="L15" s="61">
        <f t="shared" si="16"/>
        <v>1.7356703046526478E-2</v>
      </c>
      <c r="M15" s="61">
        <f t="shared" ref="M15" si="17">M13/L13-1</f>
        <v>-1</v>
      </c>
      <c r="N15" s="61" t="e">
        <f t="shared" ref="N15" si="18">N13/M13-1</f>
        <v>#DIV/0!</v>
      </c>
      <c r="O15" s="61" t="e">
        <f t="shared" ref="O15" si="19">O13/N13-1</f>
        <v>#DIV/0!</v>
      </c>
      <c r="P15" s="61" t="e">
        <f t="shared" ref="P15" si="20">P13/O13-1</f>
        <v>#DIV/0!</v>
      </c>
      <c r="Q15" s="61" t="e">
        <f t="shared" ref="Q15" si="21">Q13/P13-1</f>
        <v>#DIV/0!</v>
      </c>
      <c r="R15" s="61" t="e">
        <f t="shared" ref="R15" si="22">R13/Q13-1</f>
        <v>#DIV/0!</v>
      </c>
      <c r="S15" s="61" t="e">
        <f t="shared" ref="S15" si="23">S13/R13-1</f>
        <v>#DIV/0!</v>
      </c>
      <c r="T15" s="61" t="e">
        <f t="shared" ref="T15" si="24">T13/S13-1</f>
        <v>#DIV/0!</v>
      </c>
      <c r="U15" s="61" t="e">
        <f t="shared" ref="U15" si="25">U13/T13-1</f>
        <v>#DIV/0!</v>
      </c>
      <c r="V15" s="61" t="e">
        <f t="shared" ref="V15" si="26">V13/U13-1</f>
        <v>#DIV/0!</v>
      </c>
      <c r="W15" s="61" t="e">
        <f t="shared" ref="W15" si="27">W13/V13-1</f>
        <v>#DIV/0!</v>
      </c>
    </row>
    <row r="16" spans="1:31">
      <c r="A16" s="59"/>
      <c r="B16" s="59"/>
      <c r="C16" s="61"/>
      <c r="D16" s="61"/>
      <c r="E16" s="61"/>
      <c r="F16" s="61"/>
      <c r="G16" s="61"/>
      <c r="H16" s="61"/>
      <c r="I16" s="61"/>
      <c r="J16" s="61"/>
      <c r="K16" s="61"/>
      <c r="L16" s="61"/>
    </row>
    <row r="17" spans="1:31">
      <c r="A17" s="62" t="s">
        <v>171</v>
      </c>
      <c r="B17" s="59"/>
      <c r="C17" s="59"/>
      <c r="D17" s="59"/>
      <c r="E17" s="59"/>
      <c r="F17" s="63"/>
      <c r="G17" s="63"/>
      <c r="H17" s="63"/>
      <c r="I17" s="63"/>
      <c r="J17" s="63"/>
      <c r="K17" s="63"/>
      <c r="L17" s="63"/>
    </row>
    <row r="18" spans="1:31">
      <c r="A18" s="22" t="s">
        <v>176</v>
      </c>
      <c r="B18" s="22">
        <v>-6.69</v>
      </c>
      <c r="C18" s="22">
        <v>-8.35</v>
      </c>
      <c r="D18" s="22">
        <v>-8.81</v>
      </c>
      <c r="E18" s="22">
        <v>-6.62</v>
      </c>
      <c r="F18" s="22">
        <v>-9.36</v>
      </c>
      <c r="G18" s="22">
        <v>-12.79</v>
      </c>
      <c r="H18" s="22">
        <v>-17.39</v>
      </c>
      <c r="I18" s="22">
        <v>-24.16</v>
      </c>
      <c r="J18" s="22">
        <v>-34.979999999999997</v>
      </c>
      <c r="K18" s="22">
        <v>-41.05</v>
      </c>
      <c r="L18" s="22">
        <v>-48.41</v>
      </c>
      <c r="M18" s="22">
        <f>-M19*M$13</f>
        <v>0</v>
      </c>
      <c r="N18" s="22">
        <f t="shared" ref="N18:W18" si="28">-N19*N$13</f>
        <v>0</v>
      </c>
      <c r="O18" s="22">
        <f t="shared" si="28"/>
        <v>0</v>
      </c>
      <c r="P18" s="22">
        <f t="shared" si="28"/>
        <v>0</v>
      </c>
      <c r="Q18" s="22">
        <f t="shared" si="28"/>
        <v>0</v>
      </c>
      <c r="R18" s="22">
        <f t="shared" si="28"/>
        <v>0</v>
      </c>
      <c r="S18" s="22">
        <f t="shared" si="28"/>
        <v>0</v>
      </c>
      <c r="T18" s="22">
        <f t="shared" si="28"/>
        <v>0</v>
      </c>
      <c r="U18" s="22">
        <f t="shared" si="28"/>
        <v>0</v>
      </c>
      <c r="V18" s="22">
        <f t="shared" si="28"/>
        <v>0</v>
      </c>
      <c r="W18" s="22">
        <f t="shared" si="28"/>
        <v>0</v>
      </c>
      <c r="AA18" s="50">
        <f>SUM(D18:G18)</f>
        <v>-37.58</v>
      </c>
      <c r="AB18" s="50">
        <f>SUM(H18:K18)</f>
        <v>-117.58</v>
      </c>
      <c r="AC18" s="50">
        <f>SUM(L18:O18)</f>
        <v>-48.41</v>
      </c>
      <c r="AD18" s="50">
        <f>SUM(P18:S18)</f>
        <v>0</v>
      </c>
      <c r="AE18" s="50">
        <f>SUM(T18:W18)</f>
        <v>0</v>
      </c>
    </row>
    <row r="19" spans="1:31" s="59" customFormat="1">
      <c r="A19" s="59" t="s">
        <v>166</v>
      </c>
      <c r="B19" s="61">
        <f t="shared" ref="B19:L19" si="29">-B18/B13</f>
        <v>0.13517882400484946</v>
      </c>
      <c r="C19" s="61">
        <f t="shared" si="29"/>
        <v>0.12216532553035846</v>
      </c>
      <c r="D19" s="61">
        <f t="shared" si="29"/>
        <v>0.137677762150336</v>
      </c>
      <c r="E19" s="61">
        <f t="shared" si="29"/>
        <v>0.38168819188191883</v>
      </c>
      <c r="F19" s="61">
        <f t="shared" si="29"/>
        <v>0.14320685434516522</v>
      </c>
      <c r="G19" s="61">
        <f t="shared" si="29"/>
        <v>0.14748276100643434</v>
      </c>
      <c r="H19" s="61">
        <f t="shared" si="29"/>
        <v>0.14330449114132676</v>
      </c>
      <c r="I19" s="61">
        <f t="shared" si="29"/>
        <v>0.12456818767723639</v>
      </c>
      <c r="J19" s="61">
        <f t="shared" si="29"/>
        <v>0.15311884438608009</v>
      </c>
      <c r="K19" s="61">
        <f t="shared" si="29"/>
        <v>0.13466124741256863</v>
      </c>
      <c r="L19" s="61">
        <f t="shared" si="29"/>
        <v>0.15609583078064035</v>
      </c>
      <c r="M19" s="60">
        <v>0.16</v>
      </c>
      <c r="N19" s="60">
        <v>0.16</v>
      </c>
      <c r="O19" s="60">
        <v>0.16</v>
      </c>
      <c r="P19" s="60">
        <v>0.16</v>
      </c>
      <c r="Q19" s="60">
        <v>0.16</v>
      </c>
      <c r="R19" s="60">
        <v>0.16</v>
      </c>
      <c r="S19" s="60">
        <v>0.16</v>
      </c>
      <c r="T19" s="60">
        <v>0.16</v>
      </c>
      <c r="U19" s="60">
        <v>0.16</v>
      </c>
      <c r="V19" s="60">
        <v>0.16</v>
      </c>
      <c r="W19" s="60">
        <v>0.16</v>
      </c>
    </row>
    <row r="22" spans="1:31" s="66" customFormat="1">
      <c r="A22" s="65" t="s">
        <v>2</v>
      </c>
      <c r="B22" s="66">
        <v>42.8</v>
      </c>
      <c r="C22" s="66">
        <v>58.58</v>
      </c>
      <c r="D22" s="67">
        <f t="shared" ref="D22:L22" si="30">D13+D18</f>
        <v>55.179999999999993</v>
      </c>
      <c r="E22" s="67">
        <f t="shared" si="30"/>
        <v>10.724</v>
      </c>
      <c r="F22" s="67">
        <f t="shared" si="30"/>
        <v>56</v>
      </c>
      <c r="G22" s="67">
        <f t="shared" si="30"/>
        <v>73.932000000000016</v>
      </c>
      <c r="H22" s="67">
        <f t="shared" si="30"/>
        <v>103.96</v>
      </c>
      <c r="I22" s="67">
        <f t="shared" si="30"/>
        <v>169.79000000000002</v>
      </c>
      <c r="J22" s="67">
        <f t="shared" si="30"/>
        <v>193.47</v>
      </c>
      <c r="K22" s="67">
        <f t="shared" si="30"/>
        <v>263.78899999999993</v>
      </c>
      <c r="L22" s="67">
        <f t="shared" si="30"/>
        <v>261.72000000000003</v>
      </c>
      <c r="AA22" s="67">
        <f>SUM(D22:G22)</f>
        <v>195.83600000000001</v>
      </c>
      <c r="AB22" s="67">
        <f>SUM(H22:K22)</f>
        <v>731.00900000000001</v>
      </c>
      <c r="AC22" s="67">
        <f>SUM(L22:O22)</f>
        <v>261.72000000000003</v>
      </c>
      <c r="AD22" s="67">
        <f>SUM(P22:S22)</f>
        <v>0</v>
      </c>
      <c r="AE22" s="67">
        <f>SUM(T22:W22)</f>
        <v>0</v>
      </c>
    </row>
    <row r="23" spans="1:31">
      <c r="A23" s="59" t="s">
        <v>1</v>
      </c>
      <c r="B23" s="59"/>
      <c r="C23" s="59"/>
      <c r="D23" s="59"/>
      <c r="E23" s="59"/>
      <c r="F23" s="60">
        <v>0.34200000000000003</v>
      </c>
      <c r="G23" s="60">
        <v>0.28000000000000003</v>
      </c>
      <c r="H23" s="60">
        <v>0.79700000000000004</v>
      </c>
      <c r="I23" s="60">
        <v>12.183999999999999</v>
      </c>
      <c r="J23" s="60">
        <v>2.3730000000000002</v>
      </c>
      <c r="K23" s="60">
        <v>2.524</v>
      </c>
      <c r="L23" s="60">
        <v>1.502</v>
      </c>
    </row>
    <row r="24" spans="1:31">
      <c r="A24" s="59" t="s">
        <v>3</v>
      </c>
      <c r="B24" s="60">
        <v>0.86499999999999999</v>
      </c>
      <c r="C24" s="60">
        <v>0.875</v>
      </c>
      <c r="D24" s="60">
        <v>0.86899999999999999</v>
      </c>
      <c r="E24" s="60">
        <v>0.66200000000000003</v>
      </c>
      <c r="F24" s="60">
        <v>0.86</v>
      </c>
      <c r="G24" s="60">
        <v>0.85399999999999998</v>
      </c>
      <c r="H24" s="60">
        <v>0.85799999999999998</v>
      </c>
      <c r="I24" s="60">
        <v>0.876</v>
      </c>
      <c r="J24" s="60">
        <v>0.84699999999999998</v>
      </c>
      <c r="K24" s="60">
        <v>0.86599999999999999</v>
      </c>
      <c r="L24" s="60">
        <v>0.84399999999999997</v>
      </c>
    </row>
    <row r="25" spans="1:31">
      <c r="A25" s="59"/>
      <c r="B25" s="63"/>
      <c r="C25" s="63"/>
      <c r="D25" s="63"/>
      <c r="E25" s="63"/>
      <c r="F25" s="63"/>
      <c r="G25" s="63"/>
      <c r="H25" s="63"/>
      <c r="I25" s="63"/>
      <c r="J25" s="63"/>
      <c r="K25" s="63"/>
      <c r="L25" s="63"/>
    </row>
    <row r="26" spans="1:31" s="49" customFormat="1">
      <c r="A26" s="47" t="s">
        <v>173</v>
      </c>
      <c r="B26" s="64"/>
      <c r="C26" s="64"/>
      <c r="D26" s="64"/>
      <c r="E26" s="64"/>
      <c r="F26" s="64"/>
      <c r="G26" s="64"/>
      <c r="H26" s="64"/>
      <c r="I26" s="64"/>
      <c r="J26" s="64"/>
      <c r="K26" s="64"/>
      <c r="L26" s="64"/>
      <c r="AA26" s="48">
        <f>SUM(D26:G26)</f>
        <v>0</v>
      </c>
      <c r="AB26" s="48">
        <f>SUM(H26:K26)</f>
        <v>0</v>
      </c>
      <c r="AC26" s="48">
        <f>SUM(L26:O26)</f>
        <v>0</v>
      </c>
      <c r="AD26" s="48">
        <f>SUM(P26:S26)</f>
        <v>0</v>
      </c>
      <c r="AE26" s="48">
        <f>SUM(T26:W26)</f>
        <v>0</v>
      </c>
    </row>
    <row r="28" spans="1:31">
      <c r="A28" s="22" t="s">
        <v>24</v>
      </c>
      <c r="B28" s="22">
        <v>-27.33</v>
      </c>
      <c r="C28" s="22">
        <v>-31.94</v>
      </c>
      <c r="D28" s="22">
        <v>-35.950000000000003</v>
      </c>
      <c r="E28" s="22">
        <v>-5.44</v>
      </c>
      <c r="F28" s="22">
        <v>-23.73</v>
      </c>
      <c r="G28" s="22">
        <v>-34.549999999999997</v>
      </c>
      <c r="H28" s="22">
        <v>-49.38</v>
      </c>
      <c r="I28" s="22">
        <v>-75.92</v>
      </c>
      <c r="J28" s="22">
        <v>-93.35</v>
      </c>
      <c r="K28" s="22">
        <v>-114.82</v>
      </c>
      <c r="L28" s="22">
        <v>-133.44999999999999</v>
      </c>
      <c r="M28" s="22">
        <f>M29*M$13</f>
        <v>0</v>
      </c>
      <c r="N28" s="22">
        <f t="shared" ref="N28" si="31">N29*N$13</f>
        <v>0</v>
      </c>
      <c r="O28" s="22">
        <f t="shared" ref="O28" si="32">O29*O$13</f>
        <v>0</v>
      </c>
      <c r="P28" s="22">
        <f t="shared" ref="P28" si="33">P29*P$13</f>
        <v>0</v>
      </c>
      <c r="Q28" s="22">
        <f t="shared" ref="Q28" si="34">Q29*Q$13</f>
        <v>0</v>
      </c>
      <c r="R28" s="22">
        <f t="shared" ref="R28" si="35">R29*R$13</f>
        <v>0</v>
      </c>
      <c r="S28" s="22">
        <f t="shared" ref="S28" si="36">S29*S$13</f>
        <v>0</v>
      </c>
      <c r="T28" s="22">
        <f t="shared" ref="T28" si="37">T29*T$13</f>
        <v>0</v>
      </c>
      <c r="U28" s="22">
        <f t="shared" ref="U28" si="38">U29*U$13</f>
        <v>0</v>
      </c>
      <c r="V28" s="22">
        <f t="shared" ref="V28" si="39">V29*V$13</f>
        <v>0</v>
      </c>
      <c r="W28" s="22">
        <f t="shared" ref="W28" si="40">W29*W$13</f>
        <v>0</v>
      </c>
      <c r="AA28" s="50">
        <f>SUM(D28:G28)</f>
        <v>-99.67</v>
      </c>
      <c r="AB28" s="50">
        <f>SUM(H28:K28)</f>
        <v>-333.47</v>
      </c>
      <c r="AC28" s="50">
        <f>SUM(L28:O28)</f>
        <v>-133.44999999999999</v>
      </c>
      <c r="AD28" s="50">
        <f>SUM(P28:S28)</f>
        <v>0</v>
      </c>
      <c r="AE28" s="50">
        <f>SUM(T28:W28)</f>
        <v>0</v>
      </c>
    </row>
    <row r="29" spans="1:31" s="59" customFormat="1">
      <c r="A29" s="59" t="s">
        <v>166</v>
      </c>
      <c r="B29" s="61">
        <f>B28/B$13</f>
        <v>-0.5522327742978379</v>
      </c>
      <c r="C29" s="61">
        <f t="shared" ref="C29:L29" si="41">C28/C$13</f>
        <v>-0.46730065837600593</v>
      </c>
      <c r="D29" s="61">
        <f t="shared" si="41"/>
        <v>-0.56180653227066735</v>
      </c>
      <c r="E29" s="61">
        <f t="shared" si="41"/>
        <v>-0.31365313653136534</v>
      </c>
      <c r="F29" s="61">
        <f t="shared" si="41"/>
        <v>-0.36306609547123625</v>
      </c>
      <c r="G29" s="61">
        <f t="shared" si="41"/>
        <v>-0.39839948340674791</v>
      </c>
      <c r="H29" s="61">
        <f t="shared" si="41"/>
        <v>-0.40692212608158224</v>
      </c>
      <c r="I29" s="61">
        <f t="shared" si="41"/>
        <v>-0.39144109306522296</v>
      </c>
      <c r="J29" s="61">
        <f t="shared" si="41"/>
        <v>-0.40862333114467059</v>
      </c>
      <c r="K29" s="61">
        <f t="shared" si="41"/>
        <v>-0.3766578423364465</v>
      </c>
      <c r="L29" s="61">
        <f t="shared" si="41"/>
        <v>-0.43030342114597092</v>
      </c>
      <c r="M29" s="60">
        <f>-38%</f>
        <v>-0.38</v>
      </c>
      <c r="N29" s="60">
        <f>-38%</f>
        <v>-0.38</v>
      </c>
      <c r="O29" s="60">
        <v>-0.36</v>
      </c>
      <c r="P29" s="60">
        <v>-0.36</v>
      </c>
      <c r="Q29" s="60">
        <v>-0.36</v>
      </c>
      <c r="R29" s="60">
        <v>-0.36</v>
      </c>
      <c r="S29" s="60">
        <v>-0.36</v>
      </c>
      <c r="T29" s="60">
        <v>-0.36</v>
      </c>
      <c r="U29" s="60">
        <v>-0.36</v>
      </c>
      <c r="V29" s="60">
        <v>-0.36</v>
      </c>
      <c r="W29" s="60">
        <v>-0.36</v>
      </c>
    </row>
    <row r="30" spans="1:31">
      <c r="A30" s="22" t="s">
        <v>164</v>
      </c>
    </row>
    <row r="31" spans="1:31">
      <c r="A31" s="22" t="s">
        <v>25</v>
      </c>
      <c r="B31" s="22">
        <v>-8.42</v>
      </c>
      <c r="C31" s="22">
        <v>-9.3000000000000007</v>
      </c>
      <c r="D31" s="22">
        <v>-11.66</v>
      </c>
      <c r="E31" s="22">
        <v>-9.02</v>
      </c>
      <c r="F31" s="22">
        <v>-10.1</v>
      </c>
      <c r="G31" s="22">
        <v>-14.83</v>
      </c>
      <c r="H31" s="22">
        <v>-20.02</v>
      </c>
      <c r="I31" s="22">
        <v>-26.12</v>
      </c>
      <c r="J31" s="22">
        <v>-34.44</v>
      </c>
      <c r="K31" s="22">
        <v>-42.08</v>
      </c>
      <c r="L31" s="22">
        <v>-43.46</v>
      </c>
      <c r="M31" s="22">
        <f>M32*M$13</f>
        <v>0</v>
      </c>
      <c r="N31" s="22">
        <f t="shared" ref="N31:P31" si="42">N32*N$13</f>
        <v>0</v>
      </c>
      <c r="O31" s="22">
        <f t="shared" si="42"/>
        <v>0</v>
      </c>
      <c r="P31" s="22">
        <f t="shared" si="42"/>
        <v>0</v>
      </c>
      <c r="Q31" s="22">
        <f t="shared" ref="Q31" si="43">Q32*Q$13</f>
        <v>0</v>
      </c>
      <c r="R31" s="22">
        <f t="shared" ref="R31" si="44">R32*R$13</f>
        <v>0</v>
      </c>
      <c r="S31" s="22">
        <f t="shared" ref="S31" si="45">S32*S$13</f>
        <v>0</v>
      </c>
      <c r="T31" s="22">
        <f t="shared" ref="T31" si="46">T32*T$13</f>
        <v>0</v>
      </c>
      <c r="U31" s="22">
        <f t="shared" ref="U31" si="47">U32*U$13</f>
        <v>0</v>
      </c>
      <c r="V31" s="22">
        <f t="shared" ref="V31" si="48">V32*V$13</f>
        <v>0</v>
      </c>
      <c r="W31" s="22">
        <f t="shared" ref="W31" si="49">W32*W$13</f>
        <v>0</v>
      </c>
      <c r="AA31" s="50">
        <f>SUM(D31:G31)</f>
        <v>-45.61</v>
      </c>
      <c r="AB31" s="50">
        <f>SUM(H31:K31)</f>
        <v>-122.66</v>
      </c>
      <c r="AC31" s="50">
        <f>SUM(L31:O31)</f>
        <v>-43.46</v>
      </c>
      <c r="AD31" s="50">
        <f>SUM(P31:S31)</f>
        <v>0</v>
      </c>
      <c r="AE31" s="50">
        <f>SUM(T31:W31)</f>
        <v>0</v>
      </c>
    </row>
    <row r="32" spans="1:31" s="59" customFormat="1">
      <c r="A32" s="59" t="s">
        <v>166</v>
      </c>
      <c r="B32" s="61">
        <f>B31/B$13</f>
        <v>-0.17013538088502728</v>
      </c>
      <c r="C32" s="61">
        <f t="shared" ref="C32" si="50">C31/C$13</f>
        <v>-0.13606437454279446</v>
      </c>
      <c r="D32" s="61">
        <f t="shared" ref="D32" si="51">D31/D$13</f>
        <v>-0.18221597124550712</v>
      </c>
      <c r="E32" s="61">
        <f t="shared" ref="E32" si="52">E31/E$13</f>
        <v>-0.52006457564575637</v>
      </c>
      <c r="F32" s="61">
        <f t="shared" ref="F32" si="53">F31/F$13</f>
        <v>-0.15452876376988983</v>
      </c>
      <c r="G32" s="61">
        <f t="shared" ref="G32" si="54">G31/G$13</f>
        <v>-0.17100620373146375</v>
      </c>
      <c r="H32" s="61">
        <f t="shared" ref="H32" si="55">H31/H$13</f>
        <v>-0.16497733827770911</v>
      </c>
      <c r="I32" s="61">
        <f t="shared" ref="I32" si="56">I31/I$13</f>
        <v>-0.13467388502191285</v>
      </c>
      <c r="J32" s="61">
        <f t="shared" ref="J32" si="57">J31/J$13</f>
        <v>-0.15075508864084045</v>
      </c>
      <c r="K32" s="61">
        <f t="shared" ref="K32" si="58">K31/K$13</f>
        <v>-0.13804008017346864</v>
      </c>
      <c r="L32" s="61">
        <f t="shared" ref="L32" si="59">L31/L$13</f>
        <v>-0.14013478218811465</v>
      </c>
      <c r="M32" s="60">
        <v>-0.15</v>
      </c>
      <c r="N32" s="60">
        <v>-0.15</v>
      </c>
      <c r="O32" s="60">
        <v>-0.15</v>
      </c>
      <c r="P32" s="60">
        <v>-0.15</v>
      </c>
      <c r="Q32" s="60">
        <v>-0.15</v>
      </c>
      <c r="R32" s="60">
        <v>-0.15</v>
      </c>
      <c r="S32" s="60">
        <v>-0.15</v>
      </c>
      <c r="T32" s="60">
        <v>-0.15</v>
      </c>
      <c r="U32" s="60">
        <v>-0.15</v>
      </c>
      <c r="V32" s="60">
        <v>-0.15</v>
      </c>
      <c r="W32" s="60">
        <v>-0.15</v>
      </c>
    </row>
    <row r="34" spans="1:31">
      <c r="A34" s="22" t="s">
        <v>172</v>
      </c>
      <c r="B34" s="22">
        <f t="shared" ref="B34:W34" si="60">SUM(B28,B31)</f>
        <v>-35.75</v>
      </c>
      <c r="C34" s="22">
        <f t="shared" si="60"/>
        <v>-41.24</v>
      </c>
      <c r="D34" s="22">
        <f t="shared" si="60"/>
        <v>-47.61</v>
      </c>
      <c r="E34" s="22">
        <f t="shared" si="60"/>
        <v>-14.46</v>
      </c>
      <c r="F34" s="22">
        <f t="shared" si="60"/>
        <v>-33.83</v>
      </c>
      <c r="G34" s="22">
        <f t="shared" si="60"/>
        <v>-49.379999999999995</v>
      </c>
      <c r="H34" s="22">
        <f t="shared" si="60"/>
        <v>-69.400000000000006</v>
      </c>
      <c r="I34" s="22">
        <f t="shared" si="60"/>
        <v>-102.04</v>
      </c>
      <c r="J34" s="22">
        <f t="shared" si="60"/>
        <v>-127.78999999999999</v>
      </c>
      <c r="K34" s="22">
        <f t="shared" si="60"/>
        <v>-156.89999999999998</v>
      </c>
      <c r="L34" s="22">
        <f t="shared" si="60"/>
        <v>-176.91</v>
      </c>
      <c r="M34" s="22">
        <f t="shared" si="60"/>
        <v>0</v>
      </c>
      <c r="N34" s="22">
        <f t="shared" si="60"/>
        <v>0</v>
      </c>
      <c r="O34" s="22">
        <f t="shared" si="60"/>
        <v>0</v>
      </c>
      <c r="P34" s="22">
        <f t="shared" si="60"/>
        <v>0</v>
      </c>
      <c r="Q34" s="22">
        <f t="shared" si="60"/>
        <v>0</v>
      </c>
      <c r="R34" s="22">
        <f t="shared" si="60"/>
        <v>0</v>
      </c>
      <c r="S34" s="22">
        <f t="shared" si="60"/>
        <v>0</v>
      </c>
      <c r="T34" s="22">
        <f t="shared" si="60"/>
        <v>0</v>
      </c>
      <c r="U34" s="22">
        <f t="shared" si="60"/>
        <v>0</v>
      </c>
      <c r="V34" s="22">
        <f t="shared" si="60"/>
        <v>0</v>
      </c>
      <c r="W34" s="22">
        <f t="shared" si="60"/>
        <v>0</v>
      </c>
      <c r="AA34" s="50">
        <f>SUM(D34:G34)</f>
        <v>-145.28</v>
      </c>
      <c r="AB34" s="50">
        <f>SUM(H34:K34)</f>
        <v>-456.13</v>
      </c>
      <c r="AC34" s="50">
        <f>SUM(L34:O34)</f>
        <v>-176.91</v>
      </c>
      <c r="AD34" s="50">
        <f>SUM(P34:S34)</f>
        <v>0</v>
      </c>
      <c r="AE34" s="50">
        <f>SUM(T34:W34)</f>
        <v>0</v>
      </c>
    </row>
    <row r="35" spans="1:31" s="59" customFormat="1">
      <c r="A35" s="59" t="s">
        <v>166</v>
      </c>
      <c r="B35" s="61">
        <f>B34/B$13</f>
        <v>-0.72236815518286523</v>
      </c>
      <c r="C35" s="61">
        <f t="shared" ref="C35" si="61">C34/C$13</f>
        <v>-0.60336503291880039</v>
      </c>
      <c r="D35" s="61">
        <f t="shared" ref="D35" si="62">D34/D$13</f>
        <v>-0.74402250351617449</v>
      </c>
      <c r="E35" s="61">
        <f t="shared" ref="E35" si="63">E34/E$13</f>
        <v>-0.83371771217712176</v>
      </c>
      <c r="F35" s="61">
        <f t="shared" ref="F35" si="64">F34/F$13</f>
        <v>-0.51759485924112603</v>
      </c>
      <c r="G35" s="61">
        <f t="shared" ref="G35" si="65">G34/G$13</f>
        <v>-0.5694056871382116</v>
      </c>
      <c r="H35" s="61">
        <f t="shared" ref="H35" si="66">H34/H$13</f>
        <v>-0.5718994643592914</v>
      </c>
      <c r="I35" s="61">
        <f t="shared" ref="I35" si="67">I34/I$13</f>
        <v>-0.52611497808713581</v>
      </c>
      <c r="J35" s="61">
        <f t="shared" ref="J35" si="68">J34/J$13</f>
        <v>-0.55937841978551106</v>
      </c>
      <c r="K35" s="61">
        <f t="shared" ref="K35" si="69">K34/K$13</f>
        <v>-0.51469792250991508</v>
      </c>
      <c r="L35" s="61">
        <f t="shared" ref="L35:W35" si="70">L34/L$13</f>
        <v>-0.57043820333408557</v>
      </c>
      <c r="M35" s="61" t="e">
        <f t="shared" si="70"/>
        <v>#DIV/0!</v>
      </c>
      <c r="N35" s="61" t="e">
        <f t="shared" si="70"/>
        <v>#DIV/0!</v>
      </c>
      <c r="O35" s="61" t="e">
        <f t="shared" si="70"/>
        <v>#DIV/0!</v>
      </c>
      <c r="P35" s="61" t="e">
        <f t="shared" si="70"/>
        <v>#DIV/0!</v>
      </c>
      <c r="Q35" s="61" t="e">
        <f t="shared" si="70"/>
        <v>#DIV/0!</v>
      </c>
      <c r="R35" s="61" t="e">
        <f t="shared" si="70"/>
        <v>#DIV/0!</v>
      </c>
      <c r="S35" s="61" t="e">
        <f t="shared" si="70"/>
        <v>#DIV/0!</v>
      </c>
      <c r="T35" s="61" t="e">
        <f t="shared" si="70"/>
        <v>#DIV/0!</v>
      </c>
      <c r="U35" s="61" t="e">
        <f t="shared" si="70"/>
        <v>#DIV/0!</v>
      </c>
      <c r="V35" s="61" t="e">
        <f t="shared" si="70"/>
        <v>#DIV/0!</v>
      </c>
      <c r="W35" s="61" t="e">
        <f t="shared" si="70"/>
        <v>#DIV/0!</v>
      </c>
    </row>
    <row r="37" spans="1:31">
      <c r="A37" s="22" t="s">
        <v>175</v>
      </c>
      <c r="B37" s="22">
        <v>-5.0599999999999996</v>
      </c>
      <c r="C37" s="22">
        <v>-7.3</v>
      </c>
      <c r="D37" s="22">
        <v>-7.02</v>
      </c>
      <c r="E37" s="22">
        <v>-7.67</v>
      </c>
      <c r="F37" s="22">
        <v>-9.9700000000000006</v>
      </c>
      <c r="G37" s="22">
        <v>-14.15</v>
      </c>
      <c r="H37" s="22">
        <v>-18.989999999999998</v>
      </c>
      <c r="I37" s="22">
        <v>-31.43</v>
      </c>
      <c r="J37" s="22">
        <v>-37.090000000000003</v>
      </c>
      <c r="K37" s="22">
        <v>-46.5</v>
      </c>
      <c r="L37" s="22">
        <v>-49.99</v>
      </c>
      <c r="M37" s="22">
        <f>M38*M$13</f>
        <v>0</v>
      </c>
      <c r="N37" s="22">
        <f t="shared" ref="N37" si="71">N38*N$13</f>
        <v>0</v>
      </c>
      <c r="O37" s="22">
        <f t="shared" ref="O37" si="72">O38*O$13</f>
        <v>0</v>
      </c>
      <c r="P37" s="22">
        <f t="shared" ref="P37" si="73">P38*P$13</f>
        <v>0</v>
      </c>
      <c r="Q37" s="22">
        <f t="shared" ref="Q37" si="74">Q38*Q$13</f>
        <v>0</v>
      </c>
      <c r="R37" s="22">
        <f t="shared" ref="R37" si="75">R38*R$13</f>
        <v>0</v>
      </c>
      <c r="S37" s="22">
        <f t="shared" ref="S37" si="76">S38*S$13</f>
        <v>0</v>
      </c>
      <c r="T37" s="22">
        <f t="shared" ref="T37" si="77">T38*T$13</f>
        <v>0</v>
      </c>
      <c r="U37" s="22">
        <f t="shared" ref="U37" si="78">U38*U$13</f>
        <v>0</v>
      </c>
      <c r="V37" s="22">
        <f t="shared" ref="V37" si="79">V38*V$13</f>
        <v>0</v>
      </c>
      <c r="W37" s="22">
        <f t="shared" ref="W37" si="80">W38*W$13</f>
        <v>0</v>
      </c>
      <c r="AA37" s="50">
        <f>SUM(D37:G37)</f>
        <v>-38.81</v>
      </c>
      <c r="AB37" s="50">
        <f>SUM(H37:K37)</f>
        <v>-134.01</v>
      </c>
      <c r="AC37" s="50">
        <f>SUM(L37:O37)</f>
        <v>-49.99</v>
      </c>
      <c r="AD37" s="50">
        <f>SUM(P37:S37)</f>
        <v>0</v>
      </c>
      <c r="AE37" s="50">
        <f>SUM(T37:W37)</f>
        <v>0</v>
      </c>
    </row>
    <row r="38" spans="1:31" s="59" customFormat="1">
      <c r="A38" s="59" t="s">
        <v>166</v>
      </c>
      <c r="B38" s="61">
        <f>B37/B$13</f>
        <v>-0.10224287734895937</v>
      </c>
      <c r="C38" s="61">
        <f t="shared" ref="C38" si="81">C37/C$13</f>
        <v>-0.10680321872713973</v>
      </c>
      <c r="D38" s="61">
        <f t="shared" ref="D38" si="82">D37/D$13</f>
        <v>-0.10970464135021098</v>
      </c>
      <c r="E38" s="61">
        <f t="shared" ref="E38" si="83">E37/E$13</f>
        <v>-0.44222785977859774</v>
      </c>
      <c r="F38" s="61">
        <f t="shared" ref="F38" si="84">F37/F$13</f>
        <v>-0.15253977968176255</v>
      </c>
      <c r="G38" s="61">
        <f t="shared" ref="G38" si="85">G37/G$13</f>
        <v>-0.16316505615645394</v>
      </c>
      <c r="H38" s="61">
        <f t="shared" ref="H38" si="86">H37/H$13</f>
        <v>-0.15648949320148331</v>
      </c>
      <c r="I38" s="61">
        <f t="shared" ref="I38" si="87">I37/I$13</f>
        <v>-0.16205207527713328</v>
      </c>
      <c r="J38" s="61">
        <f t="shared" ref="J38" si="88">J37/J$13</f>
        <v>-0.16235500109433137</v>
      </c>
      <c r="K38" s="61">
        <f t="shared" ref="K38" si="89">K37/K$13</f>
        <v>-0.1525395372639328</v>
      </c>
      <c r="L38" s="61">
        <f t="shared" ref="L38" si="90">L37/L$13</f>
        <v>-0.16119046851320412</v>
      </c>
      <c r="M38" s="60">
        <v>-0.16</v>
      </c>
      <c r="N38" s="60">
        <v>-0.16</v>
      </c>
      <c r="O38" s="60">
        <v>-0.16</v>
      </c>
      <c r="P38" s="60">
        <v>-0.16</v>
      </c>
      <c r="Q38" s="60">
        <v>-0.16</v>
      </c>
      <c r="R38" s="60">
        <v>-0.16</v>
      </c>
      <c r="S38" s="60">
        <v>-0.16</v>
      </c>
      <c r="T38" s="60">
        <v>-0.16</v>
      </c>
      <c r="U38" s="60">
        <v>-0.16</v>
      </c>
      <c r="V38" s="60">
        <v>-0.16</v>
      </c>
      <c r="W38" s="60">
        <v>-0.16</v>
      </c>
    </row>
    <row r="40" spans="1:31">
      <c r="A40" s="22" t="s">
        <v>174</v>
      </c>
      <c r="B40" s="22">
        <v>-40.81</v>
      </c>
      <c r="C40" s="22">
        <v>-50.7</v>
      </c>
      <c r="D40" s="22">
        <v>-54.63</v>
      </c>
      <c r="E40" s="22">
        <v>-22.12</v>
      </c>
      <c r="F40" s="22">
        <v>-43.79</v>
      </c>
      <c r="G40" s="22">
        <v>-63.53</v>
      </c>
      <c r="H40" s="22">
        <v>-88.38</v>
      </c>
      <c r="I40" s="22">
        <v>-133.47</v>
      </c>
      <c r="J40" s="22">
        <v>-164.87</v>
      </c>
      <c r="K40" s="22">
        <v>-203.39</v>
      </c>
      <c r="L40" s="22">
        <f>SUM(L34,L37)</f>
        <v>-226.9</v>
      </c>
      <c r="M40" s="22">
        <f t="shared" ref="M40:W40" si="91">SUM(M34,M37)</f>
        <v>0</v>
      </c>
      <c r="N40" s="22">
        <f t="shared" si="91"/>
        <v>0</v>
      </c>
      <c r="O40" s="22">
        <f t="shared" si="91"/>
        <v>0</v>
      </c>
      <c r="P40" s="22">
        <f t="shared" si="91"/>
        <v>0</v>
      </c>
      <c r="Q40" s="22">
        <f t="shared" si="91"/>
        <v>0</v>
      </c>
      <c r="R40" s="22">
        <f t="shared" si="91"/>
        <v>0</v>
      </c>
      <c r="S40" s="22">
        <f t="shared" si="91"/>
        <v>0</v>
      </c>
      <c r="T40" s="22">
        <f t="shared" si="91"/>
        <v>0</v>
      </c>
      <c r="U40" s="22">
        <f t="shared" si="91"/>
        <v>0</v>
      </c>
      <c r="V40" s="22">
        <f t="shared" si="91"/>
        <v>0</v>
      </c>
      <c r="W40" s="22">
        <f t="shared" si="91"/>
        <v>0</v>
      </c>
      <c r="AA40" s="50">
        <f>SUM(D40:G40)</f>
        <v>-184.07</v>
      </c>
      <c r="AB40" s="50">
        <f>SUM(H40:K40)</f>
        <v>-590.11</v>
      </c>
      <c r="AC40" s="50">
        <f>SUM(L40:O40)</f>
        <v>-226.9</v>
      </c>
      <c r="AD40" s="50">
        <f>SUM(P40:S40)</f>
        <v>0</v>
      </c>
      <c r="AE40" s="50">
        <f>SUM(T40:W40)</f>
        <v>0</v>
      </c>
    </row>
    <row r="41" spans="1:31" s="59" customFormat="1">
      <c r="A41" s="59" t="s">
        <v>166</v>
      </c>
      <c r="B41" s="61">
        <f>B40/B$13</f>
        <v>-0.82461103253182466</v>
      </c>
      <c r="C41" s="61">
        <f t="shared" ref="C41" si="92">C40/C$13</f>
        <v>-0.74177029992684718</v>
      </c>
      <c r="D41" s="61">
        <f t="shared" ref="D41" si="93">D40/D$13</f>
        <v>-0.85372714486638546</v>
      </c>
      <c r="E41" s="61">
        <f t="shared" ref="E41" si="94">E40/E$13</f>
        <v>-1.2753690036900369</v>
      </c>
      <c r="F41" s="61">
        <f t="shared" ref="F41" si="95">F40/F$13</f>
        <v>-0.66998164014687878</v>
      </c>
      <c r="G41" s="61">
        <f t="shared" ref="G41" si="96">G40/G$13</f>
        <v>-0.73257074329466565</v>
      </c>
      <c r="H41" s="61">
        <f t="shared" ref="H41" si="97">H40/H$13</f>
        <v>-0.72830655129789867</v>
      </c>
      <c r="I41" s="61">
        <f t="shared" ref="I41" si="98">I40/I$13</f>
        <v>-0.68816705336426909</v>
      </c>
      <c r="J41" s="61">
        <f t="shared" ref="J41" si="99">J40/J$13</f>
        <v>-0.72168964762530097</v>
      </c>
      <c r="K41" s="61">
        <f t="shared" ref="K41" si="100">K40/K$13</f>
        <v>-0.66720465557228581</v>
      </c>
      <c r="L41" s="61">
        <f t="shared" ref="L41:W41" si="101">L40/L$13</f>
        <v>-0.73162867184728975</v>
      </c>
      <c r="M41" s="61" t="e">
        <f t="shared" si="101"/>
        <v>#DIV/0!</v>
      </c>
      <c r="N41" s="61" t="e">
        <f t="shared" si="101"/>
        <v>#DIV/0!</v>
      </c>
      <c r="O41" s="61" t="e">
        <f t="shared" si="101"/>
        <v>#DIV/0!</v>
      </c>
      <c r="P41" s="61" t="e">
        <f t="shared" si="101"/>
        <v>#DIV/0!</v>
      </c>
      <c r="Q41" s="61" t="e">
        <f t="shared" si="101"/>
        <v>#DIV/0!</v>
      </c>
      <c r="R41" s="61" t="e">
        <f t="shared" si="101"/>
        <v>#DIV/0!</v>
      </c>
      <c r="S41" s="61" t="e">
        <f t="shared" si="101"/>
        <v>#DIV/0!</v>
      </c>
      <c r="T41" s="61" t="e">
        <f t="shared" si="101"/>
        <v>#DIV/0!</v>
      </c>
      <c r="U41" s="61" t="e">
        <f t="shared" si="101"/>
        <v>#DIV/0!</v>
      </c>
      <c r="V41" s="61" t="e">
        <f t="shared" si="101"/>
        <v>#DIV/0!</v>
      </c>
      <c r="W41" s="61" t="e">
        <f t="shared" si="101"/>
        <v>#DIV/0!</v>
      </c>
    </row>
    <row r="43" spans="1:31" s="49" customFormat="1">
      <c r="A43" s="47" t="s">
        <v>4</v>
      </c>
      <c r="B43" s="49">
        <f t="shared" ref="B43:L43" si="102">SUM(B22,B40)</f>
        <v>1.9899999999999949</v>
      </c>
      <c r="C43" s="49">
        <f t="shared" si="102"/>
        <v>7.8799999999999955</v>
      </c>
      <c r="D43" s="49">
        <f t="shared" si="102"/>
        <v>0.54999999999999005</v>
      </c>
      <c r="E43" s="48">
        <f t="shared" si="102"/>
        <v>-11.396000000000001</v>
      </c>
      <c r="F43" s="49">
        <f t="shared" si="102"/>
        <v>12.21</v>
      </c>
      <c r="G43" s="48">
        <f t="shared" si="102"/>
        <v>10.402000000000015</v>
      </c>
      <c r="H43" s="49">
        <f t="shared" si="102"/>
        <v>15.579999999999998</v>
      </c>
      <c r="I43" s="49">
        <f t="shared" si="102"/>
        <v>36.320000000000022</v>
      </c>
      <c r="J43" s="49">
        <f t="shared" si="102"/>
        <v>28.599999999999994</v>
      </c>
      <c r="K43" s="48">
        <f t="shared" si="102"/>
        <v>60.398999999999944</v>
      </c>
      <c r="L43" s="49">
        <f t="shared" si="102"/>
        <v>34.820000000000022</v>
      </c>
      <c r="AA43" s="48">
        <f>SUM(D43:G43)</f>
        <v>11.766000000000005</v>
      </c>
      <c r="AB43" s="48">
        <f>SUM(H43:K43)</f>
        <v>140.89899999999994</v>
      </c>
      <c r="AC43" s="48">
        <f>SUM(L43:O43)</f>
        <v>34.820000000000022</v>
      </c>
      <c r="AD43" s="48">
        <f>SUM(P43:S43)</f>
        <v>0</v>
      </c>
      <c r="AE43" s="48">
        <f>SUM(T43:W43)</f>
        <v>0</v>
      </c>
    </row>
    <row r="44" spans="1:31">
      <c r="A44" s="59" t="s">
        <v>1</v>
      </c>
      <c r="B44" s="59"/>
      <c r="C44" s="59"/>
      <c r="D44" s="60"/>
      <c r="E44" s="60"/>
      <c r="F44" s="60">
        <f>F43/B43-1</f>
        <v>5.1356783919598152</v>
      </c>
      <c r="G44" s="60">
        <f t="shared" ref="G44:L44" si="103">G43/C43-1</f>
        <v>0.32005076142132238</v>
      </c>
      <c r="H44" s="60">
        <f t="shared" si="103"/>
        <v>27.327272727273236</v>
      </c>
      <c r="I44" s="60">
        <f t="shared" si="103"/>
        <v>-4.1870831870831893</v>
      </c>
      <c r="J44" s="60">
        <f t="shared" si="103"/>
        <v>1.3423423423423415</v>
      </c>
      <c r="K44" s="60">
        <f t="shared" si="103"/>
        <v>4.8064795231686075</v>
      </c>
      <c r="L44" s="60">
        <f t="shared" si="103"/>
        <v>1.2349165596919143</v>
      </c>
    </row>
    <row r="45" spans="1:31">
      <c r="A45" s="59" t="s">
        <v>5</v>
      </c>
      <c r="B45" s="63">
        <f>B43/B$13</f>
        <v>4.0210143463325819E-2</v>
      </c>
      <c r="C45" s="63">
        <f t="shared" ref="C45:L45" si="104">C43/C$13</f>
        <v>0.11528895391367953</v>
      </c>
      <c r="D45" s="63">
        <f t="shared" si="104"/>
        <v>8.5950929832784833E-3</v>
      </c>
      <c r="E45" s="63">
        <f t="shared" si="104"/>
        <v>-0.65705719557195574</v>
      </c>
      <c r="F45" s="63">
        <f t="shared" si="104"/>
        <v>0.18681150550795594</v>
      </c>
      <c r="G45" s="63">
        <f t="shared" si="104"/>
        <v>0.11994649569890009</v>
      </c>
      <c r="H45" s="63">
        <f t="shared" si="104"/>
        <v>0.12838895756077462</v>
      </c>
      <c r="I45" s="63">
        <f t="shared" si="104"/>
        <v>0.18726475895849456</v>
      </c>
      <c r="J45" s="63">
        <f t="shared" si="104"/>
        <v>0.12519150798861894</v>
      </c>
      <c r="K45" s="63">
        <f t="shared" si="104"/>
        <v>0.19813409701514556</v>
      </c>
      <c r="L45" s="63">
        <f t="shared" si="104"/>
        <v>0.11227549737206982</v>
      </c>
    </row>
    <row r="46" spans="1:31">
      <c r="A46" s="59"/>
      <c r="B46" s="63"/>
      <c r="C46" s="63"/>
      <c r="D46" s="63"/>
      <c r="E46" s="63"/>
      <c r="F46" s="63"/>
      <c r="G46" s="63"/>
      <c r="H46" s="63"/>
      <c r="I46" s="63"/>
      <c r="J46" s="63"/>
      <c r="K46" s="63"/>
      <c r="L46" s="63"/>
    </row>
    <row r="47" spans="1:31">
      <c r="A47" s="22" t="s">
        <v>6</v>
      </c>
      <c r="C47" s="22">
        <v>-4.3600000000000003</v>
      </c>
      <c r="D47" s="22">
        <v>-3.26</v>
      </c>
      <c r="E47" s="22">
        <v>-2.2599999999999998</v>
      </c>
      <c r="F47" s="22">
        <v>-1.44</v>
      </c>
      <c r="G47" s="22">
        <v>-1.07</v>
      </c>
      <c r="H47" s="22">
        <v>-1.03</v>
      </c>
      <c r="I47" s="22">
        <v>-1.5</v>
      </c>
      <c r="J47" s="22">
        <v>-0.27</v>
      </c>
      <c r="K47" s="22">
        <v>-0.48</v>
      </c>
      <c r="L47" s="22">
        <v>-2.16</v>
      </c>
      <c r="AA47" s="50">
        <f>SUM(D47:G47)</f>
        <v>-8.0299999999999994</v>
      </c>
      <c r="AB47" s="50">
        <f>SUM(H47:K47)</f>
        <v>-3.2800000000000002</v>
      </c>
      <c r="AC47" s="50">
        <f>SUM(L47:O47)</f>
        <v>-2.16</v>
      </c>
      <c r="AD47" s="50">
        <f>SUM(P47:S47)</f>
        <v>0</v>
      </c>
      <c r="AE47" s="50">
        <f>SUM(T47:W47)</f>
        <v>0</v>
      </c>
    </row>
    <row r="48" spans="1:31">
      <c r="A48" s="22" t="s">
        <v>7</v>
      </c>
      <c r="C48" s="22">
        <v>1.04</v>
      </c>
      <c r="D48" s="22">
        <v>0.15</v>
      </c>
      <c r="F48" s="22">
        <v>0.05</v>
      </c>
      <c r="G48" s="22">
        <v>0.05</v>
      </c>
      <c r="I48" s="22">
        <v>0.02</v>
      </c>
      <c r="J48" s="22">
        <v>0.02</v>
      </c>
      <c r="K48" s="22">
        <v>0.02</v>
      </c>
      <c r="AA48" s="50">
        <f>SUM(D48:G48)</f>
        <v>0.25</v>
      </c>
      <c r="AB48" s="50">
        <f>SUM(H48:K48)</f>
        <v>0.06</v>
      </c>
      <c r="AC48" s="50">
        <f>SUM(L48:O48)</f>
        <v>0</v>
      </c>
      <c r="AD48" s="50">
        <f>SUM(P48:S48)</f>
        <v>0</v>
      </c>
      <c r="AE48" s="50">
        <f>SUM(T48:W48)</f>
        <v>0</v>
      </c>
    </row>
    <row r="49" spans="1:31">
      <c r="A49" s="22" t="s">
        <v>8</v>
      </c>
      <c r="B49" s="22">
        <v>-2.19</v>
      </c>
      <c r="C49" s="22">
        <v>0.39</v>
      </c>
      <c r="D49" s="22">
        <v>0.28999999999999998</v>
      </c>
      <c r="E49" s="22">
        <v>-0.02</v>
      </c>
      <c r="F49" s="22">
        <v>-2.59</v>
      </c>
      <c r="G49" s="22">
        <v>-9.0500000000000007</v>
      </c>
      <c r="H49" s="22">
        <v>-10.55</v>
      </c>
      <c r="I49" s="22">
        <v>-0.01</v>
      </c>
      <c r="J49" s="22">
        <v>-0.78</v>
      </c>
      <c r="K49" s="22">
        <v>-1.17</v>
      </c>
      <c r="L49" s="22">
        <v>-0.92</v>
      </c>
      <c r="AA49" s="50">
        <f>SUM(D49:G49)</f>
        <v>-11.370000000000001</v>
      </c>
      <c r="AB49" s="50">
        <f>SUM(H49:K49)</f>
        <v>-12.51</v>
      </c>
      <c r="AC49" s="50">
        <f>SUM(L49:O49)</f>
        <v>-0.92</v>
      </c>
      <c r="AD49" s="50">
        <f>SUM(P49:S49)</f>
        <v>0</v>
      </c>
      <c r="AE49" s="50">
        <f>SUM(T49:W49)</f>
        <v>0</v>
      </c>
    </row>
    <row r="51" spans="1:31">
      <c r="A51" s="22" t="s">
        <v>9</v>
      </c>
      <c r="B51" s="22">
        <v>-0.21</v>
      </c>
      <c r="C51" s="22">
        <v>4.9400000000000004</v>
      </c>
      <c r="D51" s="22">
        <f>SUM(D43,D48,D49)</f>
        <v>0.98999999999999</v>
      </c>
      <c r="E51" s="22">
        <v>-11.41</v>
      </c>
      <c r="F51" s="22">
        <v>9.67</v>
      </c>
      <c r="G51" s="22">
        <v>1.4</v>
      </c>
      <c r="H51" s="22">
        <v>5.0199999999999996</v>
      </c>
      <c r="I51" s="22">
        <v>36.31</v>
      </c>
      <c r="J51" s="22">
        <v>27.85</v>
      </c>
      <c r="K51" s="22">
        <v>59.27</v>
      </c>
      <c r="L51" s="22">
        <v>32.71</v>
      </c>
      <c r="AA51" s="50">
        <f>SUM(D51:G51)</f>
        <v>0.64999999999998925</v>
      </c>
      <c r="AB51" s="50">
        <f>SUM(H51:K51)</f>
        <v>128.45000000000002</v>
      </c>
      <c r="AC51" s="50">
        <f>SUM(L51:O51)</f>
        <v>32.71</v>
      </c>
      <c r="AD51" s="50">
        <f>SUM(P51:S51)</f>
        <v>0</v>
      </c>
      <c r="AE51" s="50">
        <f>SUM(T51:W51)</f>
        <v>0</v>
      </c>
    </row>
    <row r="52" spans="1:31">
      <c r="AA52" s="50"/>
      <c r="AB52" s="50"/>
      <c r="AC52" s="50"/>
      <c r="AD52" s="50"/>
      <c r="AE52" s="50"/>
    </row>
    <row r="53" spans="1:31">
      <c r="A53" s="22" t="s">
        <v>10</v>
      </c>
      <c r="I53" s="22">
        <v>-0.02</v>
      </c>
      <c r="AA53" s="50">
        <f>SUM(D53:G53)</f>
        <v>0</v>
      </c>
      <c r="AB53" s="50">
        <f>SUM(H53:K53)</f>
        <v>-0.02</v>
      </c>
      <c r="AC53" s="50">
        <f>SUM(L53:O53)</f>
        <v>0</v>
      </c>
      <c r="AD53" s="50">
        <f>SUM(P53:S53)</f>
        <v>0</v>
      </c>
      <c r="AE53" s="50">
        <f>SUM(T53:W53)</f>
        <v>0</v>
      </c>
    </row>
    <row r="54" spans="1:31">
      <c r="A54" s="22" t="s">
        <v>11</v>
      </c>
      <c r="E54" s="22">
        <v>5.3</v>
      </c>
      <c r="H54" s="22">
        <v>5.3</v>
      </c>
      <c r="AA54" s="50">
        <f>SUM(D54:G54)</f>
        <v>5.3</v>
      </c>
      <c r="AB54" s="50">
        <f>SUM(H54:K54)</f>
        <v>5.3</v>
      </c>
      <c r="AC54" s="50">
        <f>SUM(L54:O54)</f>
        <v>0</v>
      </c>
      <c r="AD54" s="50">
        <f>SUM(P54:S54)</f>
        <v>0</v>
      </c>
      <c r="AE54" s="50">
        <f>SUM(T54:W54)</f>
        <v>0</v>
      </c>
    </row>
    <row r="56" spans="1:31">
      <c r="A56" s="22" t="s">
        <v>12</v>
      </c>
      <c r="B56" s="22">
        <v>-0.21</v>
      </c>
      <c r="C56" s="22">
        <v>4.9400000000000004</v>
      </c>
      <c r="D56" s="22">
        <f>D51+D53+D54</f>
        <v>0.98999999999999</v>
      </c>
      <c r="E56" s="22">
        <f t="shared" ref="E56:L56" si="105">E51+E53+E54</f>
        <v>-6.11</v>
      </c>
      <c r="F56" s="22">
        <f t="shared" si="105"/>
        <v>9.67</v>
      </c>
      <c r="G56" s="22">
        <f t="shared" si="105"/>
        <v>1.4</v>
      </c>
      <c r="H56" s="22">
        <f t="shared" si="105"/>
        <v>10.32</v>
      </c>
      <c r="I56" s="22">
        <f t="shared" si="105"/>
        <v>36.29</v>
      </c>
      <c r="J56" s="22">
        <f t="shared" si="105"/>
        <v>27.85</v>
      </c>
      <c r="K56" s="22">
        <f t="shared" si="105"/>
        <v>59.27</v>
      </c>
      <c r="L56" s="22">
        <f t="shared" si="105"/>
        <v>32.71</v>
      </c>
      <c r="AA56" s="50">
        <f>SUM(D56:G56)</f>
        <v>5.9499999999999904</v>
      </c>
      <c r="AB56" s="50">
        <f>SUM(H56:K56)</f>
        <v>133.73000000000002</v>
      </c>
      <c r="AC56" s="50">
        <f>SUM(L56:O56)</f>
        <v>32.71</v>
      </c>
      <c r="AD56" s="50">
        <f>SUM(P56:S56)</f>
        <v>0</v>
      </c>
      <c r="AE56" s="50">
        <f>SUM(T56:W56)</f>
        <v>0</v>
      </c>
    </row>
    <row r="58" spans="1:31">
      <c r="A58" s="22" t="s">
        <v>13</v>
      </c>
      <c r="C58" s="22">
        <v>-7.0000000000000007E-2</v>
      </c>
      <c r="G58" s="22">
        <v>-0.37</v>
      </c>
      <c r="H58" s="22">
        <v>-0.22</v>
      </c>
      <c r="I58" s="22">
        <v>0.99</v>
      </c>
      <c r="J58" s="22">
        <v>1.27</v>
      </c>
      <c r="K58" s="22">
        <v>-0.32</v>
      </c>
      <c r="L58" s="22">
        <v>-0.02</v>
      </c>
      <c r="AA58" s="50">
        <f>SUM(D58:G58)</f>
        <v>-0.37</v>
      </c>
      <c r="AB58" s="50">
        <f>SUM(H58:K58)</f>
        <v>1.72</v>
      </c>
      <c r="AC58" s="50">
        <f>SUM(L58:O58)</f>
        <v>-0.02</v>
      </c>
      <c r="AD58" s="50">
        <f>SUM(P58:S58)</f>
        <v>0</v>
      </c>
      <c r="AE58" s="50">
        <f>SUM(T58:W58)</f>
        <v>0</v>
      </c>
    </row>
    <row r="59" spans="1:31">
      <c r="A59" s="22" t="s">
        <v>208</v>
      </c>
      <c r="G59" s="51">
        <f>-G58/G56</f>
        <v>0.26428571428571429</v>
      </c>
      <c r="H59" s="51">
        <f t="shared" ref="H59:L59" si="106">-H58/H56</f>
        <v>2.1317829457364341E-2</v>
      </c>
      <c r="I59" s="51">
        <f t="shared" si="106"/>
        <v>-2.7280242491044365E-2</v>
      </c>
      <c r="J59" s="51">
        <f t="shared" si="106"/>
        <v>-4.5601436265709151E-2</v>
      </c>
      <c r="K59" s="51">
        <f t="shared" si="106"/>
        <v>5.3990214273662894E-3</v>
      </c>
      <c r="L59" s="51">
        <f t="shared" si="106"/>
        <v>6.1143381228981959E-4</v>
      </c>
      <c r="AA59" s="50"/>
      <c r="AB59" s="50"/>
      <c r="AC59" s="50"/>
      <c r="AD59" s="50"/>
      <c r="AE59" s="50"/>
    </row>
    <row r="61" spans="1:31">
      <c r="A61" s="22" t="s">
        <v>14</v>
      </c>
      <c r="B61" s="22">
        <v>-0.21</v>
      </c>
      <c r="C61" s="22">
        <v>4.87</v>
      </c>
      <c r="D61" s="22">
        <f t="shared" ref="D61:K61" si="107">D56+D58</f>
        <v>0.98999999999999</v>
      </c>
      <c r="E61" s="22">
        <f t="shared" si="107"/>
        <v>-6.11</v>
      </c>
      <c r="F61" s="22">
        <f t="shared" si="107"/>
        <v>9.67</v>
      </c>
      <c r="G61" s="22">
        <f t="shared" si="107"/>
        <v>1.0299999999999998</v>
      </c>
      <c r="H61" s="22">
        <f t="shared" si="107"/>
        <v>10.1</v>
      </c>
      <c r="I61" s="22">
        <f t="shared" si="107"/>
        <v>37.28</v>
      </c>
      <c r="J61" s="22">
        <f t="shared" si="107"/>
        <v>29.12</v>
      </c>
      <c r="K61" s="22">
        <f t="shared" si="107"/>
        <v>58.95</v>
      </c>
      <c r="L61" s="22">
        <f>L56+L58</f>
        <v>32.69</v>
      </c>
      <c r="AA61" s="50">
        <f>SUM(D61:G61)</f>
        <v>5.5799999999999894</v>
      </c>
      <c r="AB61" s="50">
        <f>SUM(H61:K61)</f>
        <v>135.44999999999999</v>
      </c>
      <c r="AC61" s="50">
        <f>SUM(L61:O61)</f>
        <v>32.69</v>
      </c>
      <c r="AD61" s="50">
        <f>SUM(P61:S61)</f>
        <v>0</v>
      </c>
      <c r="AE61" s="50">
        <f>SUM(T61:W61)</f>
        <v>0</v>
      </c>
    </row>
    <row r="63" spans="1:31" s="49" customFormat="1">
      <c r="A63" s="47" t="s">
        <v>15</v>
      </c>
      <c r="B63" s="49">
        <v>-0.21</v>
      </c>
      <c r="C63" s="49">
        <v>4.87</v>
      </c>
      <c r="D63" s="49">
        <f>D56+D58</f>
        <v>0.98999999999999</v>
      </c>
      <c r="E63" s="49">
        <f t="shared" ref="E63:L63" si="108">E56+E58</f>
        <v>-6.11</v>
      </c>
      <c r="F63" s="49">
        <f t="shared" si="108"/>
        <v>9.67</v>
      </c>
      <c r="G63" s="49">
        <f t="shared" si="108"/>
        <v>1.0299999999999998</v>
      </c>
      <c r="H63" s="49">
        <f t="shared" si="108"/>
        <v>10.1</v>
      </c>
      <c r="I63" s="49">
        <f t="shared" si="108"/>
        <v>37.28</v>
      </c>
      <c r="J63" s="49">
        <f t="shared" si="108"/>
        <v>29.12</v>
      </c>
      <c r="K63" s="49">
        <f t="shared" si="108"/>
        <v>58.95</v>
      </c>
      <c r="L63" s="49">
        <f t="shared" si="108"/>
        <v>32.69</v>
      </c>
      <c r="AA63" s="48">
        <f>SUM(D63:G63)</f>
        <v>5.5799999999999894</v>
      </c>
      <c r="AB63" s="48">
        <f>SUM(H63:K63)</f>
        <v>135.44999999999999</v>
      </c>
      <c r="AC63" s="48">
        <f>SUM(L63:O63)</f>
        <v>32.69</v>
      </c>
      <c r="AD63" s="48">
        <f>SUM(P63:S63)</f>
        <v>0</v>
      </c>
      <c r="AE63" s="48">
        <f>SUM(T63:W63)</f>
        <v>0</v>
      </c>
    </row>
    <row r="65" spans="1:31">
      <c r="A65" s="22" t="s">
        <v>16</v>
      </c>
      <c r="B65" s="22">
        <v>-0.12</v>
      </c>
      <c r="C65" s="22">
        <v>1.19</v>
      </c>
      <c r="D65" s="22">
        <v>0.49</v>
      </c>
      <c r="E65" s="22">
        <v>-0.08</v>
      </c>
      <c r="AA65" s="50">
        <f>SUM(D65:G65)</f>
        <v>0.41</v>
      </c>
      <c r="AB65" s="50">
        <f>SUM(H65:K65)</f>
        <v>0</v>
      </c>
      <c r="AC65" s="50">
        <f>SUM(L65:O65)</f>
        <v>0</v>
      </c>
      <c r="AD65" s="50">
        <f>SUM(P65:S65)</f>
        <v>0</v>
      </c>
      <c r="AE65" s="50">
        <f>SUM(T65:W65)</f>
        <v>0</v>
      </c>
    </row>
    <row r="67" spans="1:31" s="49" customFormat="1">
      <c r="A67" s="47" t="s">
        <v>17</v>
      </c>
      <c r="B67" s="49">
        <v>-0.32</v>
      </c>
      <c r="C67" s="49">
        <v>6.05</v>
      </c>
      <c r="D67" s="49">
        <f>D63+D65</f>
        <v>1.47999999999999</v>
      </c>
      <c r="E67" s="49">
        <f t="shared" ref="E67:L67" si="109">E63+E65</f>
        <v>-6.19</v>
      </c>
      <c r="F67" s="49">
        <f t="shared" si="109"/>
        <v>9.67</v>
      </c>
      <c r="G67" s="49">
        <f t="shared" si="109"/>
        <v>1.0299999999999998</v>
      </c>
      <c r="H67" s="49">
        <f t="shared" si="109"/>
        <v>10.1</v>
      </c>
      <c r="I67" s="49">
        <f t="shared" si="109"/>
        <v>37.28</v>
      </c>
      <c r="J67" s="49">
        <f t="shared" si="109"/>
        <v>29.12</v>
      </c>
      <c r="K67" s="49">
        <f t="shared" si="109"/>
        <v>58.95</v>
      </c>
      <c r="L67" s="49">
        <f t="shared" si="109"/>
        <v>32.69</v>
      </c>
      <c r="AA67" s="48">
        <f>SUM(D67:G67)</f>
        <v>5.9899999999999896</v>
      </c>
      <c r="AB67" s="48">
        <f>SUM(H67:K67)</f>
        <v>135.44999999999999</v>
      </c>
      <c r="AC67" s="48">
        <f>SUM(L67:O67)</f>
        <v>32.69</v>
      </c>
      <c r="AD67" s="48">
        <f>SUM(P67:S67)</f>
        <v>0</v>
      </c>
      <c r="AE67" s="48">
        <f>SUM(T67:W67)</f>
        <v>0</v>
      </c>
    </row>
    <row r="69" spans="1:31">
      <c r="A69" s="22" t="s">
        <v>18</v>
      </c>
      <c r="D69" s="22">
        <v>-1.48</v>
      </c>
      <c r="E69" s="22">
        <v>2.98</v>
      </c>
      <c r="F69" s="22">
        <v>-7.93</v>
      </c>
      <c r="G69" s="22">
        <v>-1.03</v>
      </c>
      <c r="AA69" s="50">
        <f>SUM(D69:G69)</f>
        <v>-7.46</v>
      </c>
      <c r="AB69" s="50">
        <f>SUM(H69:K69)</f>
        <v>0</v>
      </c>
      <c r="AC69" s="50">
        <f>SUM(L69:O69)</f>
        <v>0</v>
      </c>
      <c r="AD69" s="50">
        <f>SUM(P69:S69)</f>
        <v>0</v>
      </c>
      <c r="AE69" s="50">
        <f>SUM(T69:W69)</f>
        <v>0</v>
      </c>
    </row>
    <row r="71" spans="1:31">
      <c r="A71" s="22" t="s">
        <v>211</v>
      </c>
      <c r="B71" s="22">
        <v>-0.32</v>
      </c>
      <c r="C71" s="22">
        <v>6.05</v>
      </c>
      <c r="D71" s="22">
        <f>D67</f>
        <v>1.47999999999999</v>
      </c>
      <c r="E71" s="22">
        <v>-3.22</v>
      </c>
      <c r="F71" s="22">
        <v>1.74</v>
      </c>
      <c r="G71" s="22">
        <v>1.03</v>
      </c>
      <c r="H71" s="22">
        <v>10.1</v>
      </c>
      <c r="I71" s="22">
        <v>37.28</v>
      </c>
      <c r="J71" s="22">
        <v>29.11</v>
      </c>
      <c r="K71" s="22">
        <v>58.94</v>
      </c>
      <c r="L71" s="22">
        <v>32.69</v>
      </c>
      <c r="AA71" s="50">
        <f>SUM(D71:G71)</f>
        <v>1.0299999999999898</v>
      </c>
      <c r="AB71" s="50">
        <f>SUM(H71:K71)</f>
        <v>135.43</v>
      </c>
      <c r="AC71" s="50">
        <f>SUM(L71:O71)</f>
        <v>32.69</v>
      </c>
      <c r="AD71" s="50">
        <f>SUM(P71:S71)</f>
        <v>0</v>
      </c>
      <c r="AE71" s="50">
        <f>SUM(T71:W71)</f>
        <v>0</v>
      </c>
    </row>
    <row r="72" spans="1:31">
      <c r="A72" s="59" t="s">
        <v>210</v>
      </c>
      <c r="B72" s="63">
        <v>-7.0000000000000001E-3</v>
      </c>
      <c r="C72" s="63">
        <v>0.09</v>
      </c>
      <c r="D72" s="60">
        <f t="shared" ref="D72:L72" si="110">D71/D13</f>
        <v>2.3128613845913269E-2</v>
      </c>
      <c r="E72" s="60">
        <f t="shared" si="110"/>
        <v>-0.1856549815498155</v>
      </c>
      <c r="F72" s="60">
        <f t="shared" si="110"/>
        <v>2.6621787025703794E-2</v>
      </c>
      <c r="G72" s="60">
        <f t="shared" si="110"/>
        <v>1.1877032356264845E-2</v>
      </c>
      <c r="H72" s="60">
        <f t="shared" si="110"/>
        <v>8.3230325504738356E-2</v>
      </c>
      <c r="I72" s="60">
        <f t="shared" si="110"/>
        <v>0.19221448827017271</v>
      </c>
      <c r="J72" s="60">
        <f t="shared" si="110"/>
        <v>0.12742394397023418</v>
      </c>
      <c r="K72" s="60">
        <f t="shared" si="110"/>
        <v>0.19334796400723009</v>
      </c>
      <c r="L72" s="60">
        <f t="shared" si="110"/>
        <v>0.10540740979589203</v>
      </c>
    </row>
    <row r="73" spans="1:31">
      <c r="A73" s="59"/>
      <c r="B73" s="63"/>
      <c r="C73" s="63"/>
      <c r="D73" s="63"/>
      <c r="E73" s="63"/>
      <c r="F73" s="63"/>
      <c r="G73" s="63"/>
      <c r="H73" s="63"/>
      <c r="I73" s="63"/>
      <c r="J73" s="63"/>
      <c r="K73" s="63"/>
      <c r="L73" s="63"/>
    </row>
    <row r="74" spans="1:31">
      <c r="A74" s="22" t="s">
        <v>20</v>
      </c>
      <c r="B74" s="22">
        <v>14.31</v>
      </c>
      <c r="C74" s="22">
        <v>14.4</v>
      </c>
      <c r="D74" s="22">
        <v>14.63</v>
      </c>
      <c r="E74" s="22">
        <v>14.66</v>
      </c>
      <c r="F74" s="22">
        <v>26.75</v>
      </c>
      <c r="G74" s="22">
        <v>26</v>
      </c>
      <c r="H74" s="22">
        <v>91.45</v>
      </c>
      <c r="I74" s="22">
        <v>94.8</v>
      </c>
      <c r="J74" s="22">
        <v>96.06</v>
      </c>
      <c r="K74" s="22">
        <v>98.8</v>
      </c>
      <c r="L74" s="22">
        <v>95.46</v>
      </c>
      <c r="M74" s="50">
        <v>92</v>
      </c>
      <c r="N74" s="50">
        <v>90</v>
      </c>
      <c r="O74" s="50">
        <v>89</v>
      </c>
      <c r="P74" s="50">
        <v>91</v>
      </c>
      <c r="Q74" s="50">
        <v>94</v>
      </c>
      <c r="R74" s="50">
        <v>96</v>
      </c>
    </row>
    <row r="75" spans="1:31">
      <c r="A75" s="59" t="s">
        <v>1</v>
      </c>
      <c r="B75" s="59"/>
      <c r="C75" s="59"/>
      <c r="D75" s="59"/>
      <c r="E75" s="59"/>
      <c r="F75" s="60"/>
      <c r="G75" s="60"/>
      <c r="H75" s="60">
        <f>H74/D74-1</f>
        <v>5.2508544087491451</v>
      </c>
      <c r="I75" s="60">
        <f t="shared" ref="I75" si="111">I74/E74-1</f>
        <v>5.4665757162346518</v>
      </c>
      <c r="J75" s="60">
        <f t="shared" ref="J75" si="112">J74/F74-1</f>
        <v>2.5910280373831776</v>
      </c>
      <c r="K75" s="60">
        <f t="shared" ref="K75" si="113">K74/G74-1</f>
        <v>2.8</v>
      </c>
      <c r="L75" s="60">
        <f t="shared" ref="L75" si="114">L74/H74-1</f>
        <v>4.3849097867687092E-2</v>
      </c>
      <c r="M75" s="50"/>
      <c r="N75" s="50"/>
      <c r="O75" s="50"/>
      <c r="P75" s="50"/>
      <c r="Q75" s="50"/>
      <c r="R75" s="50"/>
    </row>
    <row r="76" spans="1:31">
      <c r="A76" s="59"/>
      <c r="B76" s="59"/>
      <c r="C76" s="59"/>
      <c r="D76" s="59"/>
      <c r="E76" s="59"/>
      <c r="F76" s="63"/>
      <c r="G76" s="63"/>
      <c r="H76" s="63"/>
      <c r="I76" s="63"/>
      <c r="J76" s="63"/>
      <c r="K76" s="63"/>
      <c r="L76" s="63"/>
      <c r="M76" s="50"/>
      <c r="N76" s="50"/>
      <c r="O76" s="50"/>
      <c r="P76" s="50"/>
      <c r="Q76" s="50"/>
      <c r="R76" s="50"/>
    </row>
    <row r="77" spans="1:31">
      <c r="A77" s="22" t="s">
        <v>21</v>
      </c>
      <c r="B77" s="22">
        <v>14.31</v>
      </c>
      <c r="C77" s="22">
        <v>14.4</v>
      </c>
      <c r="D77" s="22">
        <v>14.63</v>
      </c>
      <c r="E77" s="22">
        <v>14.66</v>
      </c>
      <c r="F77" s="22">
        <v>14.71</v>
      </c>
      <c r="G77" s="22">
        <v>26</v>
      </c>
      <c r="H77" s="22">
        <v>73.63</v>
      </c>
      <c r="I77" s="22">
        <v>76.67</v>
      </c>
      <c r="J77" s="22">
        <v>79.39</v>
      </c>
      <c r="K77" s="22">
        <v>82.62</v>
      </c>
      <c r="L77" s="22">
        <v>84.23</v>
      </c>
      <c r="M77" s="50">
        <v>82</v>
      </c>
      <c r="N77" s="50">
        <v>80</v>
      </c>
      <c r="O77" s="50">
        <v>79</v>
      </c>
      <c r="P77" s="50">
        <v>81</v>
      </c>
      <c r="Q77" s="50">
        <v>83</v>
      </c>
      <c r="R77" s="50">
        <v>84</v>
      </c>
    </row>
    <row r="78" spans="1:31">
      <c r="A78" s="59" t="s">
        <v>1</v>
      </c>
      <c r="B78" s="59"/>
      <c r="C78" s="59"/>
      <c r="D78" s="59"/>
      <c r="E78" s="59"/>
      <c r="F78" s="60"/>
      <c r="G78" s="60"/>
      <c r="H78" s="60">
        <f>H77/D77-1</f>
        <v>4.0328092959671897</v>
      </c>
      <c r="I78" s="60">
        <f t="shared" ref="I78:L78" si="115">I77/E77-1</f>
        <v>4.2298772169167806</v>
      </c>
      <c r="J78" s="60">
        <f t="shared" si="115"/>
        <v>4.397008837525493</v>
      </c>
      <c r="K78" s="60">
        <f t="shared" si="115"/>
        <v>2.177692307692308</v>
      </c>
      <c r="L78" s="60">
        <f t="shared" si="115"/>
        <v>0.14396305853592306</v>
      </c>
    </row>
    <row r="79" spans="1:31">
      <c r="A79" s="59"/>
      <c r="B79" s="59"/>
      <c r="C79" s="59"/>
      <c r="D79" s="59"/>
      <c r="E79" s="59"/>
      <c r="F79" s="63"/>
      <c r="G79" s="63"/>
      <c r="H79" s="63"/>
      <c r="I79" s="63"/>
      <c r="J79" s="63"/>
      <c r="K79" s="63"/>
      <c r="L79" s="63"/>
    </row>
    <row r="80" spans="1:31">
      <c r="A80" s="22" t="s">
        <v>22</v>
      </c>
      <c r="B80" s="22">
        <v>-0.02</v>
      </c>
      <c r="C80" s="22">
        <v>0.42</v>
      </c>
      <c r="D80" s="50">
        <f>D71/D77</f>
        <v>0.10116199589883731</v>
      </c>
      <c r="E80" s="50">
        <f t="shared" ref="E80:L80" si="116">E71/E77</f>
        <v>-0.21964529331514326</v>
      </c>
      <c r="F80" s="50">
        <f t="shared" si="116"/>
        <v>0.11828687967369136</v>
      </c>
      <c r="G80" s="50">
        <f t="shared" si="116"/>
        <v>3.9615384615384615E-2</v>
      </c>
      <c r="H80" s="50">
        <f t="shared" si="116"/>
        <v>0.13717234822762461</v>
      </c>
      <c r="I80" s="50">
        <f t="shared" si="116"/>
        <v>0.48623972870744753</v>
      </c>
      <c r="J80" s="50">
        <f t="shared" si="116"/>
        <v>0.36667086534828064</v>
      </c>
      <c r="K80" s="50">
        <f t="shared" si="116"/>
        <v>0.71338658920358256</v>
      </c>
      <c r="L80" s="50">
        <f t="shared" si="116"/>
        <v>0.38810400094978031</v>
      </c>
    </row>
    <row r="81" spans="1:12">
      <c r="H81" s="60">
        <f>H80/D80-1</f>
        <v>0.35596719903389307</v>
      </c>
      <c r="I81" s="60" t="s">
        <v>212</v>
      </c>
      <c r="J81" s="60">
        <f t="shared" ref="J81" si="117">J80/F80-1</f>
        <v>2.0998439248696599</v>
      </c>
      <c r="K81" s="60">
        <f t="shared" ref="K81" si="118">K80/G80-1</f>
        <v>17.007816814847715</v>
      </c>
      <c r="L81" s="60">
        <f t="shared" ref="L81" si="119">L80/H80-1</f>
        <v>1.8293165930626065</v>
      </c>
    </row>
    <row r="83" spans="1:12">
      <c r="A83" s="22" t="s">
        <v>209</v>
      </c>
      <c r="D83" s="50">
        <f>D71/D74</f>
        <v>0.10116199589883731</v>
      </c>
      <c r="E83" s="50">
        <f t="shared" ref="E83:L83" si="120">E71/E74</f>
        <v>-0.21964529331514326</v>
      </c>
      <c r="F83" s="50">
        <f t="shared" si="120"/>
        <v>6.504672897196262E-2</v>
      </c>
      <c r="G83" s="50">
        <f t="shared" si="120"/>
        <v>3.9615384615384615E-2</v>
      </c>
      <c r="H83" s="50">
        <f t="shared" si="120"/>
        <v>0.11044286495352651</v>
      </c>
      <c r="I83" s="50">
        <f t="shared" si="120"/>
        <v>0.39324894514767933</v>
      </c>
      <c r="J83" s="50">
        <f t="shared" si="120"/>
        <v>0.30303976681240891</v>
      </c>
      <c r="K83" s="50">
        <f t="shared" si="120"/>
        <v>0.59655870445344128</v>
      </c>
      <c r="L83" s="50">
        <f t="shared" si="120"/>
        <v>0.34244709826105174</v>
      </c>
    </row>
    <row r="84" spans="1:12">
      <c r="H84" s="60">
        <f>H83/D83-1</f>
        <v>9.174264477709726E-2</v>
      </c>
      <c r="I84" s="60" t="s">
        <v>212</v>
      </c>
      <c r="J84" s="60">
        <f t="shared" ref="J84" si="121">J83/F83-1</f>
        <v>3.6588010127769754</v>
      </c>
      <c r="K84" s="60">
        <f t="shared" ref="K84" si="122">K83/G83-1</f>
        <v>14.058763413387839</v>
      </c>
      <c r="L84" s="60">
        <f t="shared" ref="L84" si="123">L83/H83-1</f>
        <v>2.1006719936607112</v>
      </c>
    </row>
    <row r="89" spans="1:12" s="78" customFormat="1">
      <c r="A89" s="78" t="s">
        <v>188</v>
      </c>
      <c r="F89" s="79">
        <f t="shared" ref="F89:L89" si="124">F13/B13-1</f>
        <v>0.32067084259446355</v>
      </c>
      <c r="G89" s="79">
        <f t="shared" si="124"/>
        <v>0.26879297732260454</v>
      </c>
      <c r="H89" s="79">
        <f t="shared" si="124"/>
        <v>0.896390060947023</v>
      </c>
      <c r="I89" s="79">
        <f t="shared" si="124"/>
        <v>10.18254151291513</v>
      </c>
      <c r="J89" s="79">
        <f t="shared" si="124"/>
        <v>2.4952570379436962</v>
      </c>
      <c r="K89" s="79">
        <f t="shared" si="124"/>
        <v>2.5151288023800178</v>
      </c>
      <c r="L89" s="79">
        <f t="shared" si="124"/>
        <v>1.555665430572724</v>
      </c>
    </row>
    <row r="91" spans="1:12" s="59" customFormat="1">
      <c r="A91" s="59" t="s">
        <v>197</v>
      </c>
      <c r="B91" s="60">
        <f>B24</f>
        <v>0.86499999999999999</v>
      </c>
      <c r="C91" s="60">
        <f t="shared" ref="C91:L91" si="125">C24</f>
        <v>0.875</v>
      </c>
      <c r="D91" s="60">
        <f t="shared" si="125"/>
        <v>0.86899999999999999</v>
      </c>
      <c r="E91" s="60">
        <f t="shared" si="125"/>
        <v>0.66200000000000003</v>
      </c>
      <c r="F91" s="60">
        <f t="shared" si="125"/>
        <v>0.86</v>
      </c>
      <c r="G91" s="60">
        <f t="shared" si="125"/>
        <v>0.85399999999999998</v>
      </c>
      <c r="H91" s="60">
        <f t="shared" si="125"/>
        <v>0.85799999999999998</v>
      </c>
      <c r="I91" s="60">
        <f t="shared" si="125"/>
        <v>0.876</v>
      </c>
      <c r="J91" s="60">
        <f t="shared" si="125"/>
        <v>0.84699999999999998</v>
      </c>
      <c r="K91" s="60">
        <f t="shared" si="125"/>
        <v>0.86599999999999999</v>
      </c>
      <c r="L91" s="60">
        <f t="shared" si="125"/>
        <v>0.84399999999999997</v>
      </c>
    </row>
    <row r="92" spans="1:12" s="59" customFormat="1">
      <c r="A92" s="59" t="s">
        <v>199</v>
      </c>
      <c r="B92" s="60">
        <f>B41</f>
        <v>-0.82461103253182466</v>
      </c>
      <c r="C92" s="60">
        <f t="shared" ref="C92:L92" si="126">C41</f>
        <v>-0.74177029992684718</v>
      </c>
      <c r="D92" s="60">
        <f t="shared" si="126"/>
        <v>-0.85372714486638546</v>
      </c>
      <c r="E92" s="60">
        <f t="shared" si="126"/>
        <v>-1.2753690036900369</v>
      </c>
      <c r="F92" s="60">
        <f t="shared" si="126"/>
        <v>-0.66998164014687878</v>
      </c>
      <c r="G92" s="60">
        <f t="shared" si="126"/>
        <v>-0.73257074329466565</v>
      </c>
      <c r="H92" s="60">
        <f t="shared" si="126"/>
        <v>-0.72830655129789867</v>
      </c>
      <c r="I92" s="60">
        <f t="shared" si="126"/>
        <v>-0.68816705336426909</v>
      </c>
      <c r="J92" s="60">
        <f t="shared" si="126"/>
        <v>-0.72168964762530097</v>
      </c>
      <c r="K92" s="60">
        <f t="shared" si="126"/>
        <v>-0.66720465557228581</v>
      </c>
      <c r="L92" s="60">
        <f t="shared" si="126"/>
        <v>-0.73162867184728975</v>
      </c>
    </row>
    <row r="93" spans="1:12" s="59" customFormat="1">
      <c r="A93" s="59" t="s">
        <v>198</v>
      </c>
      <c r="B93" s="63">
        <f>B45</f>
        <v>4.0210143463325819E-2</v>
      </c>
      <c r="C93" s="63">
        <f t="shared" ref="C93:L93" si="127">C45</f>
        <v>0.11528895391367953</v>
      </c>
      <c r="D93" s="60">
        <f t="shared" si="127"/>
        <v>8.5950929832784833E-3</v>
      </c>
      <c r="E93" s="60">
        <f t="shared" si="127"/>
        <v>-0.65705719557195574</v>
      </c>
      <c r="F93" s="60">
        <f t="shared" si="127"/>
        <v>0.18681150550795594</v>
      </c>
      <c r="G93" s="60">
        <f t="shared" si="127"/>
        <v>0.11994649569890009</v>
      </c>
      <c r="H93" s="60">
        <f t="shared" si="127"/>
        <v>0.12838895756077462</v>
      </c>
      <c r="I93" s="60">
        <f t="shared" si="127"/>
        <v>0.18726475895849456</v>
      </c>
      <c r="J93" s="60">
        <f t="shared" si="127"/>
        <v>0.12519150798861894</v>
      </c>
      <c r="K93" s="60">
        <f t="shared" si="127"/>
        <v>0.19813409701514556</v>
      </c>
      <c r="L93" s="60">
        <f t="shared" si="127"/>
        <v>0.11227549737206982</v>
      </c>
    </row>
    <row r="94" spans="1:12" s="59" customFormat="1"/>
    <row r="95" spans="1:12" s="59" customFormat="1">
      <c r="A95" s="78" t="s">
        <v>207</v>
      </c>
      <c r="H95" s="61">
        <f>H67/D67-1</f>
        <v>5.8243243243243699</v>
      </c>
      <c r="I95" s="61" t="s">
        <v>212</v>
      </c>
      <c r="J95" s="61">
        <f t="shared" ref="J95:L95" si="128">J67/F67-1</f>
        <v>2.0113753877973113</v>
      </c>
      <c r="K95" s="61">
        <f t="shared" si="128"/>
        <v>56.233009708737875</v>
      </c>
      <c r="L95" s="61">
        <f t="shared" si="128"/>
        <v>2.2366336633663364</v>
      </c>
    </row>
    <row r="96" spans="1:12" s="59" customFormat="1">
      <c r="A96" s="59" t="s">
        <v>215</v>
      </c>
      <c r="H96" s="61">
        <f>H80/D80-1</f>
        <v>0.35596719903389307</v>
      </c>
      <c r="I96" s="61" t="s">
        <v>212</v>
      </c>
      <c r="J96" s="61">
        <f t="shared" ref="J96:L96" si="129">J80/F80-1</f>
        <v>2.0998439248696599</v>
      </c>
      <c r="K96" s="61">
        <f t="shared" si="129"/>
        <v>17.007816814847715</v>
      </c>
      <c r="L96" s="61">
        <f t="shared" si="129"/>
        <v>1.8293165930626065</v>
      </c>
    </row>
    <row r="97" spans="1:12" s="59" customFormat="1">
      <c r="A97" s="59" t="s">
        <v>216</v>
      </c>
      <c r="D97" s="22"/>
      <c r="E97" s="22"/>
      <c r="F97" s="22"/>
      <c r="G97" s="22"/>
      <c r="H97" s="61">
        <f>H83/D83-1</f>
        <v>9.174264477709726E-2</v>
      </c>
      <c r="I97" s="61" t="s">
        <v>212</v>
      </c>
      <c r="J97" s="61">
        <f t="shared" ref="J97:L97" si="130">J83/F83-1</f>
        <v>3.6588010127769754</v>
      </c>
      <c r="K97" s="61">
        <f t="shared" si="130"/>
        <v>14.058763413387839</v>
      </c>
      <c r="L97" s="61">
        <f t="shared" si="130"/>
        <v>2.1006719936607112</v>
      </c>
    </row>
    <row r="99" spans="1:12">
      <c r="A99" s="22" t="s">
        <v>214</v>
      </c>
      <c r="F99" s="68"/>
      <c r="G99" s="68"/>
      <c r="H99" s="68">
        <f>H78</f>
        <v>4.0328092959671897</v>
      </c>
      <c r="I99" s="68">
        <f t="shared" ref="I99:L99" si="131">I78</f>
        <v>4.2298772169167806</v>
      </c>
      <c r="J99" s="68">
        <f t="shared" si="131"/>
        <v>4.397008837525493</v>
      </c>
      <c r="K99" s="68">
        <f t="shared" si="131"/>
        <v>2.177692307692308</v>
      </c>
      <c r="L99" s="68">
        <f t="shared" si="131"/>
        <v>0.14396305853592306</v>
      </c>
    </row>
    <row r="100" spans="1:12">
      <c r="A100" s="22" t="s">
        <v>213</v>
      </c>
      <c r="F100" s="68"/>
      <c r="G100" s="68"/>
      <c r="H100" s="68">
        <f t="shared" ref="H100" si="132">H75</f>
        <v>5.2508544087491451</v>
      </c>
      <c r="I100" s="68">
        <f t="shared" ref="I100:L100" si="133">I75</f>
        <v>5.4665757162346518</v>
      </c>
      <c r="J100" s="68">
        <f t="shared" si="133"/>
        <v>2.5910280373831776</v>
      </c>
      <c r="K100" s="68">
        <f t="shared" si="133"/>
        <v>2.8</v>
      </c>
      <c r="L100" s="68">
        <f t="shared" si="133"/>
        <v>4.3849097867687092E-2</v>
      </c>
    </row>
  </sheetData>
  <conditionalFormatting sqref="S74:XFD75 A74:L75 A76:XFD94 A100 A102:XFD1048576 A99:XFD99 B99:XFD100 B98:C98 H98:XFD98 B95:XFD97 A1:XFD73">
    <cfRule type="cellIs" dxfId="8" priority="8" operator="lessThan">
      <formula>0</formula>
    </cfRule>
  </conditionalFormatting>
  <conditionalFormatting sqref="M74:R74 M77:R77 A95 A98:A100">
    <cfRule type="cellIs" dxfId="7" priority="6" operator="lessThan">
      <formula>0</formula>
    </cfRule>
  </conditionalFormatting>
  <conditionalFormatting sqref="A98:A99">
    <cfRule type="cellIs" dxfId="6" priority="5" operator="lessThan">
      <formula>0</formula>
    </cfRule>
  </conditionalFormatting>
  <conditionalFormatting sqref="A97">
    <cfRule type="cellIs" dxfId="5" priority="2" operator="lessThan">
      <formula>0</formula>
    </cfRule>
  </conditionalFormatting>
  <conditionalFormatting sqref="A96">
    <cfRule type="cellIs" dxfId="4" priority="1" operator="less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8F658-E245-544F-A8C1-411CF18DD743}">
  <dimension ref="A1:AE62"/>
  <sheetViews>
    <sheetView workbookViewId="0">
      <pane xSplit="1" ySplit="7" topLeftCell="B21" activePane="bottomRight" state="frozen"/>
      <selection pane="topRight" activeCell="B1" sqref="B1"/>
      <selection pane="bottomLeft" activeCell="A8" sqref="A8"/>
      <selection pane="bottomRight" activeCell="A7" sqref="A7"/>
    </sheetView>
  </sheetViews>
  <sheetFormatPr baseColWidth="10" defaultRowHeight="16"/>
  <cols>
    <col min="1" max="1" width="41.33203125" style="22" bestFit="1" customWidth="1"/>
    <col min="2" max="3" width="9.6640625" style="22" bestFit="1" customWidth="1"/>
    <col min="4" max="4" width="9.33203125" style="22" bestFit="1" customWidth="1"/>
    <col min="5" max="7" width="10.1640625" style="22" bestFit="1" customWidth="1"/>
    <col min="8" max="8" width="9" style="22" bestFit="1" customWidth="1"/>
    <col min="9" max="10" width="9.5" style="22" bestFit="1" customWidth="1"/>
    <col min="11" max="11" width="9.6640625" style="22" bestFit="1" customWidth="1"/>
    <col min="12" max="12" width="9.33203125" style="22" bestFit="1" customWidth="1"/>
    <col min="13" max="15" width="9.83203125" style="22" bestFit="1" customWidth="1"/>
    <col min="16" max="16" width="9" style="22" bestFit="1" customWidth="1"/>
    <col min="17" max="19" width="9.83203125" style="22" bestFit="1" customWidth="1"/>
    <col min="20" max="20" width="9" style="22" bestFit="1" customWidth="1"/>
    <col min="21" max="23" width="9.83203125" style="22" bestFit="1" customWidth="1"/>
    <col min="24" max="16384" width="10.83203125" style="22"/>
  </cols>
  <sheetData>
    <row r="1" spans="1:31" ht="81" customHeight="1">
      <c r="A1" s="1" t="s">
        <v>135</v>
      </c>
    </row>
    <row r="2" spans="1:31" ht="26">
      <c r="A2" s="21" t="s">
        <v>134</v>
      </c>
    </row>
    <row r="3" spans="1:31">
      <c r="A3" s="22" t="s">
        <v>133</v>
      </c>
    </row>
    <row r="6" spans="1:31">
      <c r="B6" s="25" t="s">
        <v>104</v>
      </c>
      <c r="C6" s="26" t="s">
        <v>105</v>
      </c>
      <c r="D6" s="26" t="s">
        <v>106</v>
      </c>
      <c r="E6" s="26" t="s">
        <v>107</v>
      </c>
      <c r="F6" s="26" t="s">
        <v>108</v>
      </c>
      <c r="G6" s="26" t="s">
        <v>109</v>
      </c>
      <c r="H6" s="26" t="s">
        <v>110</v>
      </c>
      <c r="I6" s="26" t="s">
        <v>111</v>
      </c>
      <c r="J6" s="26" t="s">
        <v>112</v>
      </c>
      <c r="K6" s="26" t="s">
        <v>113</v>
      </c>
      <c r="L6" s="26" t="s">
        <v>114</v>
      </c>
      <c r="M6" s="26" t="s">
        <v>115</v>
      </c>
      <c r="N6" s="26" t="s">
        <v>116</v>
      </c>
      <c r="O6" s="26" t="s">
        <v>117</v>
      </c>
      <c r="P6" s="26" t="s">
        <v>118</v>
      </c>
      <c r="Q6" s="26" t="s">
        <v>119</v>
      </c>
      <c r="R6" s="26" t="s">
        <v>120</v>
      </c>
      <c r="S6" s="26" t="s">
        <v>121</v>
      </c>
      <c r="T6" s="26" t="s">
        <v>122</v>
      </c>
      <c r="U6" s="26" t="s">
        <v>123</v>
      </c>
      <c r="V6" s="26" t="s">
        <v>124</v>
      </c>
      <c r="W6" s="27" t="s">
        <v>125</v>
      </c>
      <c r="AA6" s="22" t="s">
        <v>126</v>
      </c>
      <c r="AB6" s="22" t="s">
        <v>127</v>
      </c>
      <c r="AC6" s="22" t="s">
        <v>129</v>
      </c>
      <c r="AD6" s="22" t="s">
        <v>130</v>
      </c>
      <c r="AE6" s="22" t="s">
        <v>131</v>
      </c>
    </row>
    <row r="7" spans="1:31">
      <c r="A7" s="35" t="s">
        <v>26</v>
      </c>
      <c r="B7" s="28">
        <v>43738</v>
      </c>
      <c r="C7" s="29">
        <v>43830</v>
      </c>
      <c r="D7" s="29">
        <v>43921</v>
      </c>
      <c r="E7" s="29">
        <v>44012</v>
      </c>
      <c r="F7" s="29">
        <v>44104</v>
      </c>
      <c r="G7" s="29">
        <v>44196</v>
      </c>
      <c r="H7" s="29">
        <v>44286</v>
      </c>
      <c r="I7" s="29">
        <v>44377</v>
      </c>
      <c r="J7" s="29">
        <v>44469</v>
      </c>
      <c r="K7" s="29">
        <v>44561</v>
      </c>
      <c r="L7" s="29">
        <v>44651</v>
      </c>
      <c r="M7" s="29">
        <f>I7+365</f>
        <v>44742</v>
      </c>
      <c r="N7" s="29">
        <f t="shared" ref="N7:S7" si="0">J7+365</f>
        <v>44834</v>
      </c>
      <c r="O7" s="29">
        <f t="shared" si="0"/>
        <v>44926</v>
      </c>
      <c r="P7" s="29">
        <f t="shared" si="0"/>
        <v>45016</v>
      </c>
      <c r="Q7" s="29">
        <f t="shared" si="0"/>
        <v>45107</v>
      </c>
      <c r="R7" s="29">
        <f t="shared" si="0"/>
        <v>45199</v>
      </c>
      <c r="S7" s="29">
        <f t="shared" si="0"/>
        <v>45291</v>
      </c>
      <c r="T7" s="29">
        <f>P7+366</f>
        <v>45382</v>
      </c>
      <c r="U7" s="29">
        <f t="shared" ref="U7:W7" si="1">Q7+366</f>
        <v>45473</v>
      </c>
      <c r="V7" s="29">
        <f t="shared" si="1"/>
        <v>45565</v>
      </c>
      <c r="W7" s="30">
        <f t="shared" si="1"/>
        <v>45657</v>
      </c>
      <c r="AA7" s="22" t="s">
        <v>128</v>
      </c>
      <c r="AB7" s="22" t="s">
        <v>128</v>
      </c>
      <c r="AC7" s="22" t="s">
        <v>128</v>
      </c>
      <c r="AD7" s="22" t="s">
        <v>132</v>
      </c>
      <c r="AE7" s="22" t="s">
        <v>128</v>
      </c>
    </row>
    <row r="9" spans="1:31">
      <c r="A9" s="22" t="s">
        <v>27</v>
      </c>
      <c r="C9" s="22">
        <v>44.39</v>
      </c>
      <c r="F9" s="22">
        <v>53.23</v>
      </c>
      <c r="G9" s="22">
        <v>250.82</v>
      </c>
      <c r="H9" s="22">
        <v>257.02</v>
      </c>
      <c r="I9" s="22">
        <v>506.29</v>
      </c>
      <c r="J9" s="23">
        <v>1041.46</v>
      </c>
      <c r="K9" s="22">
        <v>986.61</v>
      </c>
      <c r="L9" s="22">
        <v>757.83</v>
      </c>
    </row>
    <row r="10" spans="1:31">
      <c r="J10" s="23"/>
    </row>
    <row r="11" spans="1:31">
      <c r="A11" s="22" t="s">
        <v>28</v>
      </c>
      <c r="C11" s="22">
        <f t="shared" ref="C11:K11" si="2">SUM(C9)</f>
        <v>44.39</v>
      </c>
      <c r="D11" s="22">
        <f t="shared" si="2"/>
        <v>0</v>
      </c>
      <c r="E11" s="22">
        <f t="shared" si="2"/>
        <v>0</v>
      </c>
      <c r="F11" s="22">
        <f t="shared" si="2"/>
        <v>53.23</v>
      </c>
      <c r="G11" s="22">
        <f t="shared" si="2"/>
        <v>250.82</v>
      </c>
      <c r="H11" s="22">
        <f t="shared" si="2"/>
        <v>257.02</v>
      </c>
      <c r="I11" s="22">
        <f t="shared" si="2"/>
        <v>506.29</v>
      </c>
      <c r="J11" s="22">
        <f t="shared" si="2"/>
        <v>1041.46</v>
      </c>
      <c r="K11" s="22">
        <f t="shared" si="2"/>
        <v>986.61</v>
      </c>
      <c r="L11" s="22">
        <f>SUM(L9)</f>
        <v>757.83</v>
      </c>
    </row>
    <row r="12" spans="1:31">
      <c r="J12" s="23"/>
    </row>
    <row r="13" spans="1:31">
      <c r="A13" s="22" t="s">
        <v>29</v>
      </c>
      <c r="C13" s="22">
        <v>266.42</v>
      </c>
      <c r="F13" s="22">
        <v>144.76</v>
      </c>
      <c r="G13" s="22">
        <v>97.53</v>
      </c>
      <c r="H13" s="22">
        <v>73.22</v>
      </c>
      <c r="I13" s="22">
        <v>95.31</v>
      </c>
      <c r="J13" s="22">
        <v>140.11000000000001</v>
      </c>
      <c r="K13" s="22">
        <v>260.77</v>
      </c>
      <c r="L13" s="22">
        <v>604.37</v>
      </c>
    </row>
    <row r="14" spans="1:31">
      <c r="A14" s="22" t="s">
        <v>30</v>
      </c>
      <c r="C14" s="22">
        <v>266.42</v>
      </c>
      <c r="F14" s="22">
        <v>144.76</v>
      </c>
      <c r="G14" s="22">
        <v>97.53</v>
      </c>
      <c r="H14" s="22">
        <v>73.22</v>
      </c>
      <c r="I14" s="22">
        <v>95.31</v>
      </c>
      <c r="J14" s="22">
        <v>140.11000000000001</v>
      </c>
      <c r="K14" s="22">
        <v>260.77</v>
      </c>
      <c r="L14" s="22">
        <v>604.37</v>
      </c>
    </row>
    <row r="15" spans="1:31">
      <c r="A15" s="22" t="s">
        <v>31</v>
      </c>
      <c r="C15" s="22">
        <v>35.68</v>
      </c>
      <c r="F15" s="22">
        <v>57.41</v>
      </c>
      <c r="G15" s="22">
        <v>60.51</v>
      </c>
      <c r="H15" s="22">
        <v>79.05</v>
      </c>
      <c r="I15" s="22">
        <v>111.25</v>
      </c>
      <c r="J15" s="22">
        <v>130.30000000000001</v>
      </c>
      <c r="K15" s="22">
        <v>204.63</v>
      </c>
      <c r="L15" s="22">
        <v>254.87</v>
      </c>
    </row>
    <row r="16" spans="1:31">
      <c r="A16" s="22" t="s">
        <v>32</v>
      </c>
      <c r="C16" s="22">
        <v>346.49</v>
      </c>
      <c r="F16" s="22">
        <v>255.41</v>
      </c>
      <c r="G16" s="22">
        <v>408.87</v>
      </c>
      <c r="H16" s="22">
        <v>409.29</v>
      </c>
      <c r="I16" s="22">
        <v>712.84</v>
      </c>
      <c r="J16" s="23">
        <v>1311.88</v>
      </c>
      <c r="K16" s="23">
        <v>1452.01</v>
      </c>
      <c r="L16" s="23">
        <v>1617.06</v>
      </c>
    </row>
    <row r="17" spans="1:12">
      <c r="J17" s="23"/>
      <c r="K17" s="23"/>
      <c r="L17" s="23"/>
    </row>
    <row r="18" spans="1:12">
      <c r="A18" s="22" t="s">
        <v>33</v>
      </c>
      <c r="C18" s="22">
        <v>20.47</v>
      </c>
      <c r="F18" s="22">
        <v>19.55</v>
      </c>
      <c r="G18" s="22">
        <v>24.13</v>
      </c>
      <c r="H18" s="22">
        <v>23.51</v>
      </c>
      <c r="I18" s="22">
        <v>24.09</v>
      </c>
      <c r="J18" s="22">
        <v>80.86</v>
      </c>
      <c r="K18" s="22">
        <v>110.56</v>
      </c>
      <c r="L18" s="22">
        <v>109.65</v>
      </c>
    </row>
    <row r="19" spans="1:12">
      <c r="A19" s="22" t="s">
        <v>34</v>
      </c>
      <c r="C19" s="22">
        <v>-0.45</v>
      </c>
      <c r="F19" s="22">
        <v>-1.48</v>
      </c>
      <c r="G19" s="22">
        <v>-1.79</v>
      </c>
      <c r="H19" s="22">
        <v>-2.15</v>
      </c>
      <c r="I19" s="22">
        <v>-2.54</v>
      </c>
      <c r="J19" s="22">
        <v>-2.94</v>
      </c>
      <c r="K19" s="22">
        <v>-3.69</v>
      </c>
      <c r="L19" s="22">
        <v>-4.41</v>
      </c>
    </row>
    <row r="20" spans="1:12">
      <c r="A20" s="22" t="s">
        <v>35</v>
      </c>
      <c r="C20" s="22">
        <v>20.02</v>
      </c>
      <c r="F20" s="22">
        <v>18.059999999999999</v>
      </c>
      <c r="G20" s="22">
        <v>22.34</v>
      </c>
      <c r="H20" s="22">
        <v>21.36</v>
      </c>
      <c r="I20" s="22">
        <v>21.56</v>
      </c>
      <c r="J20" s="22">
        <v>77.92</v>
      </c>
      <c r="K20" s="22">
        <v>106.88</v>
      </c>
      <c r="L20" s="22">
        <v>105.24</v>
      </c>
    </row>
    <row r="21" spans="1:12">
      <c r="A21" s="22" t="s">
        <v>36</v>
      </c>
      <c r="J21" s="22">
        <v>40</v>
      </c>
      <c r="K21" s="22">
        <v>40</v>
      </c>
      <c r="L21" s="22">
        <v>41</v>
      </c>
    </row>
    <row r="22" spans="1:12">
      <c r="A22" s="22" t="s">
        <v>37</v>
      </c>
      <c r="I22" s="22">
        <v>66.87</v>
      </c>
      <c r="J22" s="22">
        <v>66.87</v>
      </c>
      <c r="K22" s="22">
        <v>67.06</v>
      </c>
      <c r="L22" s="22">
        <v>67.06</v>
      </c>
    </row>
    <row r="23" spans="1:12">
      <c r="A23" s="22" t="s">
        <v>38</v>
      </c>
      <c r="C23" s="22">
        <v>2.2000000000000002</v>
      </c>
      <c r="F23" s="22">
        <v>4.9000000000000004</v>
      </c>
      <c r="G23" s="22">
        <v>6</v>
      </c>
      <c r="H23" s="22">
        <v>6</v>
      </c>
      <c r="I23" s="22">
        <v>30.33</v>
      </c>
      <c r="J23" s="22">
        <v>31.98</v>
      </c>
      <c r="K23" s="22">
        <v>33.409999999999997</v>
      </c>
      <c r="L23" s="22">
        <v>36.64</v>
      </c>
    </row>
    <row r="24" spans="1:12">
      <c r="A24" s="22" t="s">
        <v>39</v>
      </c>
      <c r="C24" s="22">
        <v>8.32</v>
      </c>
      <c r="F24" s="22">
        <v>9.14</v>
      </c>
      <c r="G24" s="22">
        <v>11.66</v>
      </c>
      <c r="H24" s="22">
        <v>18.13</v>
      </c>
      <c r="I24" s="22">
        <v>31.74</v>
      </c>
      <c r="J24" s="22">
        <v>29.99</v>
      </c>
      <c r="K24" s="22">
        <v>55.52</v>
      </c>
      <c r="L24" s="22">
        <v>48.62</v>
      </c>
    </row>
    <row r="25" spans="1:12">
      <c r="A25" s="22" t="s">
        <v>40</v>
      </c>
      <c r="C25" s="22">
        <v>16.43</v>
      </c>
      <c r="F25" s="22">
        <v>22.3</v>
      </c>
      <c r="G25" s="22">
        <v>28.39</v>
      </c>
      <c r="H25" s="22">
        <v>33.799999999999997</v>
      </c>
      <c r="I25" s="22">
        <v>41.25</v>
      </c>
      <c r="J25" s="22">
        <v>47.51</v>
      </c>
      <c r="K25" s="22">
        <v>65.59</v>
      </c>
      <c r="L25" s="22">
        <v>71.98</v>
      </c>
    </row>
    <row r="27" spans="1:12">
      <c r="A27" s="22" t="s">
        <v>41</v>
      </c>
      <c r="C27" s="22">
        <v>393.46</v>
      </c>
      <c r="F27" s="22">
        <v>309.8</v>
      </c>
      <c r="G27" s="22">
        <v>477.26</v>
      </c>
      <c r="H27" s="22">
        <v>488.59</v>
      </c>
      <c r="I27" s="22">
        <v>904.58</v>
      </c>
      <c r="J27" s="23">
        <v>1606.13</v>
      </c>
      <c r="K27" s="23">
        <v>1820.46</v>
      </c>
      <c r="L27" s="23">
        <v>1987.59</v>
      </c>
    </row>
    <row r="28" spans="1:12">
      <c r="J28" s="23"/>
      <c r="K28" s="23"/>
      <c r="L28" s="23"/>
    </row>
    <row r="29" spans="1:12">
      <c r="A29" s="22" t="s">
        <v>42</v>
      </c>
      <c r="C29" s="22">
        <v>6.56</v>
      </c>
      <c r="F29" s="22">
        <v>6.05</v>
      </c>
      <c r="G29" s="22">
        <v>13.78</v>
      </c>
      <c r="H29" s="22">
        <v>8.1300000000000008</v>
      </c>
      <c r="I29" s="22">
        <v>17.329999999999998</v>
      </c>
      <c r="J29" s="22">
        <v>9.3800000000000008</v>
      </c>
      <c r="K29" s="22">
        <v>6.56</v>
      </c>
      <c r="L29" s="22">
        <v>10.29</v>
      </c>
    </row>
    <row r="30" spans="1:12">
      <c r="A30" s="22" t="s">
        <v>43</v>
      </c>
      <c r="C30" s="22">
        <v>26.4</v>
      </c>
      <c r="F30" s="22">
        <v>22.39</v>
      </c>
      <c r="G30" s="22">
        <v>34.340000000000003</v>
      </c>
      <c r="H30" s="22">
        <v>38.700000000000003</v>
      </c>
      <c r="I30" s="22">
        <v>63.65</v>
      </c>
      <c r="J30" s="22">
        <v>67.05</v>
      </c>
      <c r="K30" s="22">
        <v>98.6</v>
      </c>
      <c r="L30" s="22">
        <v>83.33</v>
      </c>
    </row>
    <row r="31" spans="1:12">
      <c r="A31" s="22" t="s">
        <v>44</v>
      </c>
      <c r="C31" s="22">
        <v>4.12</v>
      </c>
      <c r="G31" s="22">
        <v>4.54</v>
      </c>
      <c r="H31" s="22">
        <v>3.48</v>
      </c>
      <c r="I31" s="22">
        <v>2.41</v>
      </c>
      <c r="J31" s="22">
        <v>1.27</v>
      </c>
      <c r="K31" s="22">
        <v>11.2</v>
      </c>
      <c r="L31" s="22">
        <v>9.14</v>
      </c>
    </row>
    <row r="32" spans="1:12">
      <c r="A32" s="22" t="s">
        <v>45</v>
      </c>
      <c r="C32" s="22">
        <v>6.8</v>
      </c>
      <c r="F32" s="22">
        <v>9.07</v>
      </c>
    </row>
    <row r="34" spans="1:12">
      <c r="A34" s="22" t="s">
        <v>46</v>
      </c>
      <c r="C34" s="22">
        <v>39.76</v>
      </c>
      <c r="F34" s="22">
        <v>37.51</v>
      </c>
      <c r="G34" s="22">
        <v>48.11</v>
      </c>
      <c r="H34" s="22">
        <v>50.31</v>
      </c>
      <c r="I34" s="22">
        <v>83.38</v>
      </c>
      <c r="J34" s="22">
        <v>77.7</v>
      </c>
      <c r="K34" s="22">
        <v>116.36</v>
      </c>
      <c r="L34" s="22">
        <v>102.75</v>
      </c>
    </row>
    <row r="36" spans="1:12">
      <c r="A36" s="22" t="s">
        <v>47</v>
      </c>
      <c r="C36" s="22">
        <v>214.72</v>
      </c>
      <c r="F36" s="22">
        <v>100.59</v>
      </c>
      <c r="G36" s="22">
        <v>62.63</v>
      </c>
      <c r="H36" s="22">
        <v>41.89</v>
      </c>
      <c r="I36" s="22">
        <v>6.06</v>
      </c>
      <c r="J36" s="22">
        <v>649.22</v>
      </c>
      <c r="K36" s="22">
        <v>695.43</v>
      </c>
      <c r="L36" s="22">
        <v>769.22</v>
      </c>
    </row>
    <row r="37" spans="1:12">
      <c r="A37" s="22" t="s">
        <v>48</v>
      </c>
      <c r="C37" s="22">
        <v>17.059999999999999</v>
      </c>
      <c r="F37" s="22">
        <v>14.84</v>
      </c>
      <c r="G37" s="22">
        <v>19.43</v>
      </c>
      <c r="H37" s="22">
        <v>15.14</v>
      </c>
      <c r="I37" s="22">
        <v>15.37</v>
      </c>
      <c r="J37" s="22">
        <v>70.900000000000006</v>
      </c>
      <c r="K37" s="22">
        <v>89.16</v>
      </c>
      <c r="L37" s="22">
        <v>90.91</v>
      </c>
    </row>
    <row r="38" spans="1:12">
      <c r="A38" s="22" t="s">
        <v>49</v>
      </c>
      <c r="C38" s="22">
        <v>21.07</v>
      </c>
      <c r="F38" s="22">
        <v>41.66</v>
      </c>
      <c r="G38" s="22">
        <v>46.83</v>
      </c>
      <c r="H38" s="22">
        <v>60.66</v>
      </c>
      <c r="I38" s="22">
        <v>83.68</v>
      </c>
      <c r="J38" s="22">
        <v>89.22</v>
      </c>
      <c r="K38" s="22">
        <v>112.42</v>
      </c>
      <c r="L38" s="22">
        <v>148.19999999999999</v>
      </c>
    </row>
    <row r="40" spans="1:12">
      <c r="A40" s="22" t="s">
        <v>50</v>
      </c>
      <c r="C40" s="22">
        <v>292.60000000000002</v>
      </c>
      <c r="F40" s="22">
        <v>194.59</v>
      </c>
      <c r="G40" s="22">
        <v>177</v>
      </c>
      <c r="H40" s="22">
        <v>168</v>
      </c>
      <c r="I40" s="22">
        <v>188.49</v>
      </c>
      <c r="J40" s="22">
        <v>887.04</v>
      </c>
      <c r="K40" s="23">
        <v>1013.38</v>
      </c>
      <c r="L40" s="23">
        <v>1111.0899999999999</v>
      </c>
    </row>
    <row r="41" spans="1:12">
      <c r="K41" s="23"/>
      <c r="L41" s="23"/>
    </row>
    <row r="42" spans="1:12">
      <c r="A42" s="22" t="s">
        <v>51</v>
      </c>
      <c r="C42" s="22">
        <v>162.55000000000001</v>
      </c>
      <c r="F42" s="22">
        <v>162.55000000000001</v>
      </c>
    </row>
    <row r="43" spans="1:12">
      <c r="A43" s="22" t="s">
        <v>52</v>
      </c>
      <c r="C43" s="22">
        <v>162.55000000000001</v>
      </c>
      <c r="D43" s="22">
        <v>162.55000000000001</v>
      </c>
      <c r="F43" s="22">
        <v>162.55000000000001</v>
      </c>
    </row>
    <row r="44" spans="1:12">
      <c r="A44" s="22" t="s">
        <v>53</v>
      </c>
      <c r="C44" s="22">
        <v>0</v>
      </c>
      <c r="F44" s="22">
        <v>0</v>
      </c>
      <c r="G44" s="22">
        <v>0.01</v>
      </c>
      <c r="H44" s="22">
        <v>0.01</v>
      </c>
      <c r="I44" s="22">
        <v>0.01</v>
      </c>
      <c r="J44" s="22">
        <v>0.01</v>
      </c>
      <c r="K44" s="22">
        <v>0.01</v>
      </c>
      <c r="L44" s="22">
        <v>0.01</v>
      </c>
    </row>
    <row r="45" spans="1:12">
      <c r="A45" s="22" t="s">
        <v>54</v>
      </c>
      <c r="C45" s="22">
        <v>12.49</v>
      </c>
      <c r="F45" s="22">
        <v>22.91</v>
      </c>
      <c r="G45" s="22">
        <v>369.47</v>
      </c>
      <c r="H45" s="22">
        <v>379.7</v>
      </c>
      <c r="I45" s="22">
        <v>737.92</v>
      </c>
      <c r="J45" s="22">
        <v>711.8</v>
      </c>
      <c r="K45" s="22">
        <v>740.85</v>
      </c>
      <c r="L45" s="22">
        <v>777.58</v>
      </c>
    </row>
    <row r="46" spans="1:12">
      <c r="A46" s="22" t="s">
        <v>55</v>
      </c>
      <c r="C46" s="22">
        <v>-75.209999999999994</v>
      </c>
      <c r="F46" s="22">
        <v>-70.25</v>
      </c>
      <c r="G46" s="22">
        <v>-69.22</v>
      </c>
      <c r="H46" s="22">
        <v>-59.12</v>
      </c>
      <c r="I46" s="22">
        <v>-21.84</v>
      </c>
      <c r="J46" s="22">
        <v>7.28</v>
      </c>
      <c r="K46" s="22">
        <v>66.22</v>
      </c>
      <c r="L46" s="22">
        <v>98.91</v>
      </c>
    </row>
    <row r="47" spans="1:12">
      <c r="A47" s="22" t="s">
        <v>56</v>
      </c>
      <c r="C47" s="22">
        <v>-62.71</v>
      </c>
      <c r="D47" s="22">
        <v>-62.71</v>
      </c>
      <c r="F47" s="22">
        <v>-47.33</v>
      </c>
      <c r="G47" s="22">
        <v>300.25</v>
      </c>
      <c r="H47" s="22">
        <v>320.58999999999997</v>
      </c>
      <c r="I47" s="22">
        <v>716.1</v>
      </c>
      <c r="J47" s="22">
        <v>719.09</v>
      </c>
      <c r="K47" s="22">
        <v>807.08</v>
      </c>
      <c r="L47" s="22">
        <v>876.5</v>
      </c>
    </row>
    <row r="48" spans="1:12">
      <c r="A48" s="22" t="s">
        <v>16</v>
      </c>
      <c r="C48" s="22">
        <v>1.03</v>
      </c>
    </row>
    <row r="49" spans="1:12">
      <c r="A49" s="22" t="s">
        <v>57</v>
      </c>
      <c r="C49" s="22">
        <v>100.86</v>
      </c>
      <c r="D49" s="22">
        <v>100.86</v>
      </c>
      <c r="F49" s="22">
        <v>115.21</v>
      </c>
      <c r="G49" s="22">
        <v>300.25</v>
      </c>
      <c r="H49" s="22">
        <v>320.58999999999997</v>
      </c>
      <c r="I49" s="22">
        <v>716.1</v>
      </c>
      <c r="J49" s="22">
        <v>719.09</v>
      </c>
      <c r="K49" s="22">
        <v>807.08</v>
      </c>
      <c r="L49" s="22">
        <v>876.5</v>
      </c>
    </row>
    <row r="51" spans="1:12">
      <c r="A51" s="22" t="s">
        <v>58</v>
      </c>
      <c r="C51" s="22">
        <v>393.46</v>
      </c>
      <c r="F51" s="22">
        <v>309.8</v>
      </c>
      <c r="G51" s="22">
        <v>477.26</v>
      </c>
      <c r="H51" s="22">
        <v>488.59</v>
      </c>
      <c r="I51" s="22">
        <v>904.58</v>
      </c>
      <c r="J51" s="23">
        <v>1606.13</v>
      </c>
      <c r="K51" s="23">
        <v>1820.46</v>
      </c>
      <c r="L51" s="23">
        <v>1987.59</v>
      </c>
    </row>
    <row r="52" spans="1:12">
      <c r="J52" s="23"/>
      <c r="K52" s="23"/>
      <c r="L52" s="23"/>
    </row>
    <row r="53" spans="1:12">
      <c r="A53" s="22" t="s">
        <v>19</v>
      </c>
    </row>
    <row r="55" spans="1:12">
      <c r="A55" s="22" t="s">
        <v>59</v>
      </c>
      <c r="B55" s="22">
        <v>14.31</v>
      </c>
      <c r="C55" s="22">
        <v>14.56</v>
      </c>
      <c r="D55" s="22">
        <v>14.63</v>
      </c>
      <c r="E55" s="22">
        <v>14.66</v>
      </c>
      <c r="F55" s="22">
        <v>15.04</v>
      </c>
      <c r="G55" s="22">
        <v>73.62</v>
      </c>
      <c r="H55" s="22">
        <v>76.900000000000006</v>
      </c>
      <c r="I55" s="22">
        <v>77.77</v>
      </c>
      <c r="J55" s="22">
        <v>81.96</v>
      </c>
      <c r="K55" s="22">
        <v>84.06</v>
      </c>
      <c r="L55" s="22">
        <v>84.77</v>
      </c>
    </row>
    <row r="56" spans="1:12">
      <c r="A56" s="22" t="s">
        <v>60</v>
      </c>
      <c r="C56" s="22">
        <v>-4.3099999999999996</v>
      </c>
      <c r="D56" s="22">
        <v>-4.3099999999999996</v>
      </c>
      <c r="F56" s="22">
        <v>-3.15</v>
      </c>
      <c r="G56" s="22">
        <v>4.0999999999999996</v>
      </c>
      <c r="H56" s="22">
        <v>4.34</v>
      </c>
      <c r="I56" s="22">
        <v>9.2200000000000006</v>
      </c>
      <c r="J56" s="22">
        <v>8.82</v>
      </c>
      <c r="K56" s="22">
        <v>9.65</v>
      </c>
      <c r="L56" s="22">
        <v>10.35</v>
      </c>
    </row>
    <row r="57" spans="1:12">
      <c r="A57" s="22" t="s">
        <v>61</v>
      </c>
      <c r="C57" s="22">
        <v>-64.91</v>
      </c>
      <c r="D57" s="22">
        <v>-64.91</v>
      </c>
      <c r="F57" s="22">
        <v>-52.23</v>
      </c>
      <c r="G57" s="22">
        <v>294.25</v>
      </c>
      <c r="H57" s="22">
        <v>314.58999999999997</v>
      </c>
      <c r="I57" s="22">
        <v>618.9</v>
      </c>
      <c r="J57" s="22">
        <v>620.25</v>
      </c>
      <c r="K57" s="22">
        <v>706.61</v>
      </c>
      <c r="L57" s="22">
        <v>772.81</v>
      </c>
    </row>
    <row r="58" spans="1:12">
      <c r="A58" s="22" t="s">
        <v>62</v>
      </c>
      <c r="C58" s="22">
        <v>-4.46</v>
      </c>
      <c r="D58" s="22">
        <v>-4.46</v>
      </c>
      <c r="F58" s="22">
        <v>-3.47</v>
      </c>
      <c r="G58" s="22">
        <v>4.01</v>
      </c>
      <c r="H58" s="22">
        <v>4.26</v>
      </c>
      <c r="I58" s="22">
        <v>7.97</v>
      </c>
      <c r="J58" s="22">
        <v>7.61</v>
      </c>
      <c r="K58" s="22">
        <v>8.4499999999999993</v>
      </c>
      <c r="L58" s="22">
        <v>9.1300000000000008</v>
      </c>
    </row>
    <row r="59" spans="1:12">
      <c r="A59" s="22" t="s">
        <v>63</v>
      </c>
      <c r="C59" s="22">
        <v>231.78</v>
      </c>
      <c r="D59" s="22">
        <v>231.78</v>
      </c>
      <c r="F59" s="22">
        <v>115.43</v>
      </c>
      <c r="G59" s="22">
        <v>82.06</v>
      </c>
      <c r="H59" s="22">
        <v>60.51</v>
      </c>
      <c r="I59" s="22">
        <v>23.84</v>
      </c>
      <c r="J59" s="22">
        <v>721.4</v>
      </c>
      <c r="K59" s="22">
        <v>795.8</v>
      </c>
      <c r="L59" s="22">
        <v>869.27</v>
      </c>
    </row>
    <row r="60" spans="1:12">
      <c r="A60" s="22" t="s">
        <v>64</v>
      </c>
      <c r="C60" s="22">
        <v>187.39</v>
      </c>
      <c r="D60" s="22">
        <v>187.39</v>
      </c>
      <c r="F60" s="22">
        <v>62.2</v>
      </c>
      <c r="G60" s="22">
        <v>-168.76</v>
      </c>
      <c r="H60" s="22">
        <v>-196.51</v>
      </c>
      <c r="I60" s="22">
        <v>-482.45</v>
      </c>
      <c r="J60" s="22">
        <v>-320.06</v>
      </c>
      <c r="K60" s="22">
        <v>-190.81</v>
      </c>
      <c r="L60" s="22">
        <v>111.45</v>
      </c>
    </row>
    <row r="61" spans="1:12">
      <c r="A61" s="22" t="s">
        <v>65</v>
      </c>
      <c r="C61" s="24"/>
      <c r="D61" s="24"/>
    </row>
    <row r="62" spans="1:12">
      <c r="A62" s="22" t="s">
        <v>66</v>
      </c>
      <c r="C62" s="24"/>
      <c r="F62" s="24"/>
      <c r="G62" s="24"/>
      <c r="K62" s="24"/>
    </row>
  </sheetData>
  <conditionalFormatting sqref="A1:XFD1048576">
    <cfRule type="cellIs" dxfId="3" priority="1" operator="lessThan">
      <formula>0</formula>
    </cfRule>
  </conditionalFormatting>
  <hyperlinks>
    <hyperlink ref="C61" r:id="rId1" display="https://app.tikr.com/account/subs?ref=64an27" xr:uid="{C1087A32-566B-3442-BCFE-A89C2216F2B1}"/>
    <hyperlink ref="D61" r:id="rId2" display="https://app.tikr.com/account/subs?ref=64an27" xr:uid="{E1BDF6D1-98B3-7142-8A45-00A71E61D138}"/>
    <hyperlink ref="C62" r:id="rId3" display="https://app.tikr.com/account/subs?ref=64an27" xr:uid="{57E6FC2F-FFF8-864C-9DC9-3AAB6070DE50}"/>
    <hyperlink ref="F62" r:id="rId4" display="https://app.tikr.com/account/subs?ref=64an27" xr:uid="{BDAF2403-476B-4E44-A5B3-085B42BCF3F5}"/>
    <hyperlink ref="G62" r:id="rId5" display="https://app.tikr.com/account/subs?ref=64an27" xr:uid="{8A3BCA09-F252-144F-9326-56DD0C9163E3}"/>
    <hyperlink ref="K62" r:id="rId6" display="https://app.tikr.com/account/subs?ref=64an27" xr:uid="{BCDAA26A-522E-C14F-9139-E284F3321DD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E1243-CAFA-7747-8843-F6BC686D32B7}">
  <dimension ref="A1:AE52"/>
  <sheetViews>
    <sheetView workbookViewId="0">
      <pane xSplit="1" ySplit="7" topLeftCell="F8" activePane="bottomRight" state="frozen"/>
      <selection pane="topRight" activeCell="B1" sqref="B1"/>
      <selection pane="bottomLeft" activeCell="A8" sqref="A8"/>
      <selection pane="bottomRight" activeCell="A7" sqref="A7"/>
    </sheetView>
  </sheetViews>
  <sheetFormatPr baseColWidth="10" defaultRowHeight="17"/>
  <cols>
    <col min="1" max="1" width="57.33203125" style="2" bestFit="1" customWidth="1"/>
    <col min="2" max="2" width="8.33203125" style="2" bestFit="1" customWidth="1"/>
    <col min="3" max="3" width="9.5" style="2" bestFit="1" customWidth="1"/>
    <col min="4" max="4" width="10.5" style="2" bestFit="1" customWidth="1"/>
    <col min="5" max="6" width="8.6640625" style="2" bestFit="1" customWidth="1"/>
    <col min="7" max="10" width="9.83203125" style="2" bestFit="1" customWidth="1"/>
    <col min="11" max="12" width="10.5" style="2" bestFit="1" customWidth="1"/>
    <col min="13" max="16384" width="10.83203125" style="2"/>
  </cols>
  <sheetData>
    <row r="1" spans="1:31" ht="81" customHeight="1">
      <c r="A1" s="1" t="s">
        <v>135</v>
      </c>
    </row>
    <row r="2" spans="1:31" ht="28">
      <c r="A2" s="3" t="s">
        <v>134</v>
      </c>
    </row>
    <row r="3" spans="1:31">
      <c r="A3" s="2" t="s">
        <v>133</v>
      </c>
    </row>
    <row r="6" spans="1:31">
      <c r="B6" s="2" t="s">
        <v>104</v>
      </c>
      <c r="C6" s="2" t="s">
        <v>105</v>
      </c>
      <c r="D6" s="2" t="s">
        <v>106</v>
      </c>
      <c r="E6" s="2" t="s">
        <v>107</v>
      </c>
      <c r="F6" s="2" t="s">
        <v>108</v>
      </c>
      <c r="G6" s="2" t="s">
        <v>109</v>
      </c>
      <c r="H6" s="2" t="s">
        <v>110</v>
      </c>
      <c r="I6" s="2" t="s">
        <v>111</v>
      </c>
      <c r="J6" s="2" t="s">
        <v>112</v>
      </c>
      <c r="K6" s="2" t="s">
        <v>113</v>
      </c>
      <c r="L6" s="2" t="s">
        <v>114</v>
      </c>
      <c r="M6" s="2" t="s">
        <v>115</v>
      </c>
      <c r="N6" s="2" t="s">
        <v>116</v>
      </c>
      <c r="O6" s="2" t="s">
        <v>117</v>
      </c>
      <c r="P6" s="2" t="s">
        <v>118</v>
      </c>
      <c r="Q6" s="2" t="s">
        <v>119</v>
      </c>
      <c r="R6" s="2" t="s">
        <v>120</v>
      </c>
      <c r="S6" s="2" t="s">
        <v>121</v>
      </c>
      <c r="T6" s="2" t="s">
        <v>122</v>
      </c>
      <c r="U6" s="2" t="s">
        <v>123</v>
      </c>
      <c r="V6" s="2" t="s">
        <v>124</v>
      </c>
      <c r="W6" s="2" t="s">
        <v>125</v>
      </c>
      <c r="AA6" s="2" t="s">
        <v>126</v>
      </c>
      <c r="AB6" s="2" t="s">
        <v>127</v>
      </c>
      <c r="AC6" s="2" t="s">
        <v>129</v>
      </c>
      <c r="AD6" s="2" t="s">
        <v>130</v>
      </c>
      <c r="AE6" s="2" t="s">
        <v>131</v>
      </c>
    </row>
    <row r="7" spans="1:31">
      <c r="A7" s="5" t="s">
        <v>67</v>
      </c>
      <c r="B7" s="4">
        <v>43738</v>
      </c>
      <c r="C7" s="4">
        <v>43830</v>
      </c>
      <c r="D7" s="4">
        <v>43921</v>
      </c>
      <c r="E7" s="4">
        <v>44012</v>
      </c>
      <c r="F7" s="4">
        <v>44104</v>
      </c>
      <c r="G7" s="4">
        <v>44196</v>
      </c>
      <c r="H7" s="4">
        <v>44286</v>
      </c>
      <c r="I7" s="4">
        <v>44377</v>
      </c>
      <c r="J7" s="4">
        <v>44469</v>
      </c>
      <c r="K7" s="4">
        <v>44561</v>
      </c>
      <c r="L7" s="4">
        <v>44651</v>
      </c>
      <c r="M7" s="4">
        <f>I7+365</f>
        <v>44742</v>
      </c>
      <c r="N7" s="4">
        <f t="shared" ref="N7:S7" si="0">J7+365</f>
        <v>44834</v>
      </c>
      <c r="O7" s="4">
        <f t="shared" si="0"/>
        <v>44926</v>
      </c>
      <c r="P7" s="4">
        <f t="shared" si="0"/>
        <v>45016</v>
      </c>
      <c r="Q7" s="4">
        <f t="shared" si="0"/>
        <v>45107</v>
      </c>
      <c r="R7" s="4">
        <f t="shared" si="0"/>
        <v>45199</v>
      </c>
      <c r="S7" s="4">
        <f t="shared" si="0"/>
        <v>45291</v>
      </c>
      <c r="T7" s="4">
        <f>P7+366</f>
        <v>45382</v>
      </c>
      <c r="U7" s="4">
        <f t="shared" ref="U7:W7" si="1">Q7+366</f>
        <v>45473</v>
      </c>
      <c r="V7" s="4">
        <f t="shared" si="1"/>
        <v>45565</v>
      </c>
      <c r="W7" s="4">
        <f t="shared" si="1"/>
        <v>45657</v>
      </c>
      <c r="AA7" s="2" t="s">
        <v>128</v>
      </c>
      <c r="AB7" s="2" t="s">
        <v>128</v>
      </c>
      <c r="AC7" s="2" t="s">
        <v>128</v>
      </c>
      <c r="AD7" s="2" t="s">
        <v>132</v>
      </c>
      <c r="AE7" s="2" t="s">
        <v>128</v>
      </c>
    </row>
    <row r="8" spans="1:31">
      <c r="A8" s="2" t="s">
        <v>17</v>
      </c>
      <c r="C8" s="2">
        <v>6.05</v>
      </c>
      <c r="D8" s="2">
        <v>1.48</v>
      </c>
      <c r="E8" s="2">
        <v>-6.19</v>
      </c>
      <c r="F8" s="2">
        <v>9.67</v>
      </c>
      <c r="G8" s="2">
        <v>1.03</v>
      </c>
      <c r="H8" s="2">
        <v>10.1</v>
      </c>
      <c r="I8" s="2">
        <v>37.28</v>
      </c>
      <c r="J8" s="2">
        <v>29.11</v>
      </c>
      <c r="K8" s="2">
        <v>58.94</v>
      </c>
      <c r="L8" s="2">
        <v>32.69</v>
      </c>
    </row>
    <row r="10" spans="1:31">
      <c r="A10" s="2" t="s">
        <v>68</v>
      </c>
      <c r="C10" s="2">
        <v>0.45</v>
      </c>
      <c r="D10" s="2">
        <v>0.52</v>
      </c>
      <c r="E10" s="2">
        <v>0.54</v>
      </c>
      <c r="F10" s="2">
        <v>0.57999999999999996</v>
      </c>
      <c r="G10" s="2">
        <v>0.65</v>
      </c>
      <c r="H10" s="2">
        <v>0.82</v>
      </c>
      <c r="I10" s="2">
        <v>0.88</v>
      </c>
      <c r="J10" s="2">
        <v>0.62</v>
      </c>
      <c r="K10" s="2">
        <v>1.49</v>
      </c>
      <c r="L10" s="2">
        <v>1.68</v>
      </c>
    </row>
    <row r="11" spans="1:31">
      <c r="A11" s="2" t="s">
        <v>69</v>
      </c>
      <c r="I11" s="2">
        <v>1.1000000000000001</v>
      </c>
      <c r="K11" s="2">
        <v>0.28999999999999998</v>
      </c>
      <c r="L11" s="2">
        <v>1.1000000000000001</v>
      </c>
    </row>
    <row r="13" spans="1:31">
      <c r="A13" s="2" t="s">
        <v>70</v>
      </c>
      <c r="C13" s="2">
        <v>0.45</v>
      </c>
      <c r="D13" s="2">
        <v>0.52</v>
      </c>
      <c r="E13" s="2">
        <v>0.54</v>
      </c>
      <c r="F13" s="2">
        <v>0.57999999999999996</v>
      </c>
      <c r="G13" s="2">
        <v>0.65</v>
      </c>
      <c r="H13" s="2">
        <v>0.82</v>
      </c>
      <c r="I13" s="2">
        <v>1.98</v>
      </c>
      <c r="J13" s="2">
        <v>0.62</v>
      </c>
      <c r="K13" s="2">
        <v>1.77</v>
      </c>
      <c r="L13" s="2">
        <f>SUM(L10,L11)</f>
        <v>2.7800000000000002</v>
      </c>
    </row>
    <row r="14" spans="1:31">
      <c r="A14" s="2" t="s">
        <v>71</v>
      </c>
      <c r="J14" s="2">
        <v>1.57</v>
      </c>
      <c r="K14" s="2">
        <v>0.78</v>
      </c>
    </row>
    <row r="15" spans="1:31">
      <c r="A15" s="2" t="s">
        <v>72</v>
      </c>
      <c r="G15" s="2">
        <v>-1.53</v>
      </c>
      <c r="H15" s="2">
        <v>7.0000000000000007E-2</v>
      </c>
      <c r="K15" s="2">
        <v>-6.92</v>
      </c>
      <c r="L15" s="2">
        <v>-8.7100000000000009</v>
      </c>
    </row>
    <row r="16" spans="1:31">
      <c r="A16" s="2" t="s">
        <v>73</v>
      </c>
      <c r="C16" s="2">
        <v>0.86</v>
      </c>
      <c r="D16" s="2">
        <v>-1.46</v>
      </c>
      <c r="E16" s="2">
        <v>-0.22</v>
      </c>
      <c r="F16" s="2">
        <v>-7.0000000000000007E-2</v>
      </c>
      <c r="G16" s="2">
        <v>1.75</v>
      </c>
      <c r="H16" s="2">
        <v>7.0000000000000007E-2</v>
      </c>
      <c r="I16" s="2">
        <v>-2.17</v>
      </c>
      <c r="J16" s="2">
        <v>-2.12</v>
      </c>
      <c r="K16" s="2">
        <v>4.22</v>
      </c>
    </row>
    <row r="17" spans="1:12">
      <c r="A17" s="2" t="s">
        <v>74</v>
      </c>
      <c r="C17" s="2">
        <v>-1.27</v>
      </c>
      <c r="F17" s="2">
        <v>-1.75</v>
      </c>
      <c r="G17" s="2">
        <v>1.75</v>
      </c>
    </row>
    <row r="18" spans="1:12" ht="16" customHeight="1">
      <c r="A18" s="2" t="s">
        <v>75</v>
      </c>
      <c r="C18" s="2">
        <v>1.6</v>
      </c>
      <c r="D18" s="2">
        <v>1.97</v>
      </c>
      <c r="E18" s="2">
        <v>2.88</v>
      </c>
      <c r="F18" s="2">
        <v>3.05</v>
      </c>
      <c r="G18" s="2">
        <v>4.41</v>
      </c>
      <c r="H18" s="2">
        <v>8.6199999999999992</v>
      </c>
      <c r="I18" s="2">
        <v>21.19</v>
      </c>
      <c r="J18" s="2">
        <v>20.32</v>
      </c>
      <c r="K18" s="2">
        <v>23.06</v>
      </c>
      <c r="L18" s="2">
        <v>25.05</v>
      </c>
    </row>
    <row r="19" spans="1:12">
      <c r="A19" s="2" t="s">
        <v>76</v>
      </c>
      <c r="C19" s="2">
        <v>0.31</v>
      </c>
      <c r="D19" s="2">
        <v>11.53</v>
      </c>
      <c r="E19" s="2">
        <v>2.37</v>
      </c>
      <c r="F19" s="2">
        <v>4.5599999999999996</v>
      </c>
      <c r="G19" s="2">
        <v>10.27</v>
      </c>
      <c r="H19" s="2">
        <v>0.92</v>
      </c>
      <c r="I19" s="2">
        <v>-4.87</v>
      </c>
      <c r="J19" s="2">
        <v>-0.9</v>
      </c>
      <c r="K19" s="2">
        <v>6.6</v>
      </c>
      <c r="L19" s="2">
        <v>19.13</v>
      </c>
    </row>
    <row r="21" spans="1:12">
      <c r="A21" s="2" t="s">
        <v>77</v>
      </c>
      <c r="C21" s="2">
        <v>5.12</v>
      </c>
      <c r="D21" s="2">
        <v>-3</v>
      </c>
      <c r="E21" s="2">
        <v>-0.34</v>
      </c>
      <c r="F21" s="2">
        <v>2.75</v>
      </c>
      <c r="G21" s="2">
        <v>7.63</v>
      </c>
      <c r="H21" s="2">
        <v>-5.81</v>
      </c>
      <c r="I21" s="2">
        <v>9.19</v>
      </c>
      <c r="J21" s="2">
        <v>-7.94</v>
      </c>
      <c r="K21" s="2">
        <v>-2.96</v>
      </c>
      <c r="L21" s="2">
        <v>3.37</v>
      </c>
    </row>
    <row r="23" spans="1:12">
      <c r="A23" s="2" t="s">
        <v>78</v>
      </c>
      <c r="C23" s="2">
        <v>-2.56</v>
      </c>
      <c r="D23" s="2">
        <v>-97.55</v>
      </c>
      <c r="E23" s="2">
        <v>16.95</v>
      </c>
      <c r="F23" s="2">
        <v>-2.81</v>
      </c>
      <c r="G23" s="2">
        <v>44.32</v>
      </c>
      <c r="H23" s="2">
        <v>28.37</v>
      </c>
      <c r="I23" s="2">
        <v>30.2</v>
      </c>
      <c r="J23" s="2">
        <v>2.94</v>
      </c>
      <c r="K23" s="2">
        <v>-96.66</v>
      </c>
      <c r="L23" s="2">
        <v>-341.12</v>
      </c>
    </row>
    <row r="25" spans="1:12">
      <c r="A25" s="2" t="s">
        <v>79</v>
      </c>
      <c r="C25" s="2">
        <v>10.56</v>
      </c>
      <c r="D25" s="2">
        <v>-86.52</v>
      </c>
      <c r="E25" s="2">
        <v>15.98</v>
      </c>
      <c r="F25" s="2">
        <v>17.72</v>
      </c>
      <c r="G25" s="2">
        <v>68.510000000000005</v>
      </c>
      <c r="H25" s="2">
        <v>43.09</v>
      </c>
      <c r="I25" s="2">
        <v>92.8</v>
      </c>
      <c r="J25" s="2">
        <f>SUM(J8,J14,J13,,J15,J16,J17,J18,J19,J21,J23)</f>
        <v>43.6</v>
      </c>
      <c r="K25" s="2">
        <v>-11.14</v>
      </c>
      <c r="L25" s="2">
        <f>SUM(L8,L14,L13,,L15,L16,L17,L18,L19,L21,L23)</f>
        <v>-266.81</v>
      </c>
    </row>
    <row r="27" spans="1:12">
      <c r="A27" s="2" t="s">
        <v>80</v>
      </c>
      <c r="C27" s="2">
        <v>2.56</v>
      </c>
      <c r="D27" s="2">
        <v>-100.55</v>
      </c>
      <c r="E27" s="2">
        <v>16.61</v>
      </c>
      <c r="F27" s="2">
        <v>-0.06</v>
      </c>
      <c r="G27" s="2">
        <v>51.94</v>
      </c>
      <c r="H27" s="2">
        <v>22.57</v>
      </c>
      <c r="I27" s="2">
        <v>39.39</v>
      </c>
      <c r="J27" s="2">
        <v>-5</v>
      </c>
      <c r="K27" s="2">
        <v>-99.62</v>
      </c>
      <c r="L27" s="2">
        <v>-337.75</v>
      </c>
    </row>
    <row r="28" spans="1:12">
      <c r="A28" s="2" t="s">
        <v>81</v>
      </c>
      <c r="C28" s="2">
        <v>-3.75</v>
      </c>
      <c r="D28" s="2">
        <v>-0.51</v>
      </c>
      <c r="E28" s="2">
        <v>-0.4</v>
      </c>
      <c r="F28" s="2">
        <v>-0.37</v>
      </c>
      <c r="G28" s="2">
        <v>-7.0000000000000007E-2</v>
      </c>
      <c r="H28" s="2">
        <v>-0.27</v>
      </c>
      <c r="I28" s="2">
        <v>-1.73</v>
      </c>
      <c r="J28" s="2">
        <v>-2.96</v>
      </c>
      <c r="K28" s="2">
        <v>-3.47</v>
      </c>
      <c r="L28" s="2">
        <v>-1.63</v>
      </c>
    </row>
    <row r="29" spans="1:12">
      <c r="A29" s="2" t="s">
        <v>82</v>
      </c>
      <c r="I29" s="2">
        <v>-16.559999999999999</v>
      </c>
      <c r="K29" s="2">
        <v>-0.2</v>
      </c>
    </row>
    <row r="30" spans="1:12">
      <c r="A30" s="2" t="s">
        <v>83</v>
      </c>
      <c r="C30" s="2">
        <v>-0.26</v>
      </c>
      <c r="D30" s="2">
        <v>-0.86</v>
      </c>
      <c r="E30" s="2">
        <v>-0.8</v>
      </c>
      <c r="F30" s="2">
        <v>-1.31</v>
      </c>
      <c r="G30" s="2">
        <v>-1.28</v>
      </c>
      <c r="H30" s="2">
        <v>-0.33</v>
      </c>
      <c r="I30" s="2">
        <v>-1.81</v>
      </c>
      <c r="J30" s="2">
        <v>-2.33</v>
      </c>
      <c r="K30" s="2">
        <v>-2.21</v>
      </c>
      <c r="L30" s="2">
        <v>-3.66</v>
      </c>
    </row>
    <row r="31" spans="1:12">
      <c r="A31" s="2" t="s">
        <v>84</v>
      </c>
      <c r="J31" s="2">
        <v>-40</v>
      </c>
      <c r="L31" s="2">
        <v>-1</v>
      </c>
    </row>
    <row r="32" spans="1:12">
      <c r="A32" s="2" t="s">
        <v>85</v>
      </c>
      <c r="C32" s="2">
        <v>-7.3</v>
      </c>
      <c r="D32" s="2">
        <v>106.08</v>
      </c>
      <c r="E32" s="2">
        <v>12.47</v>
      </c>
      <c r="F32" s="2">
        <v>2.11</v>
      </c>
      <c r="G32" s="2">
        <v>6.8</v>
      </c>
      <c r="H32" s="2">
        <v>-1.62</v>
      </c>
      <c r="I32" s="2">
        <v>-23.73</v>
      </c>
      <c r="J32" s="2">
        <v>-41.88</v>
      </c>
      <c r="K32" s="2">
        <v>-16.239999999999998</v>
      </c>
      <c r="L32" s="2">
        <v>9.4</v>
      </c>
    </row>
    <row r="33" spans="1:12">
      <c r="A33" s="2" t="s">
        <v>86</v>
      </c>
      <c r="C33" s="2">
        <v>3.23</v>
      </c>
      <c r="D33" s="2">
        <v>4.0199999999999996</v>
      </c>
      <c r="E33" s="2">
        <v>3.59</v>
      </c>
      <c r="F33" s="2">
        <v>3.69</v>
      </c>
      <c r="G33" s="2">
        <v>3.36</v>
      </c>
      <c r="H33" s="2">
        <v>3.12</v>
      </c>
      <c r="I33" s="2">
        <v>3.23</v>
      </c>
      <c r="J33" s="2">
        <v>2.77</v>
      </c>
      <c r="K33" s="2">
        <v>2.34</v>
      </c>
      <c r="L33" s="2">
        <v>2.0699999999999998</v>
      </c>
    </row>
    <row r="34" spans="1:12">
      <c r="A34" s="2" t="s">
        <v>87</v>
      </c>
      <c r="C34" s="2">
        <v>-8.09</v>
      </c>
      <c r="D34" s="2">
        <v>108.74</v>
      </c>
      <c r="E34" s="2">
        <v>14.86</v>
      </c>
      <c r="F34" s="2">
        <v>4.1100000000000003</v>
      </c>
      <c r="G34" s="2">
        <v>8.81</v>
      </c>
      <c r="H34" s="2">
        <v>0.9</v>
      </c>
      <c r="I34" s="2">
        <v>-40.6</v>
      </c>
      <c r="J34" s="2">
        <v>-84.4</v>
      </c>
      <c r="K34" s="2">
        <v>-19.78</v>
      </c>
      <c r="L34" s="2">
        <v>5.18</v>
      </c>
    </row>
    <row r="35" spans="1:12">
      <c r="A35" s="2" t="s">
        <v>88</v>
      </c>
      <c r="C35" s="2">
        <v>42.66</v>
      </c>
      <c r="D35" s="2">
        <v>64.84</v>
      </c>
      <c r="E35" s="2">
        <v>11.16</v>
      </c>
      <c r="F35" s="2">
        <v>5.76</v>
      </c>
      <c r="G35" s="2">
        <v>10.3</v>
      </c>
      <c r="H35" s="2">
        <v>5.83</v>
      </c>
      <c r="J35" s="2">
        <v>661.25</v>
      </c>
      <c r="K35" s="2">
        <v>51.34</v>
      </c>
      <c r="L35" s="2">
        <v>80</v>
      </c>
    </row>
    <row r="36" spans="1:12">
      <c r="A36" s="2" t="s">
        <v>89</v>
      </c>
      <c r="C36" s="2">
        <v>-63.69</v>
      </c>
      <c r="D36" s="2">
        <v>-94.75</v>
      </c>
      <c r="E36" s="2">
        <v>-18.22</v>
      </c>
      <c r="F36" s="2">
        <v>-12.99</v>
      </c>
      <c r="G36" s="2">
        <v>-48.28</v>
      </c>
      <c r="H36" s="2">
        <v>-26.58</v>
      </c>
      <c r="I36" s="2">
        <v>-35.869999999999997</v>
      </c>
      <c r="J36" s="2">
        <v>-2.96</v>
      </c>
      <c r="K36" s="2">
        <v>-5.9</v>
      </c>
      <c r="L36" s="2">
        <v>-6.99</v>
      </c>
    </row>
    <row r="37" spans="1:12">
      <c r="A37" s="2" t="s">
        <v>90</v>
      </c>
      <c r="C37" s="2">
        <v>0.17</v>
      </c>
      <c r="D37" s="2">
        <v>0.19</v>
      </c>
      <c r="E37" s="2">
        <v>0.02</v>
      </c>
      <c r="F37" s="2">
        <v>0.31</v>
      </c>
      <c r="G37" s="2">
        <v>161.34</v>
      </c>
      <c r="H37" s="2">
        <v>1.49</v>
      </c>
      <c r="I37" s="2">
        <v>265.37</v>
      </c>
      <c r="J37" s="2">
        <v>10.99</v>
      </c>
      <c r="K37" s="2">
        <v>4.96</v>
      </c>
      <c r="L37" s="2">
        <v>10.06</v>
      </c>
    </row>
    <row r="38" spans="1:12">
      <c r="A38" s="2" t="s">
        <v>91</v>
      </c>
      <c r="I38" s="2">
        <v>-0.24</v>
      </c>
    </row>
    <row r="39" spans="1:12">
      <c r="A39" s="2" t="s">
        <v>92</v>
      </c>
      <c r="C39" s="2">
        <v>1.1299999999999999</v>
      </c>
      <c r="G39" s="2">
        <v>0.01</v>
      </c>
    </row>
    <row r="40" spans="1:12">
      <c r="A40" s="2" t="s">
        <v>93</v>
      </c>
      <c r="C40" s="2">
        <v>-0.66</v>
      </c>
    </row>
    <row r="41" spans="1:12">
      <c r="A41" s="2" t="s">
        <v>94</v>
      </c>
      <c r="C41" s="2">
        <v>-2.0699999999999998</v>
      </c>
      <c r="D41" s="2">
        <v>-0.38</v>
      </c>
      <c r="E41" s="2">
        <v>-0.24</v>
      </c>
      <c r="J41" s="2">
        <v>-74.25</v>
      </c>
    </row>
    <row r="42" spans="1:12">
      <c r="A42" s="2" t="s">
        <v>95</v>
      </c>
      <c r="C42" s="2">
        <v>-22.46</v>
      </c>
      <c r="D42" s="2">
        <v>-30.11</v>
      </c>
      <c r="E42" s="2">
        <v>-7.29</v>
      </c>
      <c r="F42" s="2">
        <v>-6.92</v>
      </c>
      <c r="G42" s="2">
        <v>123.36</v>
      </c>
      <c r="H42" s="2">
        <v>-19.260000000000002</v>
      </c>
      <c r="I42" s="2">
        <v>229.26</v>
      </c>
      <c r="J42" s="2">
        <v>595.03</v>
      </c>
      <c r="K42" s="2">
        <v>50.4</v>
      </c>
      <c r="L42" s="2">
        <v>83.07</v>
      </c>
    </row>
    <row r="43" spans="1:12">
      <c r="A43" s="2" t="s">
        <v>96</v>
      </c>
      <c r="C43" s="2">
        <v>-19.989999999999998</v>
      </c>
      <c r="D43" s="2">
        <v>-7.89</v>
      </c>
      <c r="E43" s="2">
        <v>23.55</v>
      </c>
      <c r="F43" s="2">
        <v>14.92</v>
      </c>
      <c r="G43" s="2">
        <v>200.69</v>
      </c>
      <c r="H43" s="2">
        <v>24.73</v>
      </c>
      <c r="I43" s="2">
        <v>281.47000000000003</v>
      </c>
      <c r="J43" s="2">
        <v>554.23</v>
      </c>
      <c r="K43" s="2">
        <v>19.48</v>
      </c>
      <c r="L43" s="2">
        <v>-178.55</v>
      </c>
    </row>
    <row r="44" spans="1:12">
      <c r="A44" s="2" t="s">
        <v>19</v>
      </c>
    </row>
    <row r="45" spans="1:12">
      <c r="A45" s="2" t="s">
        <v>97</v>
      </c>
      <c r="C45" s="2">
        <v>6.8</v>
      </c>
      <c r="D45" s="2">
        <v>-87.03</v>
      </c>
      <c r="E45" s="2">
        <v>15.58</v>
      </c>
      <c r="F45" s="2">
        <v>17.350000000000001</v>
      </c>
      <c r="G45" s="2">
        <v>68.44</v>
      </c>
      <c r="H45" s="2">
        <v>42.82</v>
      </c>
      <c r="I45" s="2">
        <v>91.07</v>
      </c>
      <c r="J45" s="2">
        <v>40.64</v>
      </c>
      <c r="K45" s="2">
        <v>-14.62</v>
      </c>
      <c r="L45" s="2">
        <v>-268.42</v>
      </c>
    </row>
    <row r="46" spans="1:12">
      <c r="A46" s="2" t="s">
        <v>1</v>
      </c>
      <c r="G46" s="19">
        <v>9.0589999999999993</v>
      </c>
      <c r="H46" s="19">
        <v>1.492</v>
      </c>
      <c r="I46" s="19">
        <v>4.8440000000000003</v>
      </c>
      <c r="J46" s="19">
        <v>1.343</v>
      </c>
      <c r="K46" s="19">
        <v>-1.214</v>
      </c>
      <c r="L46" s="19">
        <v>-7.2679999999999998</v>
      </c>
    </row>
    <row r="47" spans="1:12">
      <c r="A47" s="2" t="s">
        <v>98</v>
      </c>
      <c r="C47" s="19">
        <v>0.10199999999999999</v>
      </c>
      <c r="D47" s="19">
        <v>-1.294</v>
      </c>
      <c r="E47" s="19">
        <v>0.79500000000000004</v>
      </c>
      <c r="F47" s="19">
        <v>0.26</v>
      </c>
      <c r="G47" s="19">
        <v>0.78</v>
      </c>
      <c r="H47" s="19">
        <v>0.35</v>
      </c>
      <c r="I47" s="19">
        <v>0.46600000000000003</v>
      </c>
      <c r="J47" s="19">
        <v>0.17799999999999999</v>
      </c>
      <c r="K47" s="19">
        <v>-4.8000000000000001E-2</v>
      </c>
      <c r="L47" s="19">
        <v>-0.86299999999999999</v>
      </c>
    </row>
    <row r="48" spans="1:12">
      <c r="A48" s="2" t="s">
        <v>99</v>
      </c>
      <c r="C48" s="2">
        <v>122.24</v>
      </c>
      <c r="D48" s="2">
        <v>80.069999999999993</v>
      </c>
      <c r="E48" s="2">
        <v>80.069999999999993</v>
      </c>
      <c r="F48" s="2">
        <v>80.069999999999993</v>
      </c>
      <c r="G48" s="2">
        <v>80.069999999999993</v>
      </c>
      <c r="H48" s="2">
        <v>311.33</v>
      </c>
      <c r="I48" s="2">
        <v>311.33</v>
      </c>
      <c r="J48" s="2">
        <v>311.33</v>
      </c>
      <c r="K48" s="2">
        <v>311.33</v>
      </c>
      <c r="L48" s="6">
        <v>1191.24</v>
      </c>
    </row>
    <row r="49" spans="1:12">
      <c r="A49" s="2" t="s">
        <v>100</v>
      </c>
      <c r="C49" s="2">
        <v>80.069999999999993</v>
      </c>
      <c r="D49" s="2">
        <v>72.180000000000007</v>
      </c>
      <c r="E49" s="2">
        <v>95.73</v>
      </c>
      <c r="F49" s="2">
        <v>110.65</v>
      </c>
      <c r="G49" s="2">
        <v>311.33</v>
      </c>
      <c r="H49" s="2">
        <v>336.07</v>
      </c>
      <c r="I49" s="2">
        <v>617.53</v>
      </c>
      <c r="J49" s="6">
        <v>1171.76</v>
      </c>
      <c r="K49" s="6">
        <v>1191.24</v>
      </c>
      <c r="L49" s="6">
        <v>1012.69</v>
      </c>
    </row>
    <row r="50" spans="1:12">
      <c r="A50" s="2" t="s">
        <v>101</v>
      </c>
      <c r="C50" s="2">
        <v>4.3600000000000003</v>
      </c>
      <c r="D50" s="2">
        <v>3.26</v>
      </c>
      <c r="E50" s="2">
        <v>2.2599999999999998</v>
      </c>
      <c r="F50" s="2">
        <v>1.44</v>
      </c>
      <c r="G50" s="2">
        <v>1.07</v>
      </c>
      <c r="H50" s="2">
        <v>1.03</v>
      </c>
      <c r="I50" s="2">
        <v>1.5</v>
      </c>
      <c r="J50" s="2">
        <v>0.27</v>
      </c>
      <c r="K50" s="2">
        <v>0.48</v>
      </c>
      <c r="L50" s="2">
        <v>1.76</v>
      </c>
    </row>
    <row r="51" spans="1:12">
      <c r="A51" s="2" t="s">
        <v>102</v>
      </c>
      <c r="I51" s="2">
        <v>1.57</v>
      </c>
      <c r="J51" s="2">
        <v>0.68</v>
      </c>
      <c r="K51" s="2">
        <v>0.05</v>
      </c>
      <c r="L51" s="2">
        <v>0.02</v>
      </c>
    </row>
    <row r="52" spans="1:12">
      <c r="A52" s="2" t="s">
        <v>103</v>
      </c>
      <c r="C52" s="2">
        <v>0.45</v>
      </c>
      <c r="D52" s="2">
        <v>-6.01</v>
      </c>
      <c r="E52" s="2">
        <v>1.01</v>
      </c>
      <c r="F52" s="2">
        <v>1.0900000000000001</v>
      </c>
      <c r="G52" s="2">
        <v>2.58</v>
      </c>
      <c r="H52" s="2">
        <v>0.57999999999999996</v>
      </c>
      <c r="I52" s="2">
        <v>1.1599999999999999</v>
      </c>
      <c r="J52" s="2">
        <v>0.48</v>
      </c>
      <c r="K52" s="2">
        <v>-0.2</v>
      </c>
      <c r="L52" s="2">
        <v>-3.23</v>
      </c>
    </row>
  </sheetData>
  <conditionalFormatting sqref="B8:AB179">
    <cfRule type="cellIs" dxfId="2" priority="2" operator="lessThan">
      <formula>0</formula>
    </cfRule>
  </conditionalFormatting>
  <conditionalFormatting sqref="B8:AH179">
    <cfRule type="cellIs" dxfId="1" priority="1" operator="less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780C8-AF43-4A40-B8A8-4E5FCC5229AE}">
  <dimension ref="A1:Z71"/>
  <sheetViews>
    <sheetView workbookViewId="0">
      <pane xSplit="1" ySplit="8" topLeftCell="B9" activePane="bottomRight" state="frozen"/>
      <selection pane="topRight" activeCell="B1" sqref="B1"/>
      <selection pane="bottomLeft" activeCell="A9" sqref="A9"/>
      <selection pane="bottomRight" activeCell="I22" sqref="I22"/>
    </sheetView>
  </sheetViews>
  <sheetFormatPr baseColWidth="10" defaultRowHeight="17"/>
  <cols>
    <col min="1" max="1" width="28" style="2" bestFit="1" customWidth="1"/>
    <col min="2" max="2" width="11.33203125" style="2" bestFit="1" customWidth="1"/>
    <col min="3" max="5" width="10.1640625" style="2" bestFit="1" customWidth="1"/>
    <col min="6" max="6" width="11.33203125" style="2" bestFit="1" customWidth="1"/>
    <col min="7" max="7" width="11" style="2" bestFit="1" customWidth="1"/>
    <col min="8" max="9" width="10" style="2" bestFit="1" customWidth="1"/>
    <col min="10" max="10" width="11.1640625" style="2" bestFit="1" customWidth="1"/>
    <col min="11" max="11" width="10" style="2" bestFit="1" customWidth="1"/>
    <col min="12" max="12" width="9.1640625" style="2" bestFit="1" customWidth="1"/>
    <col min="13" max="16384" width="10.83203125" style="2"/>
  </cols>
  <sheetData>
    <row r="1" spans="1:26" ht="81" customHeight="1">
      <c r="A1" s="1" t="s">
        <v>135</v>
      </c>
    </row>
    <row r="2" spans="1:26" ht="28">
      <c r="A2" s="3" t="s">
        <v>134</v>
      </c>
    </row>
    <row r="3" spans="1:26" ht="28" hidden="1">
      <c r="A3" s="3" t="e" vm="1">
        <v>#VALUE!</v>
      </c>
    </row>
    <row r="4" spans="1:26">
      <c r="A4" s="2" t="s">
        <v>133</v>
      </c>
    </row>
    <row r="5" spans="1:26">
      <c r="A5" s="7" cm="1">
        <f t="array" ref="A5">_FV(A3,"Price")</f>
        <v>22.695</v>
      </c>
    </row>
    <row r="7" spans="1:26">
      <c r="B7" s="10" t="s">
        <v>109</v>
      </c>
      <c r="C7" s="8" t="s">
        <v>110</v>
      </c>
      <c r="D7" s="8" t="s">
        <v>111</v>
      </c>
      <c r="E7" s="8" t="s">
        <v>112</v>
      </c>
      <c r="F7" s="8" t="s">
        <v>113</v>
      </c>
      <c r="G7" s="8" t="s">
        <v>114</v>
      </c>
      <c r="H7" s="8" t="s">
        <v>115</v>
      </c>
      <c r="I7" s="8" t="s">
        <v>116</v>
      </c>
      <c r="J7" s="8" t="s">
        <v>117</v>
      </c>
      <c r="K7" s="8" t="s">
        <v>118</v>
      </c>
      <c r="L7" s="8" t="s">
        <v>119</v>
      </c>
      <c r="M7" s="8" t="s">
        <v>120</v>
      </c>
      <c r="N7" s="8" t="s">
        <v>121</v>
      </c>
      <c r="O7" s="8" t="s">
        <v>122</v>
      </c>
      <c r="P7" s="8" t="s">
        <v>123</v>
      </c>
      <c r="Q7" s="8" t="s">
        <v>124</v>
      </c>
      <c r="R7" s="9" t="s">
        <v>125</v>
      </c>
      <c r="V7" s="10" t="s">
        <v>126</v>
      </c>
      <c r="W7" s="8" t="s">
        <v>127</v>
      </c>
      <c r="X7" s="8" t="s">
        <v>129</v>
      </c>
      <c r="Y7" s="8" t="s">
        <v>130</v>
      </c>
      <c r="Z7" s="9" t="s">
        <v>131</v>
      </c>
    </row>
    <row r="8" spans="1:26">
      <c r="A8" s="5" t="s">
        <v>138</v>
      </c>
      <c r="B8" s="18">
        <v>44196</v>
      </c>
      <c r="C8" s="11">
        <v>44286</v>
      </c>
      <c r="D8" s="11">
        <v>44377</v>
      </c>
      <c r="E8" s="11">
        <v>44469</v>
      </c>
      <c r="F8" s="11">
        <v>44561</v>
      </c>
      <c r="G8" s="11">
        <v>44651</v>
      </c>
      <c r="H8" s="11">
        <f>D8+365</f>
        <v>44742</v>
      </c>
      <c r="I8" s="11">
        <f t="shared" ref="I8:N8" si="0">E8+365</f>
        <v>44834</v>
      </c>
      <c r="J8" s="11">
        <f t="shared" si="0"/>
        <v>44926</v>
      </c>
      <c r="K8" s="11">
        <f t="shared" si="0"/>
        <v>45016</v>
      </c>
      <c r="L8" s="11">
        <f t="shared" si="0"/>
        <v>45107</v>
      </c>
      <c r="M8" s="11">
        <f t="shared" si="0"/>
        <v>45199</v>
      </c>
      <c r="N8" s="11">
        <f t="shared" si="0"/>
        <v>45291</v>
      </c>
      <c r="O8" s="11">
        <f>K8+366</f>
        <v>45382</v>
      </c>
      <c r="P8" s="11">
        <f t="shared" ref="P8:R8" si="1">L8+366</f>
        <v>45473</v>
      </c>
      <c r="Q8" s="11">
        <f t="shared" si="1"/>
        <v>45565</v>
      </c>
      <c r="R8" s="12">
        <f t="shared" si="1"/>
        <v>45657</v>
      </c>
      <c r="V8" s="13" t="s">
        <v>128</v>
      </c>
      <c r="W8" s="14" t="s">
        <v>128</v>
      </c>
      <c r="X8" s="14" t="s">
        <v>128</v>
      </c>
      <c r="Y8" s="14" t="s">
        <v>132</v>
      </c>
      <c r="Z8" s="15" t="s">
        <v>128</v>
      </c>
    </row>
    <row r="10" spans="1:26">
      <c r="A10" s="2" t="s">
        <v>139</v>
      </c>
      <c r="B10" s="2">
        <v>86.71</v>
      </c>
      <c r="C10" s="2">
        <v>121.35</v>
      </c>
      <c r="D10" s="2">
        <v>193.95</v>
      </c>
      <c r="E10" s="2">
        <v>228.45</v>
      </c>
      <c r="F10" s="2">
        <v>304.85000000000002</v>
      </c>
      <c r="G10" s="2">
        <v>310.14</v>
      </c>
      <c r="H10" s="2">
        <v>237.33</v>
      </c>
      <c r="I10" s="2">
        <v>254.33</v>
      </c>
      <c r="J10" s="2">
        <v>271.82</v>
      </c>
      <c r="K10" s="2">
        <v>340.33</v>
      </c>
      <c r="L10" s="19"/>
    </row>
    <row r="11" spans="1:26">
      <c r="A11" s="2" t="s">
        <v>1</v>
      </c>
      <c r="F11" s="19">
        <v>2.516</v>
      </c>
      <c r="G11" s="19">
        <v>1.556</v>
      </c>
      <c r="H11" s="19">
        <v>0.224</v>
      </c>
      <c r="I11" s="19">
        <v>0.113</v>
      </c>
      <c r="J11" s="19">
        <v>-0.108</v>
      </c>
      <c r="K11" s="19">
        <v>9.7000000000000003E-2</v>
      </c>
    </row>
    <row r="12" spans="1:26">
      <c r="F12" s="19"/>
      <c r="G12" s="19"/>
      <c r="H12" s="19"/>
      <c r="I12" s="19"/>
      <c r="J12" s="19"/>
      <c r="K12" s="19"/>
    </row>
    <row r="13" spans="1:26">
      <c r="A13" s="2" t="s">
        <v>23</v>
      </c>
      <c r="B13" s="2">
        <v>15.5</v>
      </c>
      <c r="C13" s="2">
        <v>21</v>
      </c>
      <c r="D13" s="2">
        <v>59.5</v>
      </c>
      <c r="E13" s="2">
        <v>29.14</v>
      </c>
      <c r="F13" s="2">
        <v>91.01</v>
      </c>
      <c r="G13" s="2">
        <v>62.59</v>
      </c>
      <c r="H13" s="2">
        <v>16.940000000000001</v>
      </c>
      <c r="I13" s="2">
        <v>32.21</v>
      </c>
      <c r="J13" s="2">
        <v>43.96</v>
      </c>
      <c r="K13" s="2">
        <v>43.72</v>
      </c>
      <c r="L13" s="19"/>
    </row>
    <row r="14" spans="1:26">
      <c r="A14" s="2" t="s">
        <v>1</v>
      </c>
      <c r="F14" s="19">
        <v>4.87</v>
      </c>
      <c r="G14" s="19">
        <v>1.9810000000000001</v>
      </c>
      <c r="H14" s="19">
        <v>-0.71499999999999997</v>
      </c>
      <c r="I14" s="19">
        <v>0.105</v>
      </c>
      <c r="J14" s="19">
        <v>-0.51700000000000002</v>
      </c>
      <c r="K14" s="19">
        <v>-0.30099999999999999</v>
      </c>
    </row>
    <row r="15" spans="1:26">
      <c r="A15" s="2" t="s">
        <v>140</v>
      </c>
      <c r="B15" s="19">
        <v>0.17899999999999999</v>
      </c>
      <c r="C15" s="19">
        <v>0.17299999999999999</v>
      </c>
      <c r="D15" s="19">
        <v>0.307</v>
      </c>
      <c r="E15" s="19">
        <v>0.128</v>
      </c>
      <c r="F15" s="19">
        <v>0.29899999999999999</v>
      </c>
      <c r="G15" s="19">
        <v>0.20200000000000001</v>
      </c>
      <c r="H15" s="19">
        <v>7.0999999999999994E-2</v>
      </c>
      <c r="I15" s="19">
        <v>0.127</v>
      </c>
      <c r="J15" s="19">
        <v>0.16200000000000001</v>
      </c>
      <c r="K15" s="19">
        <v>0.128</v>
      </c>
      <c r="L15" s="19"/>
    </row>
    <row r="16" spans="1:26">
      <c r="B16" s="19"/>
      <c r="C16" s="19"/>
      <c r="D16" s="19"/>
      <c r="E16" s="19"/>
      <c r="F16" s="19"/>
      <c r="G16" s="19"/>
      <c r="H16" s="19"/>
      <c r="I16" s="19"/>
      <c r="J16" s="19"/>
      <c r="K16" s="19"/>
      <c r="L16" s="19"/>
    </row>
    <row r="17" spans="1:12">
      <c r="A17" s="2" t="s">
        <v>141</v>
      </c>
      <c r="B17" s="2">
        <v>10.39</v>
      </c>
      <c r="C17" s="2">
        <v>15.57</v>
      </c>
      <c r="D17" s="2">
        <v>36.29</v>
      </c>
      <c r="E17" s="2">
        <v>28.6</v>
      </c>
      <c r="F17" s="2">
        <v>60.41</v>
      </c>
      <c r="G17" s="2">
        <v>34.83</v>
      </c>
      <c r="H17" s="2">
        <v>-12.94</v>
      </c>
      <c r="I17" s="2">
        <v>0.64</v>
      </c>
      <c r="J17" s="2">
        <v>12.4</v>
      </c>
      <c r="K17" s="2">
        <v>15.15</v>
      </c>
      <c r="L17" s="19"/>
    </row>
    <row r="18" spans="1:12">
      <c r="A18" s="2" t="s">
        <v>1</v>
      </c>
      <c r="F18" s="19">
        <v>4.8129999999999997</v>
      </c>
      <c r="G18" s="19">
        <v>1.2370000000000001</v>
      </c>
      <c r="H18" s="19">
        <v>-1.357</v>
      </c>
      <c r="I18" s="19">
        <v>-0.97799999999999998</v>
      </c>
      <c r="J18" s="19">
        <v>-0.79500000000000004</v>
      </c>
      <c r="K18" s="19">
        <v>-0.56499999999999995</v>
      </c>
    </row>
    <row r="19" spans="1:12">
      <c r="A19" s="2" t="s">
        <v>142</v>
      </c>
      <c r="B19" s="19">
        <v>0.12</v>
      </c>
      <c r="C19" s="19">
        <v>0.128</v>
      </c>
      <c r="D19" s="19">
        <v>0.187</v>
      </c>
      <c r="E19" s="19">
        <v>0.125</v>
      </c>
      <c r="F19" s="19">
        <v>0.19800000000000001</v>
      </c>
      <c r="G19" s="19">
        <v>0.112</v>
      </c>
      <c r="H19" s="19">
        <v>-5.5E-2</v>
      </c>
      <c r="I19" s="19">
        <v>3.0000000000000001E-3</v>
      </c>
      <c r="J19" s="19">
        <v>4.5999999999999999E-2</v>
      </c>
      <c r="K19" s="19">
        <v>4.4999999999999998E-2</v>
      </c>
      <c r="L19" s="19"/>
    </row>
    <row r="20" spans="1:12">
      <c r="B20" s="19"/>
      <c r="C20" s="19"/>
      <c r="D20" s="19"/>
      <c r="E20" s="19"/>
      <c r="F20" s="19"/>
      <c r="G20" s="19"/>
      <c r="H20" s="19"/>
      <c r="I20" s="19"/>
      <c r="J20" s="19"/>
      <c r="K20" s="19"/>
      <c r="L20" s="19"/>
    </row>
    <row r="21" spans="1:12">
      <c r="A21" s="2" t="s">
        <v>143</v>
      </c>
      <c r="B21" s="2">
        <v>5.44</v>
      </c>
      <c r="C21" s="2">
        <v>19.940000000000001</v>
      </c>
      <c r="D21" s="2">
        <v>58.49</v>
      </c>
      <c r="E21" s="2">
        <v>57.47</v>
      </c>
      <c r="F21" s="2">
        <v>86.96</v>
      </c>
      <c r="G21" s="2">
        <v>58.62</v>
      </c>
      <c r="H21" s="2">
        <v>22.89</v>
      </c>
      <c r="I21" s="2">
        <v>35.869999999999997</v>
      </c>
      <c r="J21" s="2">
        <v>47.65</v>
      </c>
      <c r="K21" s="2">
        <v>39.44</v>
      </c>
      <c r="L21" s="19"/>
    </row>
    <row r="22" spans="1:12">
      <c r="A22" s="2" t="s">
        <v>1</v>
      </c>
      <c r="F22" s="19">
        <v>14.991</v>
      </c>
      <c r="G22" s="19">
        <v>1.9390000000000001</v>
      </c>
      <c r="H22" s="19">
        <v>-0.60899999999999999</v>
      </c>
      <c r="I22" s="19">
        <v>-0.376</v>
      </c>
      <c r="J22" s="19">
        <v>-0.45200000000000001</v>
      </c>
      <c r="K22" s="19">
        <v>-0.32700000000000001</v>
      </c>
    </row>
    <row r="23" spans="1:12">
      <c r="A23" s="2" t="s">
        <v>144</v>
      </c>
      <c r="B23" s="19">
        <v>6.3E-2</v>
      </c>
      <c r="C23" s="19">
        <v>0.16400000000000001</v>
      </c>
      <c r="D23" s="19">
        <v>0.30199999999999999</v>
      </c>
      <c r="E23" s="19">
        <v>0.252</v>
      </c>
      <c r="F23" s="19">
        <v>0.28499999999999998</v>
      </c>
      <c r="G23" s="19">
        <v>0.189</v>
      </c>
      <c r="H23" s="19">
        <v>9.6000000000000002E-2</v>
      </c>
      <c r="I23" s="19">
        <v>0.14099999999999999</v>
      </c>
      <c r="J23" s="19">
        <v>0.17499999999999999</v>
      </c>
      <c r="K23" s="19">
        <v>0.11600000000000001</v>
      </c>
      <c r="L23" s="19"/>
    </row>
    <row r="24" spans="1:12">
      <c r="B24" s="19"/>
      <c r="C24" s="19"/>
      <c r="D24" s="19"/>
      <c r="E24" s="19"/>
      <c r="F24" s="19"/>
      <c r="G24" s="19"/>
      <c r="H24" s="19"/>
      <c r="I24" s="19"/>
      <c r="J24" s="19"/>
      <c r="K24" s="19"/>
      <c r="L24" s="19"/>
    </row>
    <row r="25" spans="1:12">
      <c r="A25" s="2" t="s">
        <v>145</v>
      </c>
      <c r="B25" s="2">
        <v>7.0000000000000007E-2</v>
      </c>
      <c r="C25" s="2">
        <v>0.22</v>
      </c>
      <c r="D25" s="2">
        <v>0.62</v>
      </c>
      <c r="E25" s="2">
        <v>0.6</v>
      </c>
      <c r="F25" s="2">
        <v>0.89</v>
      </c>
      <c r="G25" s="2">
        <v>0.61</v>
      </c>
      <c r="H25" s="2">
        <v>0.2</v>
      </c>
      <c r="I25" s="2">
        <v>0.31</v>
      </c>
      <c r="J25" s="2">
        <v>0.42</v>
      </c>
      <c r="K25" s="2">
        <v>0.49</v>
      </c>
      <c r="L25" s="19"/>
    </row>
    <row r="26" spans="1:12">
      <c r="A26" s="2" t="s">
        <v>1</v>
      </c>
      <c r="F26" s="19">
        <v>11.714</v>
      </c>
      <c r="G26" s="19">
        <v>1.7729999999999999</v>
      </c>
      <c r="H26" s="19">
        <v>-0.66900000000000004</v>
      </c>
      <c r="I26" s="19">
        <v>-0.48399999999999999</v>
      </c>
      <c r="J26" s="19">
        <v>-0.52900000000000003</v>
      </c>
      <c r="K26" s="19">
        <v>-0.192</v>
      </c>
    </row>
    <row r="27" spans="1:12">
      <c r="F27" s="19"/>
      <c r="G27" s="19"/>
      <c r="H27" s="19"/>
      <c r="I27" s="19"/>
      <c r="J27" s="19"/>
      <c r="K27" s="19"/>
    </row>
    <row r="28" spans="1:12">
      <c r="A28" s="2" t="s">
        <v>146</v>
      </c>
      <c r="B28" s="2">
        <v>0.01</v>
      </c>
      <c r="C28" s="2">
        <v>0.11</v>
      </c>
      <c r="D28" s="2">
        <v>0.39</v>
      </c>
      <c r="E28" s="2">
        <v>0.3</v>
      </c>
      <c r="F28" s="2">
        <v>0.61</v>
      </c>
      <c r="G28" s="2">
        <v>0.34</v>
      </c>
      <c r="H28" s="2">
        <v>-0.17</v>
      </c>
      <c r="I28" s="2">
        <v>7.0000000000000007E-2</v>
      </c>
      <c r="J28" s="2">
        <v>0.12</v>
      </c>
      <c r="K28" s="2">
        <v>0.21</v>
      </c>
      <c r="L28" s="19"/>
    </row>
    <row r="29" spans="1:12">
      <c r="A29" s="2" t="s">
        <v>1</v>
      </c>
      <c r="F29" s="19">
        <v>42.570999999999998</v>
      </c>
      <c r="G29" s="19">
        <v>2.0910000000000002</v>
      </c>
      <c r="H29" s="19">
        <v>-1.4359999999999999</v>
      </c>
      <c r="I29" s="19">
        <v>-0.75600000000000001</v>
      </c>
      <c r="J29" s="19">
        <v>-0.79800000000000004</v>
      </c>
      <c r="K29" s="19">
        <v>-0.38200000000000001</v>
      </c>
    </row>
    <row r="30" spans="1:12">
      <c r="F30" s="19"/>
      <c r="G30" s="19"/>
      <c r="H30" s="19"/>
      <c r="I30" s="19"/>
      <c r="J30" s="19"/>
      <c r="K30" s="19"/>
    </row>
    <row r="31" spans="1:12">
      <c r="A31" s="2" t="s">
        <v>97</v>
      </c>
      <c r="B31" s="2">
        <v>68.44</v>
      </c>
      <c r="C31" s="2">
        <v>19.95</v>
      </c>
      <c r="G31" s="2">
        <v>-272.08</v>
      </c>
      <c r="H31" s="2">
        <v>-177.5</v>
      </c>
      <c r="I31" s="2">
        <v>38.5</v>
      </c>
      <c r="J31" s="2">
        <v>-40.200000000000003</v>
      </c>
      <c r="K31" s="2">
        <v>55.4</v>
      </c>
      <c r="L31" s="19"/>
    </row>
    <row r="32" spans="1:12">
      <c r="A32" s="2" t="s">
        <v>1</v>
      </c>
      <c r="G32" s="19">
        <v>-14.635</v>
      </c>
      <c r="K32" s="19">
        <v>1.204</v>
      </c>
    </row>
    <row r="33" spans="1:12">
      <c r="G33" s="19"/>
      <c r="K33" s="19"/>
    </row>
    <row r="34" spans="1:12" s="17" customFormat="1">
      <c r="A34" s="16" t="s">
        <v>160</v>
      </c>
    </row>
    <row r="36" spans="1:12">
      <c r="A36" s="2" t="s">
        <v>147</v>
      </c>
      <c r="B36" s="2">
        <v>85.25</v>
      </c>
      <c r="C36" s="2">
        <v>85.67</v>
      </c>
      <c r="D36" s="2">
        <v>87.54</v>
      </c>
      <c r="E36" s="2">
        <v>84.69</v>
      </c>
      <c r="F36" s="2">
        <v>86.53</v>
      </c>
      <c r="G36" s="2">
        <v>84.39</v>
      </c>
      <c r="H36" s="2">
        <v>83.2</v>
      </c>
      <c r="I36" s="2">
        <v>85.2</v>
      </c>
      <c r="J36" s="2">
        <v>85.7</v>
      </c>
    </row>
    <row r="38" spans="1:12">
      <c r="A38" s="2" t="s">
        <v>6</v>
      </c>
      <c r="G38" s="2">
        <v>-1.76</v>
      </c>
      <c r="H38" s="2">
        <v>-0.88</v>
      </c>
      <c r="I38" s="2">
        <v>-0.82</v>
      </c>
      <c r="J38" s="2">
        <v>-0.83</v>
      </c>
      <c r="K38" s="2">
        <v>-1.17</v>
      </c>
    </row>
    <row r="40" spans="1:12">
      <c r="A40" s="2" t="s">
        <v>68</v>
      </c>
      <c r="B40" s="2">
        <v>0.65</v>
      </c>
      <c r="C40" s="2">
        <v>0.82</v>
      </c>
      <c r="D40" s="2">
        <v>1.98</v>
      </c>
      <c r="E40" s="2">
        <v>2.19</v>
      </c>
      <c r="F40" s="2">
        <v>2.56</v>
      </c>
      <c r="G40" s="2">
        <v>2.78</v>
      </c>
      <c r="H40" s="2">
        <v>2.98</v>
      </c>
      <c r="I40" s="2">
        <v>3.06</v>
      </c>
      <c r="J40" s="2">
        <v>3.25</v>
      </c>
      <c r="K40" s="2">
        <v>3.6</v>
      </c>
      <c r="L40" s="19"/>
    </row>
    <row r="41" spans="1:12">
      <c r="A41" s="2" t="s">
        <v>1</v>
      </c>
      <c r="F41" s="19">
        <v>2.952</v>
      </c>
      <c r="G41" s="19">
        <v>2.4079999999999999</v>
      </c>
      <c r="H41" s="19">
        <v>0.504</v>
      </c>
      <c r="I41" s="19">
        <v>0.4</v>
      </c>
      <c r="J41" s="19">
        <v>0.27100000000000002</v>
      </c>
      <c r="K41" s="19">
        <v>0.29499999999999998</v>
      </c>
    </row>
    <row r="42" spans="1:12">
      <c r="F42" s="19"/>
      <c r="G42" s="19"/>
      <c r="H42" s="19"/>
      <c r="I42" s="19"/>
      <c r="J42" s="19"/>
      <c r="K42" s="19"/>
    </row>
    <row r="43" spans="1:12">
      <c r="A43" s="2" t="s">
        <v>148</v>
      </c>
      <c r="F43" s="2">
        <v>0.54</v>
      </c>
      <c r="G43" s="2">
        <v>0.06</v>
      </c>
      <c r="H43" s="2">
        <v>10</v>
      </c>
      <c r="I43" s="2">
        <v>25.67</v>
      </c>
      <c r="J43" s="2">
        <v>25.5</v>
      </c>
      <c r="K43" s="2">
        <v>25</v>
      </c>
    </row>
    <row r="45" spans="1:12">
      <c r="A45" s="2" t="s">
        <v>149</v>
      </c>
      <c r="B45" s="2">
        <v>1.4</v>
      </c>
      <c r="C45" s="2">
        <v>10.32</v>
      </c>
      <c r="D45" s="2">
        <v>36.299999999999997</v>
      </c>
      <c r="E45" s="2">
        <v>27.85</v>
      </c>
      <c r="F45" s="2">
        <v>59.27</v>
      </c>
      <c r="G45" s="2">
        <v>32.71</v>
      </c>
      <c r="H45" s="2">
        <v>-11.02</v>
      </c>
      <c r="I45" s="2">
        <v>0.26</v>
      </c>
      <c r="J45" s="2">
        <v>13.23</v>
      </c>
      <c r="K45" s="2">
        <v>12.87</v>
      </c>
      <c r="L45" s="19"/>
    </row>
    <row r="46" spans="1:12">
      <c r="A46" s="2" t="s">
        <v>1</v>
      </c>
      <c r="F46" s="19">
        <v>41.393999999999998</v>
      </c>
      <c r="G46" s="19">
        <v>2.169</v>
      </c>
      <c r="H46" s="19">
        <v>-1.304</v>
      </c>
      <c r="I46" s="19">
        <v>-0.99099999999999999</v>
      </c>
      <c r="J46" s="19">
        <v>-0.77700000000000002</v>
      </c>
      <c r="K46" s="19">
        <v>-0.60699999999999998</v>
      </c>
    </row>
    <row r="47" spans="1:12">
      <c r="F47" s="19"/>
      <c r="G47" s="19"/>
      <c r="H47" s="19"/>
      <c r="I47" s="19"/>
      <c r="J47" s="19"/>
      <c r="K47" s="19"/>
    </row>
    <row r="48" spans="1:12">
      <c r="A48" s="2" t="s">
        <v>150</v>
      </c>
      <c r="B48" s="2">
        <v>1.03</v>
      </c>
      <c r="C48" s="2">
        <v>10.1</v>
      </c>
      <c r="D48" s="2">
        <v>37.28</v>
      </c>
      <c r="E48" s="2">
        <v>29.11</v>
      </c>
      <c r="F48" s="2">
        <v>58.94</v>
      </c>
      <c r="G48" s="2">
        <v>32.69</v>
      </c>
      <c r="H48" s="2">
        <v>-17.05</v>
      </c>
      <c r="I48" s="2">
        <v>0.61</v>
      </c>
      <c r="J48" s="2">
        <v>6.33</v>
      </c>
      <c r="K48" s="2">
        <v>6.77</v>
      </c>
      <c r="L48" s="19"/>
    </row>
    <row r="49" spans="1:12">
      <c r="A49" s="2" t="s">
        <v>1</v>
      </c>
      <c r="F49" s="19">
        <v>56.393999999999998</v>
      </c>
      <c r="G49" s="19">
        <v>2.2360000000000002</v>
      </c>
      <c r="H49" s="19">
        <v>-1.4570000000000001</v>
      </c>
      <c r="I49" s="19">
        <v>-0.97899999999999998</v>
      </c>
      <c r="J49" s="19">
        <v>-0.89300000000000002</v>
      </c>
      <c r="K49" s="19">
        <v>-0.79300000000000004</v>
      </c>
    </row>
    <row r="50" spans="1:12">
      <c r="F50" s="19"/>
      <c r="G50" s="19"/>
      <c r="H50" s="19"/>
      <c r="I50" s="19"/>
      <c r="J50" s="19"/>
      <c r="K50" s="19"/>
    </row>
    <row r="51" spans="1:12">
      <c r="F51" s="19"/>
      <c r="G51" s="19"/>
      <c r="H51" s="19"/>
      <c r="I51" s="19"/>
      <c r="J51" s="19"/>
      <c r="K51" s="19"/>
    </row>
    <row r="52" spans="1:12" s="17" customFormat="1">
      <c r="A52" s="16" t="s">
        <v>151</v>
      </c>
    </row>
    <row r="54" spans="1:12">
      <c r="A54" s="2" t="s">
        <v>152</v>
      </c>
      <c r="B54" s="2">
        <v>68.510000000000005</v>
      </c>
      <c r="C54" s="2">
        <v>43.09</v>
      </c>
      <c r="D54" s="2">
        <v>92.8</v>
      </c>
      <c r="E54" s="2">
        <v>43.6</v>
      </c>
      <c r="F54" s="2">
        <v>-11.14</v>
      </c>
      <c r="G54" s="2">
        <v>-266.8</v>
      </c>
      <c r="H54" s="2">
        <v>-76.22</v>
      </c>
      <c r="I54" s="2">
        <v>38.590000000000003</v>
      </c>
      <c r="J54" s="2">
        <v>4.83</v>
      </c>
      <c r="K54" s="2">
        <v>59.72</v>
      </c>
      <c r="L54" s="19"/>
    </row>
    <row r="55" spans="1:12">
      <c r="A55" s="2" t="s">
        <v>1</v>
      </c>
      <c r="F55" s="19">
        <v>-1.163</v>
      </c>
      <c r="G55" s="19">
        <v>-7.1909999999999998</v>
      </c>
      <c r="H55" s="19">
        <v>-1.821</v>
      </c>
      <c r="I55" s="19">
        <v>-0.115</v>
      </c>
      <c r="J55" s="19">
        <v>1.4339999999999999</v>
      </c>
      <c r="K55" s="19">
        <v>1.224</v>
      </c>
    </row>
    <row r="56" spans="1:12">
      <c r="A56" s="2" t="s">
        <v>81</v>
      </c>
      <c r="B56" s="2">
        <v>-7.0000000000000007E-2</v>
      </c>
      <c r="C56" s="2">
        <v>-0.6</v>
      </c>
      <c r="D56" s="2">
        <v>-3.54</v>
      </c>
      <c r="E56" s="2">
        <v>-5.29</v>
      </c>
      <c r="F56" s="2">
        <v>-5.68</v>
      </c>
      <c r="G56" s="2">
        <v>-5.29</v>
      </c>
      <c r="H56" s="2">
        <v>-1.25</v>
      </c>
      <c r="I56" s="2">
        <v>-1.25</v>
      </c>
      <c r="J56" s="2">
        <v>-1.25</v>
      </c>
      <c r="K56" s="2">
        <v>-1.25</v>
      </c>
      <c r="L56" s="19"/>
    </row>
    <row r="57" spans="1:12">
      <c r="A57" s="2" t="s">
        <v>1</v>
      </c>
      <c r="F57" s="19">
        <v>76.849000000000004</v>
      </c>
      <c r="G57" s="19">
        <v>7.7969999999999997</v>
      </c>
      <c r="H57" s="19">
        <v>0.64700000000000002</v>
      </c>
      <c r="I57" s="19">
        <v>0.76400000000000001</v>
      </c>
      <c r="J57" s="19">
        <v>0.78</v>
      </c>
      <c r="K57" s="19">
        <v>0.76400000000000001</v>
      </c>
    </row>
    <row r="60" spans="1:12" s="17" customFormat="1">
      <c r="A60" s="16" t="s">
        <v>153</v>
      </c>
    </row>
    <row r="62" spans="1:12">
      <c r="A62" s="2" t="s">
        <v>64</v>
      </c>
      <c r="G62" s="2">
        <v>-103.67</v>
      </c>
      <c r="H62" s="2">
        <v>-204</v>
      </c>
      <c r="I62" s="2">
        <v>-196</v>
      </c>
      <c r="J62" s="2">
        <v>-7</v>
      </c>
      <c r="K62" s="2">
        <v>88</v>
      </c>
    </row>
    <row r="63" spans="1:12">
      <c r="A63" s="2" t="s">
        <v>154</v>
      </c>
      <c r="G63" s="2">
        <v>-1.66</v>
      </c>
      <c r="H63" s="2">
        <v>-12.04</v>
      </c>
      <c r="I63" s="2">
        <v>-6.09</v>
      </c>
      <c r="J63" s="2">
        <v>-0.16</v>
      </c>
      <c r="K63" s="2">
        <v>2.0099999999999998</v>
      </c>
    </row>
    <row r="64" spans="1:12">
      <c r="A64" s="2" t="s">
        <v>155</v>
      </c>
      <c r="E64" s="2">
        <v>7.49</v>
      </c>
      <c r="F64" s="2">
        <v>9.65</v>
      </c>
      <c r="G64" s="2">
        <v>10.35</v>
      </c>
      <c r="H64" s="2">
        <v>8.91</v>
      </c>
      <c r="I64" s="2">
        <v>8.43</v>
      </c>
      <c r="J64" s="2">
        <v>8.02</v>
      </c>
      <c r="K64" s="2">
        <v>7.69</v>
      </c>
    </row>
    <row r="65" spans="1:11">
      <c r="A65" s="2" t="s">
        <v>1</v>
      </c>
      <c r="I65" s="19">
        <v>0.126</v>
      </c>
      <c r="J65" s="19">
        <v>-0.16900000000000001</v>
      </c>
      <c r="K65" s="19">
        <v>-0.25700000000000001</v>
      </c>
    </row>
    <row r="66" spans="1:11">
      <c r="A66" s="2" t="s">
        <v>156</v>
      </c>
      <c r="E66" s="2">
        <v>16.23</v>
      </c>
      <c r="F66" s="2">
        <v>30.9</v>
      </c>
      <c r="G66" s="2">
        <v>15.53</v>
      </c>
      <c r="H66" s="2">
        <v>30.1</v>
      </c>
      <c r="I66" s="2">
        <v>21.4</v>
      </c>
      <c r="J66" s="2">
        <v>11.8</v>
      </c>
      <c r="K66" s="2">
        <v>5.86</v>
      </c>
    </row>
    <row r="67" spans="1:11">
      <c r="A67" s="2" t="s">
        <v>157</v>
      </c>
      <c r="F67" s="2">
        <v>13.76</v>
      </c>
      <c r="G67" s="2">
        <v>6.87</v>
      </c>
      <c r="H67" s="2">
        <v>-6.05</v>
      </c>
      <c r="I67" s="2">
        <v>1.97</v>
      </c>
      <c r="J67" s="2">
        <v>3.66</v>
      </c>
      <c r="K67" s="2">
        <v>3.85</v>
      </c>
    </row>
    <row r="68" spans="1:11">
      <c r="A68" s="2" t="s">
        <v>158</v>
      </c>
    </row>
    <row r="70" spans="1:11">
      <c r="A70" s="2" t="s">
        <v>159</v>
      </c>
      <c r="F70" s="20"/>
      <c r="G70" s="20"/>
      <c r="H70" s="20"/>
      <c r="I70" s="20"/>
      <c r="J70" s="20"/>
      <c r="K70" s="20"/>
    </row>
    <row r="71" spans="1:11">
      <c r="A71" s="2" t="s">
        <v>1</v>
      </c>
      <c r="J71" s="20"/>
      <c r="K71" s="20"/>
    </row>
  </sheetData>
  <conditionalFormatting sqref="A1:XFD1048576">
    <cfRule type="cellIs" dxfId="0" priority="1" operator="lessThan">
      <formula>0</formula>
    </cfRule>
  </conditionalFormatting>
  <hyperlinks>
    <hyperlink ref="F70" r:id="rId1" display="https://app.tikr.com/account/subs?ref=64an27" xr:uid="{FC5268AA-D25F-2D45-B19F-0C6F7836BCAB}"/>
    <hyperlink ref="G70" r:id="rId2" display="https://app.tikr.com/account/subs?ref=64an27" xr:uid="{C25A5DBE-005E-FE48-A088-860544396243}"/>
    <hyperlink ref="H70" r:id="rId3" display="https://app.tikr.com/account/subs?ref=64an27" xr:uid="{2B1E5C50-E6A4-5F4C-B747-72E416166631}"/>
    <hyperlink ref="I70" r:id="rId4" display="https://app.tikr.com/account/subs?ref=64an27" xr:uid="{385429CC-DB1B-8A40-ABA0-069CD7D136AE}"/>
    <hyperlink ref="J70" r:id="rId5" display="https://app.tikr.com/account/subs?ref=64an27" xr:uid="{25F5FDE2-F2C4-4044-B358-6136B700A675}"/>
    <hyperlink ref="K70" r:id="rId6" display="https://app.tikr.com/account/subs?ref=64an27" xr:uid="{24CD98BB-F2D2-B947-97E1-06E200CBC3C6}"/>
    <hyperlink ref="J71" r:id="rId7" display="https://app.tikr.com/account/subs?ref=64an27" xr:uid="{9D09B503-419D-BD4E-9735-06CF75357845}"/>
    <hyperlink ref="K71" r:id="rId8" display="https://app.tikr.com/account/subs?ref=64an27" xr:uid="{9B8DEF1E-EA9C-9C4F-8A06-677297C81F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Summary</vt:lpstr>
      <vt:lpstr>Revenue Build</vt:lpstr>
      <vt:lpstr>P&amp;L GAAP</vt:lpstr>
      <vt:lpstr>BS</vt:lpstr>
      <vt:lpstr>CFS</vt:lpstr>
      <vt:lpstr>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domingos - 2023</dc:creator>
  <cp:lastModifiedBy>evan domingos - 2023</cp:lastModifiedBy>
  <dcterms:created xsi:type="dcterms:W3CDTF">2022-07-14T14:00:05Z</dcterms:created>
  <dcterms:modified xsi:type="dcterms:W3CDTF">2022-09-20T17:51:39Z</dcterms:modified>
</cp:coreProperties>
</file>