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13_ncr:1_{0D620896-B771-A14E-A7C0-9CD82C5C8887}" xr6:coauthVersionLast="47" xr6:coauthVersionMax="47" xr10:uidLastSave="{00000000-0000-0000-0000-000000000000}"/>
  <bookViews>
    <workbookView xWindow="0" yWindow="760" windowWidth="30240" windowHeight="17800" activeTab="3" xr2:uid="{3E485EAB-23EA-A24F-B726-DD3573AB2280}"/>
  </bookViews>
  <sheets>
    <sheet name="Main" sheetId="2" r:id="rId1"/>
    <sheet name="Model" sheetId="1" r:id="rId2"/>
    <sheet name="Valuation &amp; Sensitivity" sheetId="3" r:id="rId3"/>
    <sheet name="Report Elements" sheetId="4" r:id="rId4"/>
  </sheets>
  <externalReferences>
    <externalReference r:id="rId5"/>
  </externalReference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'Valuation &amp; Sensitivity'!#REF!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3" l="1"/>
  <c r="H13" i="3"/>
  <c r="C9" i="3"/>
  <c r="N6" i="4"/>
  <c r="N7" i="4"/>
  <c r="O8" i="4"/>
  <c r="N33" i="4" l="1"/>
  <c r="O33" i="4"/>
  <c r="P33" i="4"/>
  <c r="Q33" i="4"/>
  <c r="R33" i="4"/>
  <c r="S33" i="4"/>
  <c r="T33" i="4"/>
  <c r="U33" i="4"/>
  <c r="V33" i="4"/>
  <c r="W33" i="4"/>
  <c r="X33" i="4"/>
  <c r="X32" i="4"/>
  <c r="W32" i="4"/>
  <c r="V32" i="4"/>
  <c r="U32" i="4"/>
  <c r="T32" i="4"/>
  <c r="S32" i="4"/>
  <c r="R32" i="4"/>
  <c r="Q32" i="4"/>
  <c r="P32" i="4"/>
  <c r="O32" i="4"/>
  <c r="N32" i="4"/>
  <c r="X31" i="4"/>
  <c r="W31" i="4"/>
  <c r="V31" i="4"/>
  <c r="U31" i="4"/>
  <c r="T31" i="4"/>
  <c r="S31" i="4"/>
  <c r="R31" i="4"/>
  <c r="Q31" i="4"/>
  <c r="P31" i="4"/>
  <c r="O31" i="4"/>
  <c r="N31" i="4"/>
  <c r="X30" i="4"/>
  <c r="W30" i="4"/>
  <c r="V30" i="4"/>
  <c r="U30" i="4"/>
  <c r="T30" i="4"/>
  <c r="S30" i="4"/>
  <c r="R30" i="4"/>
  <c r="Q30" i="4"/>
  <c r="P30" i="4"/>
  <c r="O30" i="4"/>
  <c r="N30" i="4"/>
  <c r="X29" i="4"/>
  <c r="W29" i="4"/>
  <c r="V29" i="4"/>
  <c r="U29" i="4"/>
  <c r="T29" i="4"/>
  <c r="S29" i="4"/>
  <c r="R29" i="4"/>
  <c r="Q29" i="4"/>
  <c r="P29" i="4"/>
  <c r="O29" i="4"/>
  <c r="N29" i="4"/>
  <c r="X28" i="4"/>
  <c r="W28" i="4"/>
  <c r="V28" i="4"/>
  <c r="U28" i="4"/>
  <c r="T28" i="4"/>
  <c r="S28" i="4"/>
  <c r="R28" i="4"/>
  <c r="Q28" i="4"/>
  <c r="P28" i="4"/>
  <c r="O28" i="4"/>
  <c r="N28" i="4"/>
  <c r="X27" i="4"/>
  <c r="W27" i="4"/>
  <c r="V27" i="4"/>
  <c r="U27" i="4"/>
  <c r="T27" i="4"/>
  <c r="S27" i="4"/>
  <c r="R27" i="4"/>
  <c r="Q27" i="4"/>
  <c r="P27" i="4"/>
  <c r="O27" i="4"/>
  <c r="N27" i="4"/>
  <c r="X26" i="4"/>
  <c r="W26" i="4"/>
  <c r="V26" i="4"/>
  <c r="U26" i="4"/>
  <c r="T26" i="4"/>
  <c r="S26" i="4"/>
  <c r="R26" i="4"/>
  <c r="Q26" i="4"/>
  <c r="P26" i="4"/>
  <c r="O26" i="4"/>
  <c r="N26" i="4"/>
  <c r="X25" i="4"/>
  <c r="W25" i="4"/>
  <c r="V25" i="4"/>
  <c r="U25" i="4"/>
  <c r="T25" i="4"/>
  <c r="S25" i="4"/>
  <c r="R25" i="4"/>
  <c r="Q25" i="4"/>
  <c r="P25" i="4"/>
  <c r="O25" i="4"/>
  <c r="N25" i="4"/>
  <c r="X24" i="4"/>
  <c r="W24" i="4"/>
  <c r="V24" i="4"/>
  <c r="U24" i="4"/>
  <c r="T24" i="4"/>
  <c r="S24" i="4"/>
  <c r="R24" i="4"/>
  <c r="Q24" i="4"/>
  <c r="P24" i="4"/>
  <c r="O24" i="4"/>
  <c r="N24" i="4"/>
  <c r="X23" i="4"/>
  <c r="W23" i="4"/>
  <c r="V23" i="4"/>
  <c r="U23" i="4"/>
  <c r="T23" i="4"/>
  <c r="S23" i="4"/>
  <c r="R23" i="4"/>
  <c r="Q23" i="4"/>
  <c r="P23" i="4"/>
  <c r="O23" i="4"/>
  <c r="N23" i="4"/>
  <c r="X22" i="4"/>
  <c r="W22" i="4"/>
  <c r="V22" i="4"/>
  <c r="U22" i="4"/>
  <c r="T22" i="4"/>
  <c r="S22" i="4"/>
  <c r="R22" i="4"/>
  <c r="Q22" i="4"/>
  <c r="P22" i="4"/>
  <c r="O22" i="4"/>
  <c r="N22" i="4"/>
  <c r="J17" i="1" l="1"/>
  <c r="J18" i="1"/>
  <c r="C32" i="2" l="1"/>
  <c r="C31" i="2"/>
  <c r="C30" i="2"/>
  <c r="C29" i="2"/>
  <c r="C26" i="2"/>
  <c r="C25" i="2"/>
  <c r="C24" i="2"/>
  <c r="C23" i="2"/>
  <c r="E18" i="2"/>
  <c r="E17" i="2"/>
  <c r="E19" i="2" s="1"/>
  <c r="E13" i="2"/>
  <c r="E20" i="2" s="1"/>
  <c r="E12" i="2"/>
  <c r="E11" i="2" s="1"/>
  <c r="E11" i="4"/>
  <c r="E10" i="4"/>
  <c r="E9" i="4"/>
  <c r="E6" i="4"/>
  <c r="O16" i="4"/>
  <c r="P16" i="4"/>
  <c r="Q16" i="4"/>
  <c r="R16" i="4"/>
  <c r="S16" i="4"/>
  <c r="T16" i="4"/>
  <c r="U16" i="4"/>
  <c r="V16" i="4"/>
  <c r="W16" i="4"/>
  <c r="X16" i="4"/>
  <c r="N16" i="4"/>
  <c r="P17" i="4"/>
  <c r="Q17" i="4"/>
  <c r="R17" i="4"/>
  <c r="S17" i="4"/>
  <c r="T17" i="4"/>
  <c r="U17" i="4"/>
  <c r="V17" i="4"/>
  <c r="W17" i="4"/>
  <c r="X17" i="4"/>
  <c r="P18" i="4"/>
  <c r="D30" i="2" s="1"/>
  <c r="Q18" i="4"/>
  <c r="D31" i="2" s="1"/>
  <c r="R18" i="4"/>
  <c r="D32" i="2" s="1"/>
  <c r="S18" i="4"/>
  <c r="T18" i="4"/>
  <c r="E29" i="2" s="1"/>
  <c r="U18" i="4"/>
  <c r="E30" i="2" s="1"/>
  <c r="V18" i="4"/>
  <c r="E31" i="2" s="1"/>
  <c r="W18" i="4"/>
  <c r="E32" i="2" s="1"/>
  <c r="X18" i="4"/>
  <c r="N18" i="4"/>
  <c r="O6" i="4"/>
  <c r="P6" i="4"/>
  <c r="Q6" i="4"/>
  <c r="R6" i="4"/>
  <c r="S6" i="4"/>
  <c r="T6" i="4"/>
  <c r="U6" i="4"/>
  <c r="V6" i="4"/>
  <c r="W6" i="4"/>
  <c r="X6" i="4"/>
  <c r="P7" i="4"/>
  <c r="D24" i="2" s="1"/>
  <c r="Q7" i="4"/>
  <c r="D25" i="2" s="1"/>
  <c r="R7" i="4"/>
  <c r="D26" i="2" s="1"/>
  <c r="S7" i="4"/>
  <c r="T7" i="4"/>
  <c r="E23" i="2" s="1"/>
  <c r="U7" i="4"/>
  <c r="E24" i="2" s="1"/>
  <c r="V7" i="4"/>
  <c r="E25" i="2" s="1"/>
  <c r="W7" i="4"/>
  <c r="E26" i="2" s="1"/>
  <c r="X7" i="4"/>
  <c r="P8" i="4"/>
  <c r="Q8" i="4"/>
  <c r="R8" i="4"/>
  <c r="S8" i="4"/>
  <c r="T8" i="4"/>
  <c r="U8" i="4"/>
  <c r="V8" i="4"/>
  <c r="W8" i="4"/>
  <c r="X8" i="4"/>
  <c r="O9" i="4"/>
  <c r="P9" i="4"/>
  <c r="Q9" i="4"/>
  <c r="R9" i="4"/>
  <c r="S9" i="4"/>
  <c r="T9" i="4"/>
  <c r="U9" i="4"/>
  <c r="V9" i="4"/>
  <c r="W9" i="4"/>
  <c r="X9" i="4"/>
  <c r="O10" i="4"/>
  <c r="P10" i="4"/>
  <c r="Q10" i="4"/>
  <c r="R10" i="4"/>
  <c r="S10" i="4"/>
  <c r="T10" i="4"/>
  <c r="U10" i="4"/>
  <c r="V10" i="4"/>
  <c r="W10" i="4"/>
  <c r="X10" i="4"/>
  <c r="P11" i="4"/>
  <c r="Q11" i="4"/>
  <c r="R11" i="4"/>
  <c r="S11" i="4"/>
  <c r="T11" i="4"/>
  <c r="U11" i="4"/>
  <c r="V11" i="4"/>
  <c r="W11" i="4"/>
  <c r="X11" i="4"/>
  <c r="O12" i="4"/>
  <c r="P12" i="4"/>
  <c r="Q12" i="4"/>
  <c r="R12" i="4"/>
  <c r="S12" i="4"/>
  <c r="T12" i="4"/>
  <c r="U12" i="4"/>
  <c r="V12" i="4"/>
  <c r="W12" i="4"/>
  <c r="X12" i="4"/>
  <c r="P13" i="4"/>
  <c r="Q13" i="4"/>
  <c r="R13" i="4"/>
  <c r="S13" i="4"/>
  <c r="T13" i="4"/>
  <c r="U13" i="4"/>
  <c r="V13" i="4"/>
  <c r="W13" i="4"/>
  <c r="X13" i="4"/>
  <c r="P14" i="4"/>
  <c r="Q14" i="4"/>
  <c r="R14" i="4"/>
  <c r="S14" i="4"/>
  <c r="T14" i="4"/>
  <c r="U14" i="4"/>
  <c r="V14" i="4"/>
  <c r="W14" i="4"/>
  <c r="X14" i="4"/>
  <c r="O15" i="4"/>
  <c r="P15" i="4"/>
  <c r="Q15" i="4"/>
  <c r="R15" i="4"/>
  <c r="S15" i="4"/>
  <c r="T15" i="4"/>
  <c r="U15" i="4"/>
  <c r="V15" i="4"/>
  <c r="W15" i="4"/>
  <c r="X15" i="4"/>
  <c r="N8" i="4"/>
  <c r="N9" i="4"/>
  <c r="N10" i="4"/>
  <c r="N11" i="4"/>
  <c r="N12" i="4"/>
  <c r="N13" i="4"/>
  <c r="N14" i="4"/>
  <c r="N15" i="4"/>
  <c r="N17" i="4"/>
  <c r="E20" i="4"/>
  <c r="E19" i="4"/>
  <c r="E14" i="4"/>
  <c r="E7" i="4" l="1"/>
  <c r="E8" i="4" s="1"/>
  <c r="E12" i="4" s="1"/>
  <c r="E23" i="4"/>
  <c r="J16" i="3" l="1"/>
  <c r="H44" i="3"/>
  <c r="I44" i="3" s="1"/>
  <c r="J44" i="3" s="1"/>
  <c r="K44" i="3" s="1"/>
  <c r="G12" i="3"/>
  <c r="H34" i="3"/>
  <c r="I34" i="3" s="1"/>
  <c r="J34" i="3" s="1"/>
  <c r="K34" i="3" s="1"/>
  <c r="G34" i="3"/>
  <c r="B48" i="3"/>
  <c r="B49" i="3" s="1"/>
  <c r="B50" i="3" s="1"/>
  <c r="B51" i="3" s="1"/>
  <c r="B46" i="3"/>
  <c r="B45" i="3"/>
  <c r="G44" i="3"/>
  <c r="E44" i="3"/>
  <c r="D44" i="3" s="1"/>
  <c r="C44" i="3" s="1"/>
  <c r="B38" i="3"/>
  <c r="B39" i="3" s="1"/>
  <c r="B40" i="3" s="1"/>
  <c r="B41" i="3" s="1"/>
  <c r="B36" i="3"/>
  <c r="B35" i="3"/>
  <c r="C34" i="3"/>
  <c r="D34" i="3"/>
  <c r="E34" i="3"/>
  <c r="I13" i="3"/>
  <c r="X161" i="1"/>
  <c r="Y143" i="1"/>
  <c r="Y161" i="1" s="1"/>
  <c r="Z101" i="1"/>
  <c r="Y101" i="1"/>
  <c r="N101" i="1"/>
  <c r="O101" i="1"/>
  <c r="P101" i="1"/>
  <c r="Q101" i="1"/>
  <c r="M101" i="1"/>
  <c r="M131" i="1"/>
  <c r="M151" i="1"/>
  <c r="Z131" i="1"/>
  <c r="Y131" i="1"/>
  <c r="N131" i="1"/>
  <c r="X131" i="1" s="1"/>
  <c r="X126" i="1" s="1"/>
  <c r="O131" i="1"/>
  <c r="P131" i="1"/>
  <c r="Q131" i="1"/>
  <c r="L126" i="1"/>
  <c r="K126" i="1"/>
  <c r="V126" i="1"/>
  <c r="Y159" i="1"/>
  <c r="AB159" i="1"/>
  <c r="AB151" i="1"/>
  <c r="L125" i="1"/>
  <c r="W150" i="1"/>
  <c r="W149" i="1"/>
  <c r="X137" i="1"/>
  <c r="W136" i="1"/>
  <c r="W134" i="1"/>
  <c r="W132" i="1"/>
  <c r="V120" i="1"/>
  <c r="V119" i="1"/>
  <c r="W103" i="1"/>
  <c r="X103" i="1"/>
  <c r="W95" i="1"/>
  <c r="X95" i="1"/>
  <c r="W80" i="1"/>
  <c r="X80" i="1"/>
  <c r="W81" i="1"/>
  <c r="X81" i="1"/>
  <c r="W82" i="1"/>
  <c r="X82" i="1"/>
  <c r="W83" i="1"/>
  <c r="X83" i="1"/>
  <c r="M159" i="1"/>
  <c r="N159" i="1"/>
  <c r="X159" i="1" s="1"/>
  <c r="O159" i="1"/>
  <c r="P159" i="1"/>
  <c r="Z159" i="1" s="1"/>
  <c r="Q159" i="1"/>
  <c r="AA159" i="1" s="1"/>
  <c r="L120" i="1"/>
  <c r="K120" i="1"/>
  <c r="M147" i="1"/>
  <c r="M146" i="1" s="1"/>
  <c r="K131" i="1"/>
  <c r="M100" i="1"/>
  <c r="W100" i="1" s="1"/>
  <c r="M79" i="1"/>
  <c r="N79" i="1" s="1"/>
  <c r="O79" i="1" s="1"/>
  <c r="P79" i="1" s="1"/>
  <c r="Q79" i="1" s="1"/>
  <c r="X79" i="1" s="1"/>
  <c r="Y79" i="1" s="1"/>
  <c r="Z79" i="1" s="1"/>
  <c r="AA79" i="1" s="1"/>
  <c r="AB79" i="1" s="1"/>
  <c r="AC79" i="1" s="1"/>
  <c r="AD79" i="1" s="1"/>
  <c r="AE79" i="1" s="1"/>
  <c r="AF79" i="1" s="1"/>
  <c r="AG79" i="1" s="1"/>
  <c r="K84" i="1"/>
  <c r="K86" i="1" s="1"/>
  <c r="K105" i="1"/>
  <c r="K94" i="1"/>
  <c r="K97" i="1" s="1"/>
  <c r="K77" i="1"/>
  <c r="L84" i="1"/>
  <c r="M84" i="1" s="1"/>
  <c r="W84" i="1" s="1"/>
  <c r="B28" i="3"/>
  <c r="B29" i="3" s="1"/>
  <c r="B30" i="3" s="1"/>
  <c r="B31" i="3" s="1"/>
  <c r="B26" i="3"/>
  <c r="B25" i="3" s="1"/>
  <c r="E24" i="3"/>
  <c r="D24" i="3" s="1"/>
  <c r="C24" i="3" s="1"/>
  <c r="G24" i="3"/>
  <c r="H24" i="3" s="1"/>
  <c r="I24" i="3" s="1"/>
  <c r="J24" i="3" s="1"/>
  <c r="K24" i="3" s="1"/>
  <c r="C17" i="3"/>
  <c r="C14" i="3"/>
  <c r="M66" i="1"/>
  <c r="M59" i="1"/>
  <c r="N59" i="1" s="1"/>
  <c r="O59" i="1" s="1"/>
  <c r="P59" i="1" s="1"/>
  <c r="Q59" i="1" s="1"/>
  <c r="M57" i="1"/>
  <c r="U55" i="1"/>
  <c r="W61" i="1"/>
  <c r="H12" i="3" l="1"/>
  <c r="I12" i="3" s="1"/>
  <c r="X101" i="1"/>
  <c r="W101" i="1"/>
  <c r="W79" i="1"/>
  <c r="M73" i="1"/>
  <c r="N100" i="1"/>
  <c r="K89" i="1"/>
  <c r="K107" i="1"/>
  <c r="L113" i="1"/>
  <c r="M113" i="1" s="1"/>
  <c r="N113" i="1" s="1"/>
  <c r="O113" i="1" s="1"/>
  <c r="P113" i="1" s="1"/>
  <c r="Q113" i="1" s="1"/>
  <c r="N84" i="1"/>
  <c r="N145" i="1" s="1"/>
  <c r="M145" i="1"/>
  <c r="I16" i="3"/>
  <c r="H16" i="3"/>
  <c r="G16" i="3"/>
  <c r="O16" i="3"/>
  <c r="F16" i="3"/>
  <c r="P16" i="3"/>
  <c r="N16" i="3"/>
  <c r="M16" i="3"/>
  <c r="L16" i="3"/>
  <c r="K16" i="3"/>
  <c r="X59" i="1"/>
  <c r="Y59" i="1" s="1"/>
  <c r="Z59" i="1" s="1"/>
  <c r="AA59" i="1" s="1"/>
  <c r="AB59" i="1" s="1"/>
  <c r="AC59" i="1" s="1"/>
  <c r="AD59" i="1" s="1"/>
  <c r="P15" i="1"/>
  <c r="P25" i="1" s="1"/>
  <c r="O15" i="1"/>
  <c r="O25" i="1" s="1"/>
  <c r="P13" i="1"/>
  <c r="O13" i="1"/>
  <c r="P11" i="1"/>
  <c r="O11" i="1"/>
  <c r="O23" i="1" s="1"/>
  <c r="O31" i="1" s="1"/>
  <c r="P9" i="1"/>
  <c r="P22" i="1" s="1"/>
  <c r="P30" i="1" s="1"/>
  <c r="O9" i="1"/>
  <c r="O7" i="1"/>
  <c r="P7" i="1"/>
  <c r="P21" i="1" s="1"/>
  <c r="P29" i="1" s="1"/>
  <c r="L158" i="1"/>
  <c r="W158" i="1" s="1"/>
  <c r="L157" i="1"/>
  <c r="W157" i="1" s="1"/>
  <c r="J159" i="1"/>
  <c r="K156" i="1"/>
  <c r="J151" i="1"/>
  <c r="K147" i="1"/>
  <c r="K146" i="1"/>
  <c r="K145" i="1"/>
  <c r="K142" i="1"/>
  <c r="K141" i="1"/>
  <c r="K140" i="1"/>
  <c r="K139" i="1"/>
  <c r="K137" i="1"/>
  <c r="L131" i="1"/>
  <c r="W131" i="1" s="1"/>
  <c r="W126" i="1" s="1"/>
  <c r="K130" i="1"/>
  <c r="L130" i="1" s="1"/>
  <c r="U4" i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G4" i="1"/>
  <c r="K4" i="1" s="1"/>
  <c r="O4" i="1" s="1"/>
  <c r="H4" i="1"/>
  <c r="L4" i="1" s="1"/>
  <c r="P4" i="1" s="1"/>
  <c r="I4" i="1"/>
  <c r="M4" i="1" s="1"/>
  <c r="Q4" i="1" s="1"/>
  <c r="F4" i="1"/>
  <c r="J4" i="1" s="1"/>
  <c r="N4" i="1" s="1"/>
  <c r="V105" i="1"/>
  <c r="V77" i="1"/>
  <c r="V89" i="1" s="1"/>
  <c r="V94" i="1"/>
  <c r="V97" i="1" s="1"/>
  <c r="L77" i="1"/>
  <c r="L94" i="1"/>
  <c r="L97" i="1" s="1"/>
  <c r="U37" i="1"/>
  <c r="V37" i="1"/>
  <c r="U38" i="1"/>
  <c r="V38" i="1"/>
  <c r="U39" i="1"/>
  <c r="V39" i="1"/>
  <c r="U40" i="1"/>
  <c r="V40" i="1"/>
  <c r="U41" i="1"/>
  <c r="V41" i="1"/>
  <c r="T41" i="1"/>
  <c r="T40" i="1"/>
  <c r="T39" i="1"/>
  <c r="T38" i="1"/>
  <c r="T37" i="1"/>
  <c r="C37" i="1"/>
  <c r="D37" i="1"/>
  <c r="G37" i="1"/>
  <c r="H37" i="1"/>
  <c r="K37" i="1"/>
  <c r="L37" i="1"/>
  <c r="C38" i="1"/>
  <c r="D38" i="1"/>
  <c r="G38" i="1"/>
  <c r="H38" i="1"/>
  <c r="K38" i="1"/>
  <c r="L38" i="1"/>
  <c r="C39" i="1"/>
  <c r="D39" i="1"/>
  <c r="G39" i="1"/>
  <c r="H39" i="1"/>
  <c r="K39" i="1"/>
  <c r="L39" i="1"/>
  <c r="C40" i="1"/>
  <c r="D40" i="1"/>
  <c r="G40" i="1"/>
  <c r="H40" i="1"/>
  <c r="K40" i="1"/>
  <c r="L40" i="1"/>
  <c r="C41" i="1"/>
  <c r="D41" i="1"/>
  <c r="G41" i="1"/>
  <c r="H41" i="1"/>
  <c r="K41" i="1"/>
  <c r="L41" i="1"/>
  <c r="B41" i="1"/>
  <c r="B40" i="1"/>
  <c r="B39" i="1"/>
  <c r="B38" i="1"/>
  <c r="B37" i="1"/>
  <c r="V16" i="1"/>
  <c r="U16" i="1"/>
  <c r="V14" i="1"/>
  <c r="U14" i="1"/>
  <c r="V12" i="1"/>
  <c r="U12" i="1"/>
  <c r="V10" i="1"/>
  <c r="U10" i="1"/>
  <c r="V8" i="1"/>
  <c r="U8" i="1"/>
  <c r="L16" i="1"/>
  <c r="K16" i="1"/>
  <c r="H16" i="1"/>
  <c r="G16" i="1"/>
  <c r="L14" i="1"/>
  <c r="K14" i="1"/>
  <c r="H14" i="1"/>
  <c r="G14" i="1"/>
  <c r="L12" i="1"/>
  <c r="K12" i="1"/>
  <c r="H12" i="1"/>
  <c r="G12" i="1"/>
  <c r="L10" i="1"/>
  <c r="K10" i="1"/>
  <c r="H10" i="1"/>
  <c r="G10" i="1"/>
  <c r="G8" i="1"/>
  <c r="H8" i="1"/>
  <c r="K8" i="1"/>
  <c r="L8" i="1"/>
  <c r="H26" i="1"/>
  <c r="H49" i="1" s="1"/>
  <c r="V26" i="1"/>
  <c r="V49" i="1" s="1"/>
  <c r="E63" i="1"/>
  <c r="V55" i="1"/>
  <c r="V117" i="1" s="1"/>
  <c r="T55" i="1"/>
  <c r="C55" i="1"/>
  <c r="D55" i="1"/>
  <c r="G55" i="1"/>
  <c r="H55" i="1"/>
  <c r="K55" i="1"/>
  <c r="K117" i="1" s="1"/>
  <c r="L55" i="1"/>
  <c r="L117" i="1" s="1"/>
  <c r="B55" i="1"/>
  <c r="U49" i="1"/>
  <c r="T49" i="1"/>
  <c r="V151" i="1"/>
  <c r="AC151" i="1" s="1"/>
  <c r="V159" i="1"/>
  <c r="E67" i="1"/>
  <c r="E66" i="1"/>
  <c r="E54" i="1"/>
  <c r="E57" i="1"/>
  <c r="E59" i="1"/>
  <c r="E60" i="1"/>
  <c r="E61" i="1"/>
  <c r="E53" i="1"/>
  <c r="E25" i="1"/>
  <c r="E24" i="1"/>
  <c r="E23" i="1"/>
  <c r="E22" i="1"/>
  <c r="E21" i="1"/>
  <c r="E9" i="1"/>
  <c r="E11" i="1"/>
  <c r="E13" i="1"/>
  <c r="E15" i="1"/>
  <c r="E7" i="1"/>
  <c r="B17" i="1"/>
  <c r="B45" i="1" s="1"/>
  <c r="B47" i="1" s="1"/>
  <c r="B26" i="1"/>
  <c r="B49" i="1" s="1"/>
  <c r="C33" i="1"/>
  <c r="C32" i="1"/>
  <c r="C31" i="1"/>
  <c r="C30" i="1"/>
  <c r="C29" i="1"/>
  <c r="B33" i="1"/>
  <c r="B32" i="1"/>
  <c r="B31" i="1"/>
  <c r="B30" i="1"/>
  <c r="B29" i="1"/>
  <c r="C26" i="1"/>
  <c r="C49" i="1" s="1"/>
  <c r="C17" i="1"/>
  <c r="C45" i="1" s="1"/>
  <c r="C47" i="1" s="1"/>
  <c r="D33" i="1"/>
  <c r="D32" i="1"/>
  <c r="D31" i="1"/>
  <c r="D30" i="1"/>
  <c r="D29" i="1"/>
  <c r="D17" i="1"/>
  <c r="D45" i="1" s="1"/>
  <c r="D47" i="1" s="1"/>
  <c r="D26" i="1"/>
  <c r="D49" i="1" s="1"/>
  <c r="AC159" i="1" l="1"/>
  <c r="L137" i="1"/>
  <c r="W137" i="1" s="1"/>
  <c r="M78" i="1"/>
  <c r="W78" i="1" s="1"/>
  <c r="W73" i="1"/>
  <c r="W120" i="1" s="1"/>
  <c r="L139" i="1"/>
  <c r="K159" i="1"/>
  <c r="W156" i="1"/>
  <c r="L140" i="1"/>
  <c r="L147" i="1"/>
  <c r="L118" i="1" s="1"/>
  <c r="W147" i="1"/>
  <c r="W118" i="1" s="1"/>
  <c r="L141" i="1"/>
  <c r="L142" i="1"/>
  <c r="L146" i="1"/>
  <c r="W146" i="1" s="1"/>
  <c r="K119" i="1"/>
  <c r="M85" i="1"/>
  <c r="W85" i="1" s="1"/>
  <c r="K108" i="1"/>
  <c r="O100" i="1"/>
  <c r="O84" i="1"/>
  <c r="O145" i="1" s="1"/>
  <c r="AE59" i="1"/>
  <c r="P24" i="1"/>
  <c r="P32" i="1" s="1"/>
  <c r="O24" i="1"/>
  <c r="O32" i="1" s="1"/>
  <c r="O22" i="1"/>
  <c r="O30" i="1" s="1"/>
  <c r="P17" i="1"/>
  <c r="O21" i="1"/>
  <c r="O17" i="1"/>
  <c r="P23" i="1"/>
  <c r="P31" i="1" s="1"/>
  <c r="P33" i="1"/>
  <c r="O33" i="1"/>
  <c r="K151" i="1"/>
  <c r="C42" i="1"/>
  <c r="E39" i="1"/>
  <c r="E40" i="1"/>
  <c r="V107" i="1"/>
  <c r="V108" i="1" s="1"/>
  <c r="E38" i="1"/>
  <c r="L145" i="1"/>
  <c r="E41" i="1"/>
  <c r="L156" i="1"/>
  <c r="L159" i="1" s="1"/>
  <c r="E37" i="1"/>
  <c r="B42" i="1"/>
  <c r="D42" i="1"/>
  <c r="D50" i="1"/>
  <c r="D51" i="1" s="1"/>
  <c r="E55" i="1"/>
  <c r="C50" i="1"/>
  <c r="E33" i="1"/>
  <c r="B50" i="1"/>
  <c r="E30" i="1"/>
  <c r="E17" i="1"/>
  <c r="E45" i="1" s="1"/>
  <c r="E47" i="1" s="1"/>
  <c r="C34" i="1"/>
  <c r="E32" i="1"/>
  <c r="E31" i="1"/>
  <c r="D34" i="1"/>
  <c r="E26" i="1"/>
  <c r="E29" i="1"/>
  <c r="B34" i="1"/>
  <c r="V17" i="1"/>
  <c r="V42" i="1" s="1"/>
  <c r="U17" i="1"/>
  <c r="U42" i="1" s="1"/>
  <c r="T17" i="1"/>
  <c r="V33" i="1"/>
  <c r="V32" i="1"/>
  <c r="V31" i="1"/>
  <c r="V30" i="1"/>
  <c r="V29" i="1"/>
  <c r="U33" i="1"/>
  <c r="U32" i="1"/>
  <c r="U31" i="1"/>
  <c r="U30" i="1"/>
  <c r="U29" i="1"/>
  <c r="T33" i="1"/>
  <c r="T32" i="1"/>
  <c r="T31" i="1"/>
  <c r="T30" i="1"/>
  <c r="T29" i="1"/>
  <c r="L26" i="1"/>
  <c r="J54" i="1"/>
  <c r="L29" i="1"/>
  <c r="L30" i="1"/>
  <c r="L31" i="1"/>
  <c r="L32" i="1"/>
  <c r="L33" i="1"/>
  <c r="H29" i="1"/>
  <c r="H30" i="1"/>
  <c r="H31" i="1"/>
  <c r="H32" i="1"/>
  <c r="H33" i="1"/>
  <c r="I84" i="1"/>
  <c r="I86" i="1" s="1"/>
  <c r="W159" i="1" l="1"/>
  <c r="W151" i="1"/>
  <c r="L151" i="1"/>
  <c r="AD151" i="1"/>
  <c r="W145" i="1"/>
  <c r="W119" i="1"/>
  <c r="L119" i="1"/>
  <c r="P100" i="1"/>
  <c r="P84" i="1"/>
  <c r="P145" i="1" s="1"/>
  <c r="L86" i="1"/>
  <c r="L89" i="1" s="1"/>
  <c r="AF59" i="1"/>
  <c r="O26" i="1"/>
  <c r="O42" i="1" s="1"/>
  <c r="O29" i="1"/>
  <c r="O34" i="1" s="1"/>
  <c r="O74" i="1" s="1"/>
  <c r="P34" i="1"/>
  <c r="P74" i="1" s="1"/>
  <c r="P45" i="1"/>
  <c r="P47" i="1" s="1"/>
  <c r="P26" i="1"/>
  <c r="P42" i="1" s="1"/>
  <c r="O45" i="1"/>
  <c r="O47" i="1" s="1"/>
  <c r="L49" i="1"/>
  <c r="E49" i="1"/>
  <c r="E50" i="1" s="1"/>
  <c r="E42" i="1"/>
  <c r="T45" i="1"/>
  <c r="T47" i="1" s="1"/>
  <c r="T50" i="1" s="1"/>
  <c r="T51" i="1" s="1"/>
  <c r="T42" i="1"/>
  <c r="U45" i="1"/>
  <c r="U47" i="1" s="1"/>
  <c r="U18" i="1"/>
  <c r="V45" i="1"/>
  <c r="V47" i="1" s="1"/>
  <c r="V18" i="1"/>
  <c r="D56" i="1"/>
  <c r="D62" i="1" s="1"/>
  <c r="D64" i="1" s="1"/>
  <c r="B51" i="1"/>
  <c r="B56" i="1"/>
  <c r="B62" i="1" s="1"/>
  <c r="B64" i="1" s="1"/>
  <c r="C51" i="1"/>
  <c r="C56" i="1"/>
  <c r="C62" i="1" s="1"/>
  <c r="C64" i="1" s="1"/>
  <c r="E34" i="1"/>
  <c r="H34" i="1"/>
  <c r="V34" i="1"/>
  <c r="L34" i="1"/>
  <c r="T34" i="1"/>
  <c r="U34" i="1"/>
  <c r="H17" i="1"/>
  <c r="H42" i="1" s="1"/>
  <c r="L17" i="1"/>
  <c r="L42" i="1" s="1"/>
  <c r="F66" i="1"/>
  <c r="I66" i="1" s="1"/>
  <c r="F67" i="1"/>
  <c r="I67" i="1" s="1"/>
  <c r="J67" i="1"/>
  <c r="J66" i="1"/>
  <c r="W66" i="1" s="1"/>
  <c r="F63" i="1"/>
  <c r="I63" i="1" s="1"/>
  <c r="J63" i="1"/>
  <c r="G60" i="1"/>
  <c r="F60" i="1" s="1"/>
  <c r="I60" i="1" s="1"/>
  <c r="K60" i="1"/>
  <c r="F59" i="1"/>
  <c r="I59" i="1" s="1"/>
  <c r="J59" i="1"/>
  <c r="W59" i="1" s="1"/>
  <c r="F57" i="1"/>
  <c r="I57" i="1" s="1"/>
  <c r="J57" i="1"/>
  <c r="W57" i="1" s="1"/>
  <c r="F54" i="1"/>
  <c r="I54" i="1" s="1"/>
  <c r="M54" i="1" s="1"/>
  <c r="N54" i="1" s="1"/>
  <c r="F53" i="1"/>
  <c r="J53" i="1"/>
  <c r="F25" i="1"/>
  <c r="F24" i="1"/>
  <c r="F23" i="1"/>
  <c r="F22" i="1"/>
  <c r="F21" i="1"/>
  <c r="J25" i="1"/>
  <c r="J24" i="1"/>
  <c r="J23" i="1"/>
  <c r="J22" i="1"/>
  <c r="J21" i="1"/>
  <c r="F15" i="1"/>
  <c r="F13" i="1"/>
  <c r="F11" i="1"/>
  <c r="F9" i="1"/>
  <c r="F7" i="1"/>
  <c r="J15" i="1"/>
  <c r="J13" i="1"/>
  <c r="J11" i="1"/>
  <c r="J9" i="1"/>
  <c r="J7" i="1"/>
  <c r="K17" i="1"/>
  <c r="O18" i="1" s="1"/>
  <c r="K26" i="1"/>
  <c r="G26" i="1"/>
  <c r="G17" i="1"/>
  <c r="K29" i="1"/>
  <c r="K33" i="1"/>
  <c r="K32" i="1"/>
  <c r="K31" i="1"/>
  <c r="K30" i="1"/>
  <c r="G30" i="1"/>
  <c r="G31" i="1"/>
  <c r="G32" i="1"/>
  <c r="G33" i="1"/>
  <c r="G29" i="1"/>
  <c r="AG159" i="1" l="1"/>
  <c r="AD159" i="1"/>
  <c r="AE159" i="1"/>
  <c r="AF159" i="1"/>
  <c r="O76" i="1"/>
  <c r="O93" i="1"/>
  <c r="O96" i="1"/>
  <c r="V50" i="1"/>
  <c r="V56" i="1" s="1"/>
  <c r="V62" i="1" s="1"/>
  <c r="V64" i="1" s="1"/>
  <c r="V129" i="1" s="1"/>
  <c r="V143" i="1" s="1"/>
  <c r="V161" i="1" s="1"/>
  <c r="V123" i="1"/>
  <c r="V122" i="1"/>
  <c r="V116" i="1"/>
  <c r="V124" i="1"/>
  <c r="V115" i="1"/>
  <c r="V114" i="1"/>
  <c r="V112" i="1"/>
  <c r="V121" i="1"/>
  <c r="P76" i="1"/>
  <c r="P96" i="1"/>
  <c r="P93" i="1"/>
  <c r="P139" i="1"/>
  <c r="Q100" i="1"/>
  <c r="X100" i="1" s="1"/>
  <c r="Y100" i="1" s="1"/>
  <c r="Z100" i="1" s="1"/>
  <c r="P88" i="1"/>
  <c r="P91" i="1"/>
  <c r="P75" i="1"/>
  <c r="O88" i="1"/>
  <c r="O91" i="1"/>
  <c r="O75" i="1"/>
  <c r="Q84" i="1"/>
  <c r="M130" i="1"/>
  <c r="W130" i="1" s="1"/>
  <c r="M86" i="1"/>
  <c r="W86" i="1" s="1"/>
  <c r="N85" i="1"/>
  <c r="O49" i="1"/>
  <c r="O50" i="1" s="1"/>
  <c r="O51" i="1" s="1"/>
  <c r="AG59" i="1"/>
  <c r="M67" i="1"/>
  <c r="J60" i="1"/>
  <c r="M60" i="1" s="1"/>
  <c r="U50" i="1"/>
  <c r="U56" i="1" s="1"/>
  <c r="U62" i="1" s="1"/>
  <c r="U64" i="1" s="1"/>
  <c r="U68" i="1" s="1"/>
  <c r="W54" i="1"/>
  <c r="P49" i="1"/>
  <c r="P50" i="1" s="1"/>
  <c r="P51" i="1" s="1"/>
  <c r="N7" i="1"/>
  <c r="N11" i="1"/>
  <c r="N9" i="1"/>
  <c r="N13" i="1"/>
  <c r="J55" i="1"/>
  <c r="N15" i="1"/>
  <c r="O54" i="1"/>
  <c r="P54" i="1" s="1"/>
  <c r="Q54" i="1" s="1"/>
  <c r="P18" i="1"/>
  <c r="J40" i="1"/>
  <c r="J41" i="1"/>
  <c r="G49" i="1"/>
  <c r="G42" i="1"/>
  <c r="K49" i="1"/>
  <c r="K42" i="1"/>
  <c r="I23" i="1"/>
  <c r="F39" i="1"/>
  <c r="T56" i="1"/>
  <c r="T62" i="1" s="1"/>
  <c r="T64" i="1" s="1"/>
  <c r="T68" i="1" s="1"/>
  <c r="I21" i="1"/>
  <c r="F37" i="1"/>
  <c r="I22" i="1"/>
  <c r="F38" i="1"/>
  <c r="J37" i="1"/>
  <c r="I24" i="1"/>
  <c r="F40" i="1"/>
  <c r="J38" i="1"/>
  <c r="I25" i="1"/>
  <c r="F41" i="1"/>
  <c r="J39" i="1"/>
  <c r="J10" i="1"/>
  <c r="J12" i="1"/>
  <c r="J14" i="1"/>
  <c r="I15" i="1"/>
  <c r="F16" i="1"/>
  <c r="G45" i="1"/>
  <c r="G47" i="1" s="1"/>
  <c r="G18" i="1"/>
  <c r="I7" i="1"/>
  <c r="F8" i="1"/>
  <c r="H45" i="1"/>
  <c r="H47" i="1" s="1"/>
  <c r="H50" i="1" s="1"/>
  <c r="H56" i="1" s="1"/>
  <c r="H62" i="1" s="1"/>
  <c r="H64" i="1" s="1"/>
  <c r="H18" i="1"/>
  <c r="I9" i="1"/>
  <c r="F10" i="1"/>
  <c r="J16" i="1"/>
  <c r="I11" i="1"/>
  <c r="F12" i="1"/>
  <c r="L45" i="1"/>
  <c r="L47" i="1" s="1"/>
  <c r="L18" i="1"/>
  <c r="K45" i="1"/>
  <c r="K47" i="1" s="1"/>
  <c r="K18" i="1"/>
  <c r="J8" i="1"/>
  <c r="I13" i="1"/>
  <c r="F14" i="1"/>
  <c r="C68" i="1"/>
  <c r="C69" i="1"/>
  <c r="D68" i="1"/>
  <c r="D69" i="1"/>
  <c r="B69" i="1"/>
  <c r="B68" i="1"/>
  <c r="V51" i="1"/>
  <c r="E51" i="1"/>
  <c r="E56" i="1"/>
  <c r="E62" i="1" s="1"/>
  <c r="E64" i="1" s="1"/>
  <c r="I53" i="1"/>
  <c r="F55" i="1"/>
  <c r="J30" i="1"/>
  <c r="F33" i="1"/>
  <c r="J29" i="1"/>
  <c r="F32" i="1"/>
  <c r="F30" i="1"/>
  <c r="F31" i="1"/>
  <c r="F29" i="1"/>
  <c r="J31" i="1"/>
  <c r="F17" i="1"/>
  <c r="F26" i="1"/>
  <c r="K34" i="1"/>
  <c r="J32" i="1"/>
  <c r="J26" i="1"/>
  <c r="J33" i="1"/>
  <c r="G34" i="1"/>
  <c r="V163" i="1" l="1"/>
  <c r="W162" i="1" s="1"/>
  <c r="P142" i="1"/>
  <c r="AA100" i="1"/>
  <c r="K122" i="1"/>
  <c r="K124" i="1"/>
  <c r="K123" i="1"/>
  <c r="L123" i="1"/>
  <c r="L124" i="1"/>
  <c r="Q145" i="1"/>
  <c r="X145" i="1" s="1"/>
  <c r="X84" i="1"/>
  <c r="Y84" i="1" s="1"/>
  <c r="L121" i="1"/>
  <c r="L114" i="1"/>
  <c r="L122" i="1"/>
  <c r="P140" i="1"/>
  <c r="P141" i="1"/>
  <c r="K112" i="1"/>
  <c r="K116" i="1"/>
  <c r="K114" i="1"/>
  <c r="K115" i="1"/>
  <c r="L112" i="1"/>
  <c r="L116" i="1"/>
  <c r="L115" i="1"/>
  <c r="N130" i="1"/>
  <c r="L50" i="1"/>
  <c r="L56" i="1" s="1"/>
  <c r="L62" i="1" s="1"/>
  <c r="L64" i="1" s="1"/>
  <c r="N86" i="1"/>
  <c r="O85" i="1"/>
  <c r="W60" i="1"/>
  <c r="N60" i="1"/>
  <c r="N66" i="1"/>
  <c r="N67" i="1"/>
  <c r="W67" i="1"/>
  <c r="G50" i="1"/>
  <c r="G51" i="1" s="1"/>
  <c r="U51" i="1"/>
  <c r="X54" i="1"/>
  <c r="Y54" i="1" s="1"/>
  <c r="Z54" i="1" s="1"/>
  <c r="AA54" i="1" s="1"/>
  <c r="AB54" i="1" s="1"/>
  <c r="AC54" i="1" s="1"/>
  <c r="AD54" i="1" s="1"/>
  <c r="AE54" i="1" s="1"/>
  <c r="AF54" i="1" s="1"/>
  <c r="AG54" i="1" s="1"/>
  <c r="I8" i="1"/>
  <c r="M7" i="1"/>
  <c r="I12" i="1"/>
  <c r="M11" i="1"/>
  <c r="I14" i="1"/>
  <c r="M13" i="1"/>
  <c r="N25" i="1"/>
  <c r="I10" i="1"/>
  <c r="M9" i="1"/>
  <c r="I55" i="1"/>
  <c r="M53" i="1"/>
  <c r="W53" i="1" s="1"/>
  <c r="W55" i="1" s="1"/>
  <c r="I39" i="1"/>
  <c r="N21" i="1"/>
  <c r="N29" i="1" s="1"/>
  <c r="N17" i="1"/>
  <c r="N24" i="1"/>
  <c r="N22" i="1"/>
  <c r="I16" i="1"/>
  <c r="M15" i="1"/>
  <c r="N23" i="1"/>
  <c r="T69" i="1"/>
  <c r="I40" i="1"/>
  <c r="K50" i="1"/>
  <c r="K51" i="1" s="1"/>
  <c r="U69" i="1"/>
  <c r="I41" i="1"/>
  <c r="I37" i="1"/>
  <c r="J49" i="1"/>
  <c r="J42" i="1"/>
  <c r="F49" i="1"/>
  <c r="F42" i="1"/>
  <c r="I38" i="1"/>
  <c r="I26" i="1"/>
  <c r="I33" i="1"/>
  <c r="I32" i="1"/>
  <c r="I30" i="1"/>
  <c r="I17" i="1"/>
  <c r="I18" i="1" s="1"/>
  <c r="I31" i="1"/>
  <c r="H51" i="1"/>
  <c r="I29" i="1"/>
  <c r="J45" i="1"/>
  <c r="J47" i="1" s="1"/>
  <c r="O7" i="4" s="1"/>
  <c r="D23" i="2" s="1"/>
  <c r="F45" i="1"/>
  <c r="F47" i="1" s="1"/>
  <c r="F18" i="1"/>
  <c r="E69" i="1"/>
  <c r="E68" i="1"/>
  <c r="V69" i="1"/>
  <c r="V68" i="1"/>
  <c r="H69" i="1"/>
  <c r="H68" i="1"/>
  <c r="F34" i="1"/>
  <c r="J34" i="1"/>
  <c r="AB100" i="1" l="1"/>
  <c r="Z84" i="1"/>
  <c r="Z145" i="1"/>
  <c r="Y145" i="1"/>
  <c r="L129" i="1"/>
  <c r="L143" i="1" s="1"/>
  <c r="L161" i="1" s="1"/>
  <c r="L104" i="1"/>
  <c r="O130" i="1"/>
  <c r="L51" i="1"/>
  <c r="F10" i="3"/>
  <c r="P85" i="1"/>
  <c r="O86" i="1"/>
  <c r="L69" i="1"/>
  <c r="L68" i="1"/>
  <c r="G56" i="1"/>
  <c r="G62" i="1" s="1"/>
  <c r="G64" i="1" s="1"/>
  <c r="G68" i="1" s="1"/>
  <c r="O67" i="1"/>
  <c r="O66" i="1"/>
  <c r="O60" i="1"/>
  <c r="P60" i="1" s="1"/>
  <c r="N32" i="1"/>
  <c r="N31" i="1"/>
  <c r="N33" i="1"/>
  <c r="N30" i="1"/>
  <c r="Q15" i="1"/>
  <c r="M25" i="1"/>
  <c r="W15" i="1"/>
  <c r="W16" i="1" s="1"/>
  <c r="N18" i="1"/>
  <c r="N45" i="1"/>
  <c r="N47" i="1" s="1"/>
  <c r="N26" i="1"/>
  <c r="M55" i="1"/>
  <c r="M92" i="1" s="1"/>
  <c r="W92" i="1" s="1"/>
  <c r="W117" i="1" s="1"/>
  <c r="N53" i="1"/>
  <c r="Q11" i="1"/>
  <c r="M23" i="1"/>
  <c r="W11" i="1"/>
  <c r="W12" i="1" s="1"/>
  <c r="Q13" i="1"/>
  <c r="M24" i="1"/>
  <c r="W13" i="1"/>
  <c r="W14" i="1" s="1"/>
  <c r="Q9" i="1"/>
  <c r="M22" i="1"/>
  <c r="W9" i="1"/>
  <c r="W10" i="1" s="1"/>
  <c r="Q7" i="1"/>
  <c r="Q21" i="1" s="1"/>
  <c r="M21" i="1"/>
  <c r="W21" i="1" s="1"/>
  <c r="M17" i="1"/>
  <c r="W7" i="1"/>
  <c r="K56" i="1"/>
  <c r="K62" i="1" s="1"/>
  <c r="K64" i="1" s="1"/>
  <c r="K129" i="1" s="1"/>
  <c r="K143" i="1" s="1"/>
  <c r="K161" i="1" s="1"/>
  <c r="J50" i="1"/>
  <c r="J51" i="1" s="1"/>
  <c r="I49" i="1"/>
  <c r="I42" i="1"/>
  <c r="F50" i="1"/>
  <c r="F51" i="1" s="1"/>
  <c r="I34" i="1"/>
  <c r="I45" i="1"/>
  <c r="I47" i="1" s="1"/>
  <c r="AC100" i="1" l="1"/>
  <c r="N76" i="1"/>
  <c r="N93" i="1"/>
  <c r="N96" i="1"/>
  <c r="AA84" i="1"/>
  <c r="AA145" i="1"/>
  <c r="L105" i="1"/>
  <c r="L107" i="1" s="1"/>
  <c r="L108" i="1" s="1"/>
  <c r="N91" i="1"/>
  <c r="N75" i="1"/>
  <c r="N88" i="1"/>
  <c r="P130" i="1"/>
  <c r="Q85" i="1"/>
  <c r="X85" i="1" s="1"/>
  <c r="P86" i="1"/>
  <c r="G69" i="1"/>
  <c r="Q60" i="1"/>
  <c r="X60" i="1" s="1"/>
  <c r="P67" i="1"/>
  <c r="P66" i="1"/>
  <c r="W37" i="1"/>
  <c r="M31" i="1"/>
  <c r="W31" i="1" s="1"/>
  <c r="W23" i="1"/>
  <c r="W39" i="1" s="1"/>
  <c r="M32" i="1"/>
  <c r="W32" i="1" s="1"/>
  <c r="W24" i="1"/>
  <c r="W40" i="1" s="1"/>
  <c r="M33" i="1"/>
  <c r="W33" i="1" s="1"/>
  <c r="W25" i="1"/>
  <c r="W41" i="1" s="1"/>
  <c r="M30" i="1"/>
  <c r="W30" i="1" s="1"/>
  <c r="W22" i="1"/>
  <c r="W38" i="1" s="1"/>
  <c r="N34" i="1"/>
  <c r="N74" i="1" s="1"/>
  <c r="M45" i="1"/>
  <c r="M47" i="1" s="1"/>
  <c r="M18" i="1"/>
  <c r="N42" i="1"/>
  <c r="N49" i="1"/>
  <c r="N50" i="1" s="1"/>
  <c r="M29" i="1"/>
  <c r="W29" i="1" s="1"/>
  <c r="M26" i="1"/>
  <c r="Q24" i="1"/>
  <c r="X13" i="1"/>
  <c r="X21" i="1"/>
  <c r="Q17" i="1"/>
  <c r="X7" i="1"/>
  <c r="Y7" i="1" s="1"/>
  <c r="Q23" i="1"/>
  <c r="X11" i="1"/>
  <c r="Q22" i="1"/>
  <c r="X9" i="1"/>
  <c r="O53" i="1"/>
  <c r="O55" i="1" s="1"/>
  <c r="N55" i="1"/>
  <c r="N92" i="1" s="1"/>
  <c r="Q25" i="1"/>
  <c r="X15" i="1"/>
  <c r="W8" i="1"/>
  <c r="W17" i="1"/>
  <c r="K69" i="1"/>
  <c r="K68" i="1"/>
  <c r="F56" i="1"/>
  <c r="F62" i="1" s="1"/>
  <c r="F64" i="1" s="1"/>
  <c r="F68" i="1" s="1"/>
  <c r="J56" i="1"/>
  <c r="I50" i="1"/>
  <c r="I51" i="1" s="1"/>
  <c r="J62" i="1" l="1"/>
  <c r="O11" i="4"/>
  <c r="AD100" i="1"/>
  <c r="M102" i="1"/>
  <c r="W102" i="1" s="1"/>
  <c r="M96" i="1"/>
  <c r="W96" i="1" s="1"/>
  <c r="M93" i="1"/>
  <c r="W93" i="1" s="1"/>
  <c r="W123" i="1" s="1"/>
  <c r="Y85" i="1"/>
  <c r="Y130" i="1" s="1"/>
  <c r="X113" i="1"/>
  <c r="O142" i="1"/>
  <c r="AB84" i="1"/>
  <c r="M76" i="1"/>
  <c r="W76" i="1" s="1"/>
  <c r="W122" i="1" s="1"/>
  <c r="O139" i="1"/>
  <c r="O140" i="1"/>
  <c r="O56" i="1"/>
  <c r="O92" i="1"/>
  <c r="O94" i="1" s="1"/>
  <c r="O97" i="1" s="1"/>
  <c r="N94" i="1"/>
  <c r="N97" i="1" s="1"/>
  <c r="O141" i="1"/>
  <c r="F8" i="3"/>
  <c r="M88" i="1"/>
  <c r="N142" i="1" s="1"/>
  <c r="M91" i="1"/>
  <c r="M75" i="1"/>
  <c r="Q130" i="1"/>
  <c r="X130" i="1" s="1"/>
  <c r="Y60" i="1"/>
  <c r="Z60" i="1" s="1"/>
  <c r="X14" i="1"/>
  <c r="Y13" i="1"/>
  <c r="X10" i="1"/>
  <c r="Y9" i="1"/>
  <c r="F69" i="1"/>
  <c r="X12" i="1"/>
  <c r="Y11" i="1"/>
  <c r="Q67" i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Q66" i="1"/>
  <c r="X66" i="1" s="1"/>
  <c r="Y66" i="1" s="1"/>
  <c r="X16" i="1"/>
  <c r="Y15" i="1"/>
  <c r="Z7" i="1"/>
  <c r="Y21" i="1"/>
  <c r="Y29" i="1" s="1"/>
  <c r="M34" i="1"/>
  <c r="M74" i="1" s="1"/>
  <c r="W74" i="1" s="1"/>
  <c r="Q31" i="1"/>
  <c r="X31" i="1" s="1"/>
  <c r="X23" i="1"/>
  <c r="X39" i="1" s="1"/>
  <c r="W26" i="1"/>
  <c r="Q30" i="1"/>
  <c r="X30" i="1" s="1"/>
  <c r="X22" i="1"/>
  <c r="X38" i="1" s="1"/>
  <c r="Q32" i="1"/>
  <c r="X32" i="1" s="1"/>
  <c r="X24" i="1"/>
  <c r="X40" i="1" s="1"/>
  <c r="W18" i="1"/>
  <c r="W45" i="1"/>
  <c r="W47" i="1" s="1"/>
  <c r="W34" i="1"/>
  <c r="Q33" i="1"/>
  <c r="X33" i="1" s="1"/>
  <c r="X25" i="1"/>
  <c r="X41" i="1" s="1"/>
  <c r="X37" i="1"/>
  <c r="P53" i="1"/>
  <c r="X17" i="1"/>
  <c r="X8" i="1"/>
  <c r="N51" i="1"/>
  <c r="N56" i="1"/>
  <c r="M49" i="1"/>
  <c r="M50" i="1" s="1"/>
  <c r="M42" i="1"/>
  <c r="Q45" i="1"/>
  <c r="Q47" i="1" s="1"/>
  <c r="Q18" i="1"/>
  <c r="Q26" i="1"/>
  <c r="Q29" i="1"/>
  <c r="I56" i="1"/>
  <c r="I62" i="1" s="1"/>
  <c r="I64" i="1" s="1"/>
  <c r="I69" i="1" s="1"/>
  <c r="J64" i="1" l="1"/>
  <c r="O13" i="4"/>
  <c r="AE100" i="1"/>
  <c r="N141" i="1"/>
  <c r="W91" i="1"/>
  <c r="W116" i="1" s="1"/>
  <c r="Z85" i="1"/>
  <c r="AC84" i="1"/>
  <c r="AC145" i="1"/>
  <c r="W124" i="1"/>
  <c r="Q96" i="1"/>
  <c r="X96" i="1" s="1"/>
  <c r="Q93" i="1"/>
  <c r="X93" i="1" s="1"/>
  <c r="M142" i="1"/>
  <c r="W142" i="1" s="1"/>
  <c r="W88" i="1"/>
  <c r="W114" i="1" s="1"/>
  <c r="AB145" i="1"/>
  <c r="W121" i="1"/>
  <c r="Y86" i="1"/>
  <c r="M140" i="1"/>
  <c r="W140" i="1" s="1"/>
  <c r="W75" i="1"/>
  <c r="W115" i="1" s="1"/>
  <c r="W112" i="1"/>
  <c r="N102" i="1"/>
  <c r="O102" i="1" s="1"/>
  <c r="P102" i="1" s="1"/>
  <c r="Q102" i="1"/>
  <c r="X102" i="1" s="1"/>
  <c r="Q76" i="1"/>
  <c r="X76" i="1" s="1"/>
  <c r="X122" i="1" s="1"/>
  <c r="Y122" i="1" s="1"/>
  <c r="Z122" i="1" s="1"/>
  <c r="AA122" i="1" s="1"/>
  <c r="AB122" i="1" s="1"/>
  <c r="AC122" i="1" s="1"/>
  <c r="AD122" i="1" s="1"/>
  <c r="AE122" i="1" s="1"/>
  <c r="AF122" i="1" s="1"/>
  <c r="AG122" i="1" s="1"/>
  <c r="M139" i="1"/>
  <c r="W139" i="1" s="1"/>
  <c r="M94" i="1"/>
  <c r="M141" i="1"/>
  <c r="W141" i="1" s="1"/>
  <c r="N140" i="1"/>
  <c r="N139" i="1"/>
  <c r="Q88" i="1"/>
  <c r="Q91" i="1"/>
  <c r="X91" i="1" s="1"/>
  <c r="Q75" i="1"/>
  <c r="Q86" i="1"/>
  <c r="X86" i="1" s="1"/>
  <c r="Z66" i="1"/>
  <c r="AA66" i="1" s="1"/>
  <c r="AB66" i="1" s="1"/>
  <c r="AC66" i="1" s="1"/>
  <c r="AD66" i="1" s="1"/>
  <c r="AE66" i="1" s="1"/>
  <c r="AF66" i="1" s="1"/>
  <c r="AG66" i="1" s="1"/>
  <c r="AA60" i="1"/>
  <c r="AB60" i="1" s="1"/>
  <c r="AC60" i="1" s="1"/>
  <c r="AD60" i="1" s="1"/>
  <c r="Y23" i="1"/>
  <c r="Y31" i="1" s="1"/>
  <c r="Z11" i="1"/>
  <c r="AA7" i="1"/>
  <c r="Z21" i="1"/>
  <c r="Y25" i="1"/>
  <c r="Y33" i="1" s="1"/>
  <c r="Z15" i="1"/>
  <c r="Z9" i="1"/>
  <c r="Y22" i="1"/>
  <c r="Y24" i="1"/>
  <c r="Y32" i="1" s="1"/>
  <c r="Z13" i="1"/>
  <c r="Y17" i="1"/>
  <c r="X26" i="1"/>
  <c r="P55" i="1"/>
  <c r="Q34" i="1"/>
  <c r="Q74" i="1" s="1"/>
  <c r="X74" i="1" s="1"/>
  <c r="X29" i="1"/>
  <c r="X34" i="1" s="1"/>
  <c r="W49" i="1"/>
  <c r="W50" i="1" s="1"/>
  <c r="W42" i="1"/>
  <c r="Q53" i="1"/>
  <c r="Q55" i="1" s="1"/>
  <c r="Q92" i="1" s="1"/>
  <c r="X92" i="1" s="1"/>
  <c r="X18" i="1"/>
  <c r="X45" i="1"/>
  <c r="X47" i="1" s="1"/>
  <c r="G8" i="3" s="1"/>
  <c r="M56" i="1"/>
  <c r="M62" i="1" s="1"/>
  <c r="M51" i="1"/>
  <c r="Q49" i="1"/>
  <c r="Q50" i="1" s="1"/>
  <c r="Q42" i="1"/>
  <c r="I68" i="1"/>
  <c r="J129" i="1" l="1"/>
  <c r="J143" i="1" s="1"/>
  <c r="J161" i="1" s="1"/>
  <c r="J163" i="1" s="1"/>
  <c r="K162" i="1" s="1"/>
  <c r="K163" i="1" s="1"/>
  <c r="L162" i="1" s="1"/>
  <c r="L163" i="1" s="1"/>
  <c r="M162" i="1" s="1"/>
  <c r="O14" i="4"/>
  <c r="J68" i="1"/>
  <c r="O17" i="4" s="1"/>
  <c r="J69" i="1"/>
  <c r="O18" i="4" s="1"/>
  <c r="D29" i="2" s="1"/>
  <c r="X121" i="1"/>
  <c r="Y121" i="1" s="1"/>
  <c r="AF100" i="1"/>
  <c r="Z121" i="1"/>
  <c r="AD84" i="1"/>
  <c r="AD145" i="1"/>
  <c r="Q142" i="1"/>
  <c r="X142" i="1" s="1"/>
  <c r="X88" i="1"/>
  <c r="X114" i="1" s="1"/>
  <c r="Q140" i="1"/>
  <c r="X140" i="1" s="1"/>
  <c r="X75" i="1"/>
  <c r="X115" i="1" s="1"/>
  <c r="Z130" i="1"/>
  <c r="AA85" i="1"/>
  <c r="Z86" i="1"/>
  <c r="X123" i="1"/>
  <c r="Y123" i="1" s="1"/>
  <c r="X116" i="1"/>
  <c r="M97" i="1"/>
  <c r="W97" i="1" s="1"/>
  <c r="W94" i="1"/>
  <c r="X124" i="1"/>
  <c r="Y124" i="1" s="1"/>
  <c r="X141" i="1"/>
  <c r="X112" i="1"/>
  <c r="Y112" i="1" s="1"/>
  <c r="P56" i="1"/>
  <c r="P92" i="1"/>
  <c r="P94" i="1" s="1"/>
  <c r="P97" i="1" s="1"/>
  <c r="Q139" i="1"/>
  <c r="X139" i="1" s="1"/>
  <c r="Q141" i="1"/>
  <c r="Q94" i="1"/>
  <c r="AE60" i="1"/>
  <c r="AF60" i="1" s="1"/>
  <c r="AG60" i="1" s="1"/>
  <c r="Y26" i="1"/>
  <c r="Y42" i="1" s="1"/>
  <c r="AA11" i="1"/>
  <c r="Z23" i="1"/>
  <c r="Z31" i="1" s="1"/>
  <c r="Y30" i="1"/>
  <c r="Y34" i="1" s="1"/>
  <c r="Z29" i="1"/>
  <c r="AA21" i="1"/>
  <c r="AB7" i="1"/>
  <c r="Y18" i="1"/>
  <c r="Y45" i="1"/>
  <c r="Y47" i="1" s="1"/>
  <c r="AA13" i="1"/>
  <c r="Z24" i="1"/>
  <c r="Z32" i="1" s="1"/>
  <c r="Z17" i="1"/>
  <c r="Z22" i="1"/>
  <c r="Z30" i="1" s="1"/>
  <c r="AA9" i="1"/>
  <c r="Z25" i="1"/>
  <c r="Z33" i="1" s="1"/>
  <c r="AA15" i="1"/>
  <c r="M63" i="1"/>
  <c r="W56" i="1"/>
  <c r="W62" i="1" s="1"/>
  <c r="W51" i="1"/>
  <c r="X42" i="1"/>
  <c r="X49" i="1"/>
  <c r="X50" i="1" s="1"/>
  <c r="X53" i="1"/>
  <c r="Q56" i="1"/>
  <c r="Q51" i="1"/>
  <c r="Y74" i="1" l="1"/>
  <c r="Y91" i="1"/>
  <c r="Y75" i="1"/>
  <c r="Y140" i="1" s="1"/>
  <c r="AA121" i="1"/>
  <c r="AG100" i="1"/>
  <c r="W63" i="1"/>
  <c r="W64" i="1" s="1"/>
  <c r="M87" i="1"/>
  <c r="W87" i="1" s="1"/>
  <c r="AB85" i="1"/>
  <c r="AA130" i="1"/>
  <c r="AA86" i="1"/>
  <c r="Y88" i="1"/>
  <c r="Y76" i="1"/>
  <c r="Y93" i="1"/>
  <c r="Z123" i="1"/>
  <c r="Z112" i="1"/>
  <c r="Q97" i="1"/>
  <c r="X97" i="1" s="1"/>
  <c r="X94" i="1"/>
  <c r="Z124" i="1"/>
  <c r="Y96" i="1"/>
  <c r="AE84" i="1"/>
  <c r="Y102" i="1"/>
  <c r="Y49" i="1"/>
  <c r="Y50" i="1" s="1"/>
  <c r="H8" i="3"/>
  <c r="AA29" i="1"/>
  <c r="Z26" i="1"/>
  <c r="AA17" i="1"/>
  <c r="AB9" i="1"/>
  <c r="AA22" i="1"/>
  <c r="AA30" i="1" s="1"/>
  <c r="Z18" i="1"/>
  <c r="Z45" i="1"/>
  <c r="Z47" i="1" s="1"/>
  <c r="Z34" i="1"/>
  <c r="AB13" i="1"/>
  <c r="AA24" i="1"/>
  <c r="AA32" i="1" s="1"/>
  <c r="AA23" i="1"/>
  <c r="AA31" i="1" s="1"/>
  <c r="AB11" i="1"/>
  <c r="X55" i="1"/>
  <c r="Y53" i="1"/>
  <c r="Z53" i="1" s="1"/>
  <c r="AA53" i="1" s="1"/>
  <c r="AB53" i="1" s="1"/>
  <c r="AC53" i="1" s="1"/>
  <c r="AD53" i="1" s="1"/>
  <c r="AE53" i="1" s="1"/>
  <c r="AF53" i="1" s="1"/>
  <c r="AG53" i="1" s="1"/>
  <c r="AA25" i="1"/>
  <c r="AA33" i="1" s="1"/>
  <c r="AB15" i="1"/>
  <c r="AC7" i="1"/>
  <c r="AB21" i="1"/>
  <c r="M64" i="1"/>
  <c r="X51" i="1"/>
  <c r="I8" i="3" l="1"/>
  <c r="Z91" i="1"/>
  <c r="Z88" i="1"/>
  <c r="Z142" i="1" s="1"/>
  <c r="Z75" i="1"/>
  <c r="Z76" i="1"/>
  <c r="AA123" i="1"/>
  <c r="Z93" i="1"/>
  <c r="Z102" i="1"/>
  <c r="AA124" i="1"/>
  <c r="Z96" i="1"/>
  <c r="AB121" i="1"/>
  <c r="AA112" i="1"/>
  <c r="Z74" i="1"/>
  <c r="Z139" i="1" s="1"/>
  <c r="W125" i="1"/>
  <c r="Y142" i="1"/>
  <c r="Y139" i="1"/>
  <c r="X56" i="1"/>
  <c r="X117" i="1"/>
  <c r="AF84" i="1"/>
  <c r="AE145" i="1"/>
  <c r="Y141" i="1"/>
  <c r="Z141" i="1"/>
  <c r="AB130" i="1"/>
  <c r="AC85" i="1"/>
  <c r="AB86" i="1"/>
  <c r="F12" i="3"/>
  <c r="F18" i="3" s="1"/>
  <c r="M104" i="1"/>
  <c r="G10" i="3"/>
  <c r="W68" i="1"/>
  <c r="W69" i="1"/>
  <c r="AC15" i="1"/>
  <c r="AB25" i="1"/>
  <c r="AB33" i="1" s="1"/>
  <c r="M129" i="1"/>
  <c r="M69" i="1"/>
  <c r="M68" i="1"/>
  <c r="Y55" i="1"/>
  <c r="Y92" i="1" s="1"/>
  <c r="AC13" i="1"/>
  <c r="AB24" i="1"/>
  <c r="AB32" i="1" s="1"/>
  <c r="AC9" i="1"/>
  <c r="AB22" i="1"/>
  <c r="AB30" i="1" s="1"/>
  <c r="AB17" i="1"/>
  <c r="AC11" i="1"/>
  <c r="AB23" i="1"/>
  <c r="AB31" i="1" s="1"/>
  <c r="AA18" i="1"/>
  <c r="AA45" i="1"/>
  <c r="AA47" i="1" s="1"/>
  <c r="AA131" i="1" s="1"/>
  <c r="AA101" i="1" s="1"/>
  <c r="Z42" i="1"/>
  <c r="Z49" i="1"/>
  <c r="Z50" i="1" s="1"/>
  <c r="AC21" i="1"/>
  <c r="AC29" i="1" s="1"/>
  <c r="AD7" i="1"/>
  <c r="AA26" i="1"/>
  <c r="AB29" i="1"/>
  <c r="AA34" i="1"/>
  <c r="AA102" i="1" l="1"/>
  <c r="AB112" i="1"/>
  <c r="AA74" i="1"/>
  <c r="AA139" i="1" s="1"/>
  <c r="AB123" i="1"/>
  <c r="AA93" i="1"/>
  <c r="AC121" i="1"/>
  <c r="AB124" i="1"/>
  <c r="AA96" i="1"/>
  <c r="Z94" i="1"/>
  <c r="Z97" i="1" s="1"/>
  <c r="J8" i="3"/>
  <c r="AA91" i="1"/>
  <c r="AA88" i="1"/>
  <c r="AA75" i="1"/>
  <c r="AA140" i="1" s="1"/>
  <c r="AA76" i="1"/>
  <c r="AG84" i="1"/>
  <c r="Y56" i="1"/>
  <c r="Y94" i="1"/>
  <c r="Y97" i="1" s="1"/>
  <c r="M105" i="1"/>
  <c r="W104" i="1"/>
  <c r="M143" i="1"/>
  <c r="M161" i="1" s="1"/>
  <c r="W129" i="1"/>
  <c r="W143" i="1" s="1"/>
  <c r="W161" i="1" s="1"/>
  <c r="AD85" i="1"/>
  <c r="AC130" i="1"/>
  <c r="AC86" i="1"/>
  <c r="AF145" i="1"/>
  <c r="AB26" i="1"/>
  <c r="AB42" i="1" s="1"/>
  <c r="Y62" i="1"/>
  <c r="Y63" i="1" s="1"/>
  <c r="Y64" i="1" s="1"/>
  <c r="Y129" i="1" s="1"/>
  <c r="H10" i="3"/>
  <c r="AB18" i="1"/>
  <c r="AB45" i="1"/>
  <c r="AB47" i="1" s="1"/>
  <c r="Z55" i="1"/>
  <c r="Z92" i="1" s="1"/>
  <c r="AB34" i="1"/>
  <c r="AA42" i="1"/>
  <c r="AA49" i="1"/>
  <c r="AA50" i="1" s="1"/>
  <c r="AD9" i="1"/>
  <c r="AC22" i="1"/>
  <c r="AE7" i="1"/>
  <c r="AD21" i="1"/>
  <c r="AD29" i="1" s="1"/>
  <c r="AC17" i="1"/>
  <c r="AC24" i="1"/>
  <c r="AC32" i="1" s="1"/>
  <c r="AD13" i="1"/>
  <c r="AC23" i="1"/>
  <c r="AC31" i="1" s="1"/>
  <c r="AD11" i="1"/>
  <c r="AC25" i="1"/>
  <c r="AC33" i="1" s="1"/>
  <c r="AD15" i="1"/>
  <c r="AB102" i="1" l="1"/>
  <c r="AB131" i="1"/>
  <c r="AB101" i="1" s="1"/>
  <c r="AC124" i="1"/>
  <c r="AB96" i="1"/>
  <c r="AD121" i="1"/>
  <c r="K8" i="3"/>
  <c r="AB91" i="1"/>
  <c r="AB88" i="1"/>
  <c r="AB75" i="1"/>
  <c r="AB140" i="1" s="1"/>
  <c r="AB76" i="1"/>
  <c r="AA142" i="1"/>
  <c r="AA141" i="1"/>
  <c r="AC123" i="1"/>
  <c r="AB93" i="1"/>
  <c r="AC112" i="1"/>
  <c r="AB74" i="1"/>
  <c r="AB139" i="1" s="1"/>
  <c r="M163" i="1"/>
  <c r="N162" i="1" s="1"/>
  <c r="M72" i="1"/>
  <c r="W72" i="1" s="1"/>
  <c r="AE85" i="1"/>
  <c r="AD130" i="1"/>
  <c r="AD86" i="1"/>
  <c r="AG145" i="1"/>
  <c r="M107" i="1"/>
  <c r="W105" i="1"/>
  <c r="W107" i="1" s="1"/>
  <c r="N57" i="1"/>
  <c r="N62" i="1" s="1"/>
  <c r="AD17" i="1"/>
  <c r="AD18" i="1" s="1"/>
  <c r="AC26" i="1"/>
  <c r="AC42" i="1" s="1"/>
  <c r="AB49" i="1"/>
  <c r="AB50" i="1" s="1"/>
  <c r="Y69" i="1"/>
  <c r="Y68" i="1"/>
  <c r="Z56" i="1"/>
  <c r="AD24" i="1"/>
  <c r="AD32" i="1" s="1"/>
  <c r="AE13" i="1"/>
  <c r="AF7" i="1"/>
  <c r="AE21" i="1"/>
  <c r="AE29" i="1" s="1"/>
  <c r="AE11" i="1"/>
  <c r="AD23" i="1"/>
  <c r="AA55" i="1"/>
  <c r="AE9" i="1"/>
  <c r="AD22" i="1"/>
  <c r="AD30" i="1" s="1"/>
  <c r="AD25" i="1"/>
  <c r="AD33" i="1" s="1"/>
  <c r="AE15" i="1"/>
  <c r="AC30" i="1"/>
  <c r="AC34" i="1" s="1"/>
  <c r="AC18" i="1"/>
  <c r="AC45" i="1"/>
  <c r="AC47" i="1" s="1"/>
  <c r="AC131" i="1" s="1"/>
  <c r="AB142" i="1" l="1"/>
  <c r="AC101" i="1"/>
  <c r="L8" i="3"/>
  <c r="AC91" i="1"/>
  <c r="AC88" i="1"/>
  <c r="AC75" i="1"/>
  <c r="AC140" i="1" s="1"/>
  <c r="AC76" i="1"/>
  <c r="AC142" i="1" s="1"/>
  <c r="AD112" i="1"/>
  <c r="AC74" i="1"/>
  <c r="AC139" i="1" s="1"/>
  <c r="AB141" i="1"/>
  <c r="AD123" i="1"/>
  <c r="AC93" i="1"/>
  <c r="AC102" i="1"/>
  <c r="AE121" i="1"/>
  <c r="AD124" i="1"/>
  <c r="AC96" i="1"/>
  <c r="AA56" i="1"/>
  <c r="J10" i="3" s="1"/>
  <c r="AA92" i="1"/>
  <c r="AA94" i="1" s="1"/>
  <c r="AA97" i="1" s="1"/>
  <c r="W163" i="1"/>
  <c r="X162" i="1" s="1"/>
  <c r="AE130" i="1"/>
  <c r="AF85" i="1"/>
  <c r="AE86" i="1"/>
  <c r="N63" i="1"/>
  <c r="AD45" i="1"/>
  <c r="AD47" i="1" s="1"/>
  <c r="AD131" i="1" s="1"/>
  <c r="AC49" i="1"/>
  <c r="AC50" i="1" s="1"/>
  <c r="AD26" i="1"/>
  <c r="AD42" i="1" s="1"/>
  <c r="Z62" i="1"/>
  <c r="Z63" i="1" s="1"/>
  <c r="Z64" i="1" s="1"/>
  <c r="Z129" i="1" s="1"/>
  <c r="I10" i="3"/>
  <c r="AD31" i="1"/>
  <c r="AD34" i="1" s="1"/>
  <c r="AG7" i="1"/>
  <c r="AF21" i="1"/>
  <c r="AF29" i="1" s="1"/>
  <c r="AE25" i="1"/>
  <c r="AE33" i="1" s="1"/>
  <c r="AF15" i="1"/>
  <c r="AB55" i="1"/>
  <c r="AE24" i="1"/>
  <c r="AE32" i="1" s="1"/>
  <c r="AF13" i="1"/>
  <c r="AF11" i="1"/>
  <c r="AE23" i="1"/>
  <c r="AE31" i="1" s="1"/>
  <c r="AE17" i="1"/>
  <c r="AF9" i="1"/>
  <c r="AE22" i="1"/>
  <c r="AA62" i="1" l="1"/>
  <c r="AA63" i="1" s="1"/>
  <c r="AA64" i="1" s="1"/>
  <c r="AA129" i="1" s="1"/>
  <c r="AA143" i="1" s="1"/>
  <c r="AA161" i="1" s="1"/>
  <c r="AD102" i="1"/>
  <c r="AD101" i="1"/>
  <c r="AB56" i="1"/>
  <c r="K10" i="3" s="1"/>
  <c r="AB92" i="1"/>
  <c r="AB94" i="1" s="1"/>
  <c r="AB97" i="1" s="1"/>
  <c r="AE112" i="1"/>
  <c r="AD74" i="1"/>
  <c r="AD139" i="1" s="1"/>
  <c r="AE124" i="1"/>
  <c r="AD96" i="1"/>
  <c r="AF121" i="1"/>
  <c r="AE123" i="1"/>
  <c r="AD93" i="1"/>
  <c r="AC141" i="1"/>
  <c r="M8" i="3"/>
  <c r="AD91" i="1"/>
  <c r="AD141" i="1" s="1"/>
  <c r="AD88" i="1"/>
  <c r="AD75" i="1"/>
  <c r="AD140" i="1" s="1"/>
  <c r="AD76" i="1"/>
  <c r="N64" i="1"/>
  <c r="N68" i="1" s="1"/>
  <c r="N87" i="1"/>
  <c r="AF130" i="1"/>
  <c r="AG85" i="1"/>
  <c r="AF86" i="1"/>
  <c r="AD49" i="1"/>
  <c r="AD50" i="1" s="1"/>
  <c r="Z68" i="1"/>
  <c r="Z69" i="1"/>
  <c r="AF17" i="1"/>
  <c r="AF45" i="1" s="1"/>
  <c r="AF47" i="1" s="1"/>
  <c r="AF131" i="1" s="1"/>
  <c r="AE26" i="1"/>
  <c r="AE42" i="1" s="1"/>
  <c r="AG11" i="1"/>
  <c r="AG23" i="1" s="1"/>
  <c r="AG31" i="1" s="1"/>
  <c r="AF23" i="1"/>
  <c r="AF31" i="1" s="1"/>
  <c r="AG21" i="1"/>
  <c r="AG29" i="1" s="1"/>
  <c r="AE30" i="1"/>
  <c r="AE34" i="1" s="1"/>
  <c r="AG9" i="1"/>
  <c r="AG22" i="1" s="1"/>
  <c r="AG30" i="1" s="1"/>
  <c r="AF22" i="1"/>
  <c r="AF24" i="1"/>
  <c r="AF32" i="1" s="1"/>
  <c r="AG13" i="1"/>
  <c r="AG24" i="1" s="1"/>
  <c r="AG32" i="1" s="1"/>
  <c r="AE18" i="1"/>
  <c r="AE45" i="1"/>
  <c r="AE47" i="1" s="1"/>
  <c r="AE131" i="1" s="1"/>
  <c r="AC55" i="1"/>
  <c r="AF25" i="1"/>
  <c r="AF33" i="1" s="1"/>
  <c r="AG15" i="1"/>
  <c r="AG25" i="1" s="1"/>
  <c r="AG33" i="1" s="1"/>
  <c r="AA68" i="1" l="1"/>
  <c r="AA69" i="1"/>
  <c r="AD142" i="1"/>
  <c r="J13" i="3"/>
  <c r="J12" i="3" s="1"/>
  <c r="AB62" i="1"/>
  <c r="AB63" i="1" s="1"/>
  <c r="AB64" i="1" s="1"/>
  <c r="K13" i="3" s="1"/>
  <c r="AE101" i="1"/>
  <c r="AF101" i="1" s="1"/>
  <c r="AE75" i="1"/>
  <c r="AE140" i="1" s="1"/>
  <c r="AE76" i="1"/>
  <c r="AE91" i="1"/>
  <c r="AE88" i="1"/>
  <c r="AF124" i="1"/>
  <c r="AE96" i="1"/>
  <c r="AF112" i="1"/>
  <c r="AE74" i="1"/>
  <c r="AE139" i="1" s="1"/>
  <c r="O8" i="3"/>
  <c r="AF88" i="1"/>
  <c r="AF75" i="1"/>
  <c r="AF76" i="1"/>
  <c r="AF91" i="1"/>
  <c r="AF123" i="1"/>
  <c r="AE93" i="1"/>
  <c r="N104" i="1"/>
  <c r="N105" i="1" s="1"/>
  <c r="N107" i="1" s="1"/>
  <c r="N69" i="1"/>
  <c r="AE102" i="1"/>
  <c r="AF102" i="1" s="1"/>
  <c r="AC56" i="1"/>
  <c r="AC62" i="1" s="1"/>
  <c r="AC63" i="1" s="1"/>
  <c r="AC64" i="1" s="1"/>
  <c r="AC92" i="1"/>
  <c r="AC94" i="1" s="1"/>
  <c r="AC97" i="1" s="1"/>
  <c r="N129" i="1"/>
  <c r="N143" i="1" s="1"/>
  <c r="AG121" i="1"/>
  <c r="AG130" i="1"/>
  <c r="AG86" i="1"/>
  <c r="AF18" i="1"/>
  <c r="AE49" i="1"/>
  <c r="AE50" i="1" s="1"/>
  <c r="AF26" i="1"/>
  <c r="AF42" i="1" s="1"/>
  <c r="N8" i="3"/>
  <c r="AD55" i="1"/>
  <c r="AF30" i="1"/>
  <c r="AF34" i="1" s="1"/>
  <c r="AG17" i="1"/>
  <c r="AG34" i="1"/>
  <c r="AG26" i="1"/>
  <c r="K12" i="3" l="1"/>
  <c r="L12" i="3" s="1"/>
  <c r="AB68" i="1"/>
  <c r="L13" i="3"/>
  <c r="AB69" i="1"/>
  <c r="AF142" i="1"/>
  <c r="AB129" i="1"/>
  <c r="AB143" i="1" s="1"/>
  <c r="AB161" i="1" s="1"/>
  <c r="AF140" i="1"/>
  <c r="L10" i="3"/>
  <c r="AG112" i="1"/>
  <c r="AG74" i="1" s="1"/>
  <c r="AF74" i="1"/>
  <c r="AF139" i="1" s="1"/>
  <c r="AD56" i="1"/>
  <c r="AD62" i="1" s="1"/>
  <c r="AD63" i="1" s="1"/>
  <c r="AD64" i="1" s="1"/>
  <c r="M13" i="3" s="1"/>
  <c r="AD92" i="1"/>
  <c r="AD94" i="1" s="1"/>
  <c r="AD97" i="1" s="1"/>
  <c r="AG123" i="1"/>
  <c r="AF93" i="1"/>
  <c r="AF141" i="1"/>
  <c r="AG124" i="1"/>
  <c r="AF96" i="1"/>
  <c r="AE141" i="1"/>
  <c r="AE142" i="1"/>
  <c r="AC129" i="1"/>
  <c r="AC143" i="1" s="1"/>
  <c r="AC161" i="1" s="1"/>
  <c r="AF49" i="1"/>
  <c r="AF50" i="1" s="1"/>
  <c r="AC68" i="1"/>
  <c r="AC69" i="1"/>
  <c r="AG45" i="1"/>
  <c r="AG47" i="1" s="1"/>
  <c r="AG131" i="1" s="1"/>
  <c r="AG101" i="1" s="1"/>
  <c r="AG18" i="1"/>
  <c r="AE55" i="1"/>
  <c r="AG42" i="1"/>
  <c r="AG49" i="1"/>
  <c r="M10" i="3" l="1"/>
  <c r="M12" i="3"/>
  <c r="AG91" i="1"/>
  <c r="AG88" i="1"/>
  <c r="AG75" i="1"/>
  <c r="AG140" i="1" s="1"/>
  <c r="AG76" i="1"/>
  <c r="AG93" i="1"/>
  <c r="AG102" i="1"/>
  <c r="AG96" i="1"/>
  <c r="AE56" i="1"/>
  <c r="AE62" i="1" s="1"/>
  <c r="AE63" i="1" s="1"/>
  <c r="AE92" i="1"/>
  <c r="AE94" i="1" s="1"/>
  <c r="AE97" i="1" s="1"/>
  <c r="AG139" i="1"/>
  <c r="AD129" i="1"/>
  <c r="AD143" i="1" s="1"/>
  <c r="AD161" i="1" s="1"/>
  <c r="AD69" i="1"/>
  <c r="AD68" i="1"/>
  <c r="AG50" i="1"/>
  <c r="P8" i="3"/>
  <c r="AG55" i="1"/>
  <c r="AG92" i="1" s="1"/>
  <c r="AF55" i="1"/>
  <c r="AF56" i="1" l="1"/>
  <c r="AF92" i="1"/>
  <c r="AF94" i="1" s="1"/>
  <c r="AF97" i="1" s="1"/>
  <c r="N10" i="3"/>
  <c r="AG142" i="1"/>
  <c r="AG141" i="1"/>
  <c r="AG94" i="1"/>
  <c r="AG97" i="1" s="1"/>
  <c r="AE64" i="1"/>
  <c r="N13" i="3" s="1"/>
  <c r="N12" i="3" s="1"/>
  <c r="AG56" i="1"/>
  <c r="AG62" i="1" s="1"/>
  <c r="AG63" i="1" s="1"/>
  <c r="AG64" i="1" s="1"/>
  <c r="AF62" i="1"/>
  <c r="AF63" i="1" s="1"/>
  <c r="AF64" i="1" s="1"/>
  <c r="O10" i="3"/>
  <c r="AF129" i="1" l="1"/>
  <c r="AF143" i="1" s="1"/>
  <c r="AF161" i="1" s="1"/>
  <c r="O13" i="3"/>
  <c r="O12" i="3" s="1"/>
  <c r="P13" i="3"/>
  <c r="AG68" i="1"/>
  <c r="AG129" i="1"/>
  <c r="AG143" i="1" s="1"/>
  <c r="AG161" i="1" s="1"/>
  <c r="AE129" i="1"/>
  <c r="AE143" i="1" s="1"/>
  <c r="AE161" i="1" s="1"/>
  <c r="P10" i="3"/>
  <c r="AE69" i="1"/>
  <c r="AE68" i="1"/>
  <c r="AG69" i="1"/>
  <c r="AF69" i="1"/>
  <c r="AF68" i="1"/>
  <c r="P12" i="3" l="1"/>
  <c r="M77" i="1"/>
  <c r="N147" i="1"/>
  <c r="M89" i="1" l="1"/>
  <c r="W77" i="1"/>
  <c r="N146" i="1"/>
  <c r="M108" i="1" l="1"/>
  <c r="W89" i="1"/>
  <c r="W108" i="1" s="1"/>
  <c r="N73" i="1"/>
  <c r="N78" i="1" s="1"/>
  <c r="O147" i="1" s="1"/>
  <c r="N151" i="1"/>
  <c r="O146" i="1" l="1"/>
  <c r="N161" i="1"/>
  <c r="N163" i="1" s="1"/>
  <c r="O73" i="1"/>
  <c r="O78" i="1" s="1"/>
  <c r="P147" i="1" s="1"/>
  <c r="P146" i="1" s="1"/>
  <c r="P151" i="1" s="1"/>
  <c r="N72" i="1"/>
  <c r="O151" i="1" l="1"/>
  <c r="O162" i="1"/>
  <c r="P73" i="1"/>
  <c r="P78" i="1" s="1"/>
  <c r="O57" i="1"/>
  <c r="O62" i="1" s="1"/>
  <c r="O63" i="1" s="1"/>
  <c r="N77" i="1"/>
  <c r="N89" i="1" s="1"/>
  <c r="N108" i="1" s="1"/>
  <c r="Q147" i="1"/>
  <c r="Q146" i="1" s="1"/>
  <c r="Q151" i="1" s="1"/>
  <c r="X151" i="1" l="1"/>
  <c r="AA151" i="1"/>
  <c r="Y151" i="1"/>
  <c r="AF151" i="1" s="1"/>
  <c r="Z151" i="1"/>
  <c r="O64" i="1"/>
  <c r="O129" i="1" s="1"/>
  <c r="O87" i="1"/>
  <c r="X146" i="1"/>
  <c r="X147" i="1"/>
  <c r="X118" i="1" s="1"/>
  <c r="Q73" i="1"/>
  <c r="O104" i="1" l="1"/>
  <c r="O105" i="1" s="1"/>
  <c r="O107" i="1" s="1"/>
  <c r="O69" i="1"/>
  <c r="O68" i="1"/>
  <c r="AE151" i="1"/>
  <c r="AG151" i="1"/>
  <c r="Q78" i="1"/>
  <c r="X78" i="1" s="1"/>
  <c r="X73" i="1"/>
  <c r="X119" i="1"/>
  <c r="O143" i="1"/>
  <c r="X120" i="1" l="1"/>
  <c r="Y147" i="1"/>
  <c r="Y146" i="1" s="1"/>
  <c r="O161" i="1"/>
  <c r="Y73" i="1" l="1"/>
  <c r="O72" i="1"/>
  <c r="O163" i="1"/>
  <c r="Y78" i="1" l="1"/>
  <c r="Z147" i="1" s="1"/>
  <c r="Z146" i="1" s="1"/>
  <c r="Z73" i="1"/>
  <c r="P162" i="1"/>
  <c r="P57" i="1"/>
  <c r="P62" i="1" s="1"/>
  <c r="P63" i="1" s="1"/>
  <c r="O77" i="1"/>
  <c r="O89" i="1" s="1"/>
  <c r="O108" i="1" s="1"/>
  <c r="Z78" i="1" l="1"/>
  <c r="AA147" i="1" s="1"/>
  <c r="AA146" i="1" s="1"/>
  <c r="AA73" i="1"/>
  <c r="P64" i="1"/>
  <c r="P87" i="1"/>
  <c r="P129" i="1"/>
  <c r="P68" i="1"/>
  <c r="P69" i="1"/>
  <c r="P104" i="1"/>
  <c r="P105" i="1" s="1"/>
  <c r="P107" i="1" s="1"/>
  <c r="AA78" i="1" l="1"/>
  <c r="AB147" i="1" s="1"/>
  <c r="AB146" i="1" s="1"/>
  <c r="AB73" i="1" s="1"/>
  <c r="P143" i="1"/>
  <c r="AB78" i="1" l="1"/>
  <c r="AC147" i="1" s="1"/>
  <c r="AC146" i="1" s="1"/>
  <c r="P161" i="1"/>
  <c r="AC73" i="1" l="1"/>
  <c r="P72" i="1"/>
  <c r="P163" i="1"/>
  <c r="AC78" i="1" l="1"/>
  <c r="AD147" i="1" s="1"/>
  <c r="AD146" i="1" s="1"/>
  <c r="Q162" i="1"/>
  <c r="Q57" i="1"/>
  <c r="P77" i="1"/>
  <c r="P89" i="1" s="1"/>
  <c r="P108" i="1" s="1"/>
  <c r="AD73" i="1" l="1"/>
  <c r="Q62" i="1"/>
  <c r="X57" i="1"/>
  <c r="X62" i="1" s="1"/>
  <c r="AD78" i="1" l="1"/>
  <c r="AE147" i="1" s="1"/>
  <c r="AE146" i="1" s="1"/>
  <c r="Q63" i="1"/>
  <c r="AE73" i="1" l="1"/>
  <c r="X63" i="1"/>
  <c r="X64" i="1" s="1"/>
  <c r="X68" i="1" s="1"/>
  <c r="Q87" i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Q64" i="1"/>
  <c r="Q129" i="1" s="1"/>
  <c r="Q69" i="1"/>
  <c r="Q104" i="1"/>
  <c r="Q68" i="1" l="1"/>
  <c r="X69" i="1"/>
  <c r="AE78" i="1"/>
  <c r="AF147" i="1" s="1"/>
  <c r="AF146" i="1" s="1"/>
  <c r="AF73" i="1"/>
  <c r="Q105" i="1"/>
  <c r="X104" i="1"/>
  <c r="Y104" i="1" s="1"/>
  <c r="Q143" i="1"/>
  <c r="X129" i="1"/>
  <c r="X143" i="1" s="1"/>
  <c r="G18" i="3" l="1"/>
  <c r="Y105" i="1"/>
  <c r="Y107" i="1" s="1"/>
  <c r="Z104" i="1"/>
  <c r="AF78" i="1"/>
  <c r="AG147" i="1" s="1"/>
  <c r="AG146" i="1" s="1"/>
  <c r="AG73" i="1"/>
  <c r="AG78" i="1" s="1"/>
  <c r="Q161" i="1"/>
  <c r="Q107" i="1"/>
  <c r="X105" i="1"/>
  <c r="X107" i="1" s="1"/>
  <c r="AA104" i="1" l="1"/>
  <c r="Z105" i="1"/>
  <c r="Z107" i="1" s="1"/>
  <c r="Q72" i="1"/>
  <c r="Q163" i="1"/>
  <c r="AB104" i="1" l="1"/>
  <c r="AA105" i="1"/>
  <c r="AA107" i="1" s="1"/>
  <c r="X163" i="1"/>
  <c r="Y162" i="1" s="1"/>
  <c r="Y163" i="1" s="1"/>
  <c r="Z162" i="1" s="1"/>
  <c r="Q77" i="1"/>
  <c r="X72" i="1"/>
  <c r="Y72" i="1" s="1"/>
  <c r="AC104" i="1" l="1"/>
  <c r="AB105" i="1"/>
  <c r="AB107" i="1" s="1"/>
  <c r="Q89" i="1"/>
  <c r="X77" i="1"/>
  <c r="AD104" i="1" l="1"/>
  <c r="AC105" i="1"/>
  <c r="AC107" i="1" s="1"/>
  <c r="X89" i="1"/>
  <c r="X108" i="1" s="1"/>
  <c r="Q108" i="1"/>
  <c r="AE104" i="1" l="1"/>
  <c r="AD105" i="1"/>
  <c r="AD107" i="1" s="1"/>
  <c r="AF104" i="1" l="1"/>
  <c r="AE105" i="1"/>
  <c r="AE107" i="1" s="1"/>
  <c r="AG104" i="1" l="1"/>
  <c r="AG105" i="1" s="1"/>
  <c r="AG107" i="1" s="1"/>
  <c r="AF105" i="1"/>
  <c r="AF107" i="1" s="1"/>
  <c r="Y77" i="1" l="1"/>
  <c r="Y89" i="1" s="1"/>
  <c r="Y108" i="1" s="1"/>
  <c r="Z140" i="1"/>
  <c r="Z143" i="1" s="1"/>
  <c r="Z161" i="1" s="1"/>
  <c r="Z163" i="1" l="1"/>
  <c r="AA162" i="1" s="1"/>
  <c r="AA163" i="1" s="1"/>
  <c r="AB162" i="1" s="1"/>
  <c r="AB163" i="1" s="1"/>
  <c r="AC162" i="1" s="1"/>
  <c r="AC163" i="1" s="1"/>
  <c r="AD162" i="1" s="1"/>
  <c r="AD163" i="1" s="1"/>
  <c r="AE162" i="1" s="1"/>
  <c r="AE163" i="1" s="1"/>
  <c r="AF162" i="1" s="1"/>
  <c r="AF163" i="1" s="1"/>
  <c r="AG162" i="1" s="1"/>
  <c r="AG163" i="1" s="1"/>
  <c r="Z72" i="1"/>
  <c r="AA72" i="1" l="1"/>
  <c r="Z77" i="1"/>
  <c r="Z89" i="1" s="1"/>
  <c r="Z108" i="1" s="1"/>
  <c r="AB72" i="1" l="1"/>
  <c r="AA77" i="1"/>
  <c r="AA89" i="1" s="1"/>
  <c r="AA108" i="1" s="1"/>
  <c r="AC72" i="1" l="1"/>
  <c r="AB77" i="1"/>
  <c r="AB89" i="1" s="1"/>
  <c r="AB108" i="1" s="1"/>
  <c r="AD72" i="1" l="1"/>
  <c r="AC77" i="1"/>
  <c r="AC89" i="1" s="1"/>
  <c r="AC108" i="1" s="1"/>
  <c r="AE72" i="1" l="1"/>
  <c r="AD77" i="1"/>
  <c r="AD89" i="1" s="1"/>
  <c r="AD108" i="1" s="1"/>
  <c r="AF72" i="1" l="1"/>
  <c r="AE77" i="1"/>
  <c r="AE89" i="1" s="1"/>
  <c r="AE108" i="1" s="1"/>
  <c r="AF77" i="1" l="1"/>
  <c r="AF89" i="1" s="1"/>
  <c r="AF108" i="1" s="1"/>
  <c r="AG72" i="1"/>
  <c r="AG77" i="1" s="1"/>
  <c r="AG89" i="1" s="1"/>
  <c r="AG108" i="1" s="1"/>
  <c r="H18" i="3"/>
  <c r="P18" i="3"/>
  <c r="M18" i="3"/>
  <c r="J18" i="3"/>
  <c r="O18" i="3"/>
  <c r="C11" i="3"/>
  <c r="L18" i="3"/>
  <c r="I18" i="3"/>
  <c r="K18" i="3"/>
  <c r="N18" i="3"/>
  <c r="C12" i="3" l="1"/>
  <c r="C13" i="3" l="1"/>
  <c r="C16" i="3" s="1"/>
  <c r="C18" i="3" s="1"/>
  <c r="E7" i="2" s="1"/>
  <c r="E22" i="4" l="1"/>
  <c r="E24" i="4" s="1"/>
  <c r="E25" i="4"/>
  <c r="B44" i="3"/>
  <c r="B24" i="3"/>
  <c r="B34" i="3"/>
</calcChain>
</file>

<file path=xl/sharedStrings.xml><?xml version="1.0" encoding="utf-8"?>
<sst xmlns="http://schemas.openxmlformats.org/spreadsheetml/2006/main" count="376" uniqueCount="256">
  <si>
    <t>Tyvaso</t>
  </si>
  <si>
    <t>Remodulin</t>
  </si>
  <si>
    <t>Orenitram</t>
  </si>
  <si>
    <t>Unituxin</t>
  </si>
  <si>
    <t>Adcirca</t>
  </si>
  <si>
    <t>Gross Profit</t>
  </si>
  <si>
    <t>Total Gross Profit</t>
  </si>
  <si>
    <t>Net Product Sales</t>
  </si>
  <si>
    <t>Product Sales</t>
  </si>
  <si>
    <t>Total Cost of Product Sales</t>
  </si>
  <si>
    <t>Cost of Product Sales</t>
  </si>
  <si>
    <t>Other Revenues</t>
  </si>
  <si>
    <t>Research &amp; Development</t>
  </si>
  <si>
    <t>Selling, General, &amp; Administrative</t>
  </si>
  <si>
    <t>Interest Income</t>
  </si>
  <si>
    <t>Interest Expense</t>
  </si>
  <si>
    <t>Impairment</t>
  </si>
  <si>
    <t>Income Tax Expense</t>
  </si>
  <si>
    <t>Other Income</t>
  </si>
  <si>
    <t>Basic Shares</t>
  </si>
  <si>
    <t>Diluted Shares</t>
  </si>
  <si>
    <t>Consolidated Balance Sheet</t>
  </si>
  <si>
    <t>Pipeline</t>
  </si>
  <si>
    <t>Centralized Ex-Vivo Lung Evaluation System (EVLP)</t>
  </si>
  <si>
    <t>Inhaled treprostinil (TETON)</t>
  </si>
  <si>
    <t>treprostinial prodrug (RemoPro)</t>
  </si>
  <si>
    <t>Ralinepag (ADVANCE)</t>
  </si>
  <si>
    <t>Ukidney</t>
  </si>
  <si>
    <t>UThymoKidney</t>
  </si>
  <si>
    <t>UHeart</t>
  </si>
  <si>
    <t>Aurora-GT eNOS Gene Therapy (SAPPHIRE)</t>
  </si>
  <si>
    <t>Genetically-Enhanced Mesenhymal stem cells (GEM)</t>
  </si>
  <si>
    <t>Ulung (3DAP Lungs)</t>
  </si>
  <si>
    <t>ULobe (Lung Lobes)</t>
  </si>
  <si>
    <t>Devices Pivotal Trial</t>
  </si>
  <si>
    <t>Status</t>
  </si>
  <si>
    <t>Indication</t>
  </si>
  <si>
    <t>End-stage Organ Disease</t>
  </si>
  <si>
    <t>Phase 3</t>
  </si>
  <si>
    <t>Idiopathic Pulmonary Fibrosis</t>
  </si>
  <si>
    <t>Phase 1</t>
  </si>
  <si>
    <t>Pulmonary Hypertension</t>
  </si>
  <si>
    <t>Pre-clinical</t>
  </si>
  <si>
    <t>Registration Phase Study</t>
  </si>
  <si>
    <t>Cash &amp; Cash Equivalents</t>
  </si>
  <si>
    <t>Marketable Securities</t>
  </si>
  <si>
    <t>Land &amp; Improvements</t>
  </si>
  <si>
    <t>Buildings &amp; Improvements</t>
  </si>
  <si>
    <t>Construction</t>
  </si>
  <si>
    <t>Equipment</t>
  </si>
  <si>
    <t>Subtotal</t>
  </si>
  <si>
    <t>Accumulated Depreciation</t>
  </si>
  <si>
    <t>Plant Property &amp; Equipment Net</t>
  </si>
  <si>
    <t>U.S. Patent No.</t>
  </si>
  <si>
    <t>Expiration Date</t>
  </si>
  <si>
    <t>ANI Litigation Patent for Orenitram</t>
  </si>
  <si>
    <t>Sandoz/Liquidia Litigation for Tyvaso</t>
  </si>
  <si>
    <t xml:space="preserve">Liquidia seeks to invalidate US Patents 9604901 ('901) &amp; 9593066 ('066) relating to the manufacture of Trepostinil, the active ingredient in Tyvaso, Tyvaso DIP &amp; Orenitram. </t>
  </si>
  <si>
    <t>In Jan 2020, Liquidia submitted NDA for Yutrepia, a generic formulation of Tyvaso. Received tentative approval in November 2021.</t>
  </si>
  <si>
    <t>'793 patent relates to the inhaltion delivery of trepostinil.</t>
  </si>
  <si>
    <t>Revenue Build</t>
  </si>
  <si>
    <t>AR</t>
  </si>
  <si>
    <t>Inventory</t>
  </si>
  <si>
    <t>Other</t>
  </si>
  <si>
    <t>Total Current Assets</t>
  </si>
  <si>
    <t>Goodwill &amp; Intangibles</t>
  </si>
  <si>
    <t>Deferred Tax Assets Net</t>
  </si>
  <si>
    <t>Other non-current Assets</t>
  </si>
  <si>
    <t>Total Assets</t>
  </si>
  <si>
    <t>Accounts Payable &amp; Accrued Expenses</t>
  </si>
  <si>
    <t>Share Awards Plan</t>
  </si>
  <si>
    <t>Other Current Liabilities</t>
  </si>
  <si>
    <t>Total Current Liabilities</t>
  </si>
  <si>
    <t>Line of Credit</t>
  </si>
  <si>
    <t>Other non-Current Liabiliites</t>
  </si>
  <si>
    <t>Total Liabilities</t>
  </si>
  <si>
    <t>Common Stock</t>
  </si>
  <si>
    <t>APIC</t>
  </si>
  <si>
    <t>Accumulated Other Comprehensive Loss</t>
  </si>
  <si>
    <t>Treasury Stock</t>
  </si>
  <si>
    <t>Retained Earnings</t>
  </si>
  <si>
    <t>Total SE</t>
  </si>
  <si>
    <t>Shareholders' Equity</t>
  </si>
  <si>
    <t>Net Income</t>
  </si>
  <si>
    <t>Depreciation &amp; Amortization</t>
  </si>
  <si>
    <t>Share-Based Compensation</t>
  </si>
  <si>
    <t>Impairment of Investments</t>
  </si>
  <si>
    <t>Intangible Asset Impairment</t>
  </si>
  <si>
    <t>Impairments of PPE</t>
  </si>
  <si>
    <t>Sale of PPE</t>
  </si>
  <si>
    <t>Sale of Equity Securities</t>
  </si>
  <si>
    <t>Changes in Working Capital</t>
  </si>
  <si>
    <t>AP &amp; AE</t>
  </si>
  <si>
    <t>Inventories</t>
  </si>
  <si>
    <t>Other Assets</t>
  </si>
  <si>
    <t>CFFO</t>
  </si>
  <si>
    <t>Purchase of PPE</t>
  </si>
  <si>
    <t>Purchase of MS</t>
  </si>
  <si>
    <t>Maturities of MS</t>
  </si>
  <si>
    <t>Sale of MS</t>
  </si>
  <si>
    <t>Sale of Equity Investments</t>
  </si>
  <si>
    <t>Purchase of Private Investments</t>
  </si>
  <si>
    <t>CFFI</t>
  </si>
  <si>
    <t>Proceeds from Line of Credit</t>
  </si>
  <si>
    <t>Repayment of Line of Credit</t>
  </si>
  <si>
    <t>Payment of Debt Issuance Issue Costs</t>
  </si>
  <si>
    <t>Proceeds from Stock Options</t>
  </si>
  <si>
    <t>Proceeds from ESPP</t>
  </si>
  <si>
    <t>RSUs withheld for taxes</t>
  </si>
  <si>
    <t>CFFF</t>
  </si>
  <si>
    <t>Net Cash</t>
  </si>
  <si>
    <t>Cash Beginning</t>
  </si>
  <si>
    <t>Cash End</t>
  </si>
  <si>
    <t>Consolidated Statement of Cash Flows</t>
  </si>
  <si>
    <t>Total Revenues</t>
  </si>
  <si>
    <t>Consolidated Income Statement</t>
  </si>
  <si>
    <t>Total Operating Expenses</t>
  </si>
  <si>
    <t>EBIT</t>
  </si>
  <si>
    <t>EBT</t>
  </si>
  <si>
    <t>Basic EPS</t>
  </si>
  <si>
    <t>Diluted EPS</t>
  </si>
  <si>
    <t>United Therapuetics Corporation</t>
  </si>
  <si>
    <t>NASDAQ: (UTHR)</t>
  </si>
  <si>
    <t>Adcirca Y/Y</t>
  </si>
  <si>
    <t>Unituxin Y/Y</t>
  </si>
  <si>
    <t>Orenitram Y/Y</t>
  </si>
  <si>
    <t>Remodulin Y/Y</t>
  </si>
  <si>
    <t>Tyvaso Y/Y</t>
  </si>
  <si>
    <t>Net Product Sales Y/Y</t>
  </si>
  <si>
    <t>Operating Profit</t>
  </si>
  <si>
    <t xml:space="preserve">Operating Margin </t>
  </si>
  <si>
    <t>Blended Operating Margin</t>
  </si>
  <si>
    <t>Operating Margin</t>
  </si>
  <si>
    <t>Liabilities + SE</t>
  </si>
  <si>
    <t>Check</t>
  </si>
  <si>
    <t>Product Line</t>
  </si>
  <si>
    <t>Trespostinil</t>
  </si>
  <si>
    <t>Porstacyclin Analogue</t>
  </si>
  <si>
    <t>PDE-5 Inhibitor</t>
  </si>
  <si>
    <t>Annual Cases</t>
  </si>
  <si>
    <t>Approved and launched in 2009</t>
  </si>
  <si>
    <t>Regulated as a drug-device combination</t>
  </si>
  <si>
    <t>Watson launch of generic version in 2026</t>
  </si>
  <si>
    <t>Inhalation Powder</t>
  </si>
  <si>
    <t>Tyvaso DPI</t>
  </si>
  <si>
    <t>Revenue</t>
  </si>
  <si>
    <t>FY23E</t>
  </si>
  <si>
    <t>4Q22E</t>
  </si>
  <si>
    <t>FY24E</t>
  </si>
  <si>
    <t>FY25E</t>
  </si>
  <si>
    <t>FY26E</t>
  </si>
  <si>
    <t>FY27E</t>
  </si>
  <si>
    <t>FY28E</t>
  </si>
  <si>
    <t>FY29E</t>
  </si>
  <si>
    <t>FY30E</t>
  </si>
  <si>
    <t>FY31E</t>
  </si>
  <si>
    <t>FY32E</t>
  </si>
  <si>
    <t>CAGR</t>
  </si>
  <si>
    <t>Period</t>
  </si>
  <si>
    <t>Discount</t>
  </si>
  <si>
    <t>Discount Rate</t>
  </si>
  <si>
    <t>ERP</t>
  </si>
  <si>
    <t>NPV</t>
  </si>
  <si>
    <t>Terminal Value</t>
  </si>
  <si>
    <t>Cash</t>
  </si>
  <si>
    <t>Debt</t>
  </si>
  <si>
    <t>Equity Value</t>
  </si>
  <si>
    <t>Enterprise Value</t>
  </si>
  <si>
    <t>Fair Value Target</t>
  </si>
  <si>
    <t>Valuation</t>
  </si>
  <si>
    <t>Terminal Growth Rate</t>
  </si>
  <si>
    <t>10Y Treasury</t>
  </si>
  <si>
    <t xml:space="preserve">United Therapeutics Corporation </t>
  </si>
  <si>
    <t>Balance Sheet Drivers</t>
  </si>
  <si>
    <t>Depreciation of PPE</t>
  </si>
  <si>
    <t>Days of Sales Outstanding</t>
  </si>
  <si>
    <t>Days of Inventory</t>
  </si>
  <si>
    <t>Days of Accounts Payable</t>
  </si>
  <si>
    <t>Days Share Awards of Operating Expense</t>
  </si>
  <si>
    <t xml:space="preserve">Maturity of MS </t>
  </si>
  <si>
    <t>MS Reinvestment</t>
  </si>
  <si>
    <t>Current Ratio of MS</t>
  </si>
  <si>
    <t>Net Other Comprehensive Loss % of Sales</t>
  </si>
  <si>
    <t>Other Current Assets % of Sales</t>
  </si>
  <si>
    <t>Other Non-Current Assets % of Sales</t>
  </si>
  <si>
    <t>Other Non-Current Liabilities % of Sales</t>
  </si>
  <si>
    <t>Other Current Liabilities % of Sales</t>
  </si>
  <si>
    <t>Change in Deferred Tax Asset % of Expense</t>
  </si>
  <si>
    <t>SBC % of Operating Expenses</t>
  </si>
  <si>
    <t>Sensitivity Analysis</t>
  </si>
  <si>
    <t xml:space="preserve">FY23E Earnings Growth </t>
  </si>
  <si>
    <t xml:space="preserve">FY24E Earnings Growth </t>
  </si>
  <si>
    <t>Last Share Price</t>
  </si>
  <si>
    <t>MC</t>
  </si>
  <si>
    <t>NTM Diluted Shares</t>
  </si>
  <si>
    <t>Cash &amp; Equivalents</t>
  </si>
  <si>
    <t>^TNX</t>
  </si>
  <si>
    <t>Vimseltinib TAM</t>
  </si>
  <si>
    <t>Vimseltinib Risk Adjustment</t>
  </si>
  <si>
    <t>rNPV</t>
  </si>
  <si>
    <t>NPV Target</t>
  </si>
  <si>
    <t>Stock Data</t>
  </si>
  <si>
    <t>Price</t>
  </si>
  <si>
    <t>Exchange</t>
  </si>
  <si>
    <t>NASDAQ</t>
  </si>
  <si>
    <t>Price Target</t>
  </si>
  <si>
    <t>Method</t>
  </si>
  <si>
    <t>52-Week High</t>
  </si>
  <si>
    <t>52-Week Low</t>
  </si>
  <si>
    <t>Enterprise Value (M)</t>
  </si>
  <si>
    <t>Market Cap (M)</t>
  </si>
  <si>
    <t>Shares Outstanding (m)</t>
  </si>
  <si>
    <t>3 Month Avg Volume (m)</t>
  </si>
  <si>
    <t>Short Interest (m)</t>
  </si>
  <si>
    <t>Balance Sheet Metrics</t>
  </si>
  <si>
    <t>Cash (m)</t>
  </si>
  <si>
    <t>Total Debt (m)</t>
  </si>
  <si>
    <t>Total Cash/Share</t>
  </si>
  <si>
    <t>Book Value/Share</t>
  </si>
  <si>
    <t>Revenue (m)</t>
  </si>
  <si>
    <t>Full Year - Dec</t>
  </si>
  <si>
    <t>2021A</t>
  </si>
  <si>
    <t>2022E</t>
  </si>
  <si>
    <t>2023E</t>
  </si>
  <si>
    <t>1Q</t>
  </si>
  <si>
    <t>2Q</t>
  </si>
  <si>
    <t>3Q</t>
  </si>
  <si>
    <t>4Q</t>
  </si>
  <si>
    <t>EPS ($) Diluted</t>
  </si>
  <si>
    <t>$ in Millions Except Per Share Data</t>
  </si>
  <si>
    <t>FY21A</t>
  </si>
  <si>
    <t>1Q22A</t>
  </si>
  <si>
    <t>2Q22A</t>
  </si>
  <si>
    <t>FY22E</t>
  </si>
  <si>
    <t>1Q23E</t>
  </si>
  <si>
    <t>2Q23E</t>
  </si>
  <si>
    <t>3Q23E</t>
  </si>
  <si>
    <t>4Q23E</t>
  </si>
  <si>
    <t>1Q20A</t>
  </si>
  <si>
    <t>2Q20A</t>
  </si>
  <si>
    <t>3Q20A</t>
  </si>
  <si>
    <t>4Q20A</t>
  </si>
  <si>
    <t>1Q21A</t>
  </si>
  <si>
    <t>2Q21A</t>
  </si>
  <si>
    <t>3Q21A</t>
  </si>
  <si>
    <t>4Q21A</t>
  </si>
  <si>
    <t>3Q22A</t>
  </si>
  <si>
    <t>FY19A</t>
  </si>
  <si>
    <t>FY20A</t>
  </si>
  <si>
    <t>Tyvaso Sales</t>
  </si>
  <si>
    <t>Remodulin Sales</t>
  </si>
  <si>
    <t>Orenitram Sales</t>
  </si>
  <si>
    <t>Unituxin Sales</t>
  </si>
  <si>
    <t>Adcirca Sales</t>
  </si>
  <si>
    <t>Prostacyclin Analogue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</si>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</sst>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_(&quot;$&quot;* #,##0_);_(&quot;$&quot;* \(#,##0\);_(&quot;$&quot;* &quot;-&quot;??_);_(@_)"/>
    <numFmt numFmtId="166" formatCode="0.0%"/>
    <numFmt numFmtId="167" formatCode="_(&quot;$&quot;* #,##0.0_);_(&quot;$&quot;* \(#,##0.0\);_(&quot;$&quot;* &quot;-&quot;??_);_(@_)"/>
  </numFmts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8.5"/>
      <color rgb="FF000000"/>
      <name val="Arial"/>
      <family val="2"/>
    </font>
    <font>
      <b/>
      <i/>
      <sz val="18"/>
      <color theme="1"/>
      <name val="Avenir Book"/>
      <family val="2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i/>
      <sz val="12"/>
      <color theme="1"/>
      <name val="Avenir Book"/>
      <family val="2"/>
    </font>
    <font>
      <b/>
      <i/>
      <sz val="12"/>
      <color theme="1"/>
      <name val="Avenir Book"/>
      <family val="2"/>
    </font>
    <font>
      <b/>
      <sz val="10"/>
      <color theme="1"/>
      <name val="Helvetica"/>
      <family val="2"/>
    </font>
    <font>
      <sz val="12"/>
      <color theme="1"/>
      <name val="Helvetica"/>
      <family val="2"/>
    </font>
    <font>
      <sz val="10"/>
      <color theme="1"/>
      <name val="Helvetica"/>
      <family val="2"/>
    </font>
    <font>
      <sz val="10"/>
      <color theme="1"/>
      <name val="Calibri"/>
      <family val="2"/>
      <scheme val="minor"/>
    </font>
    <font>
      <b/>
      <sz val="10"/>
      <color theme="1"/>
      <name val="Helvetica Light"/>
    </font>
    <font>
      <sz val="10"/>
      <color theme="1"/>
      <name val="Helvetica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69">
    <xf numFmtId="0" fontId="0" fillId="0" borderId="0" xfId="0"/>
    <xf numFmtId="0" fontId="3" fillId="0" borderId="0" xfId="0" applyFont="1"/>
    <xf numFmtId="0" fontId="0" fillId="0" borderId="2" xfId="0" applyBorder="1"/>
    <xf numFmtId="0" fontId="5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0" fontId="6" fillId="2" borderId="3" xfId="0" applyFont="1" applyFill="1" applyBorder="1"/>
    <xf numFmtId="0" fontId="6" fillId="2" borderId="6" xfId="0" applyFont="1" applyFill="1" applyBorder="1"/>
    <xf numFmtId="9" fontId="6" fillId="2" borderId="7" xfId="0" applyNumberFormat="1" applyFont="1" applyFill="1" applyBorder="1"/>
    <xf numFmtId="0" fontId="6" fillId="2" borderId="2" xfId="0" applyFont="1" applyFill="1" applyBorder="1"/>
    <xf numFmtId="1" fontId="6" fillId="0" borderId="0" xfId="0" applyNumberFormat="1" applyFont="1"/>
    <xf numFmtId="0" fontId="6" fillId="2" borderId="8" xfId="0" applyFont="1" applyFill="1" applyBorder="1"/>
    <xf numFmtId="9" fontId="6" fillId="2" borderId="9" xfId="0" applyNumberFormat="1" applyFont="1" applyFill="1" applyBorder="1"/>
    <xf numFmtId="0" fontId="6" fillId="0" borderId="0" xfId="0" applyFont="1"/>
    <xf numFmtId="1" fontId="6" fillId="2" borderId="0" xfId="0" applyNumberFormat="1" applyFont="1" applyFill="1"/>
    <xf numFmtId="0" fontId="6" fillId="2" borderId="4" xfId="0" applyFont="1" applyFill="1" applyBorder="1"/>
    <xf numFmtId="9" fontId="6" fillId="2" borderId="5" xfId="0" applyNumberFormat="1" applyFont="1" applyFill="1" applyBorder="1"/>
    <xf numFmtId="1" fontId="6" fillId="2" borderId="7" xfId="0" applyNumberFormat="1" applyFont="1" applyFill="1" applyBorder="1"/>
    <xf numFmtId="1" fontId="7" fillId="2" borderId="0" xfId="0" applyNumberFormat="1" applyFont="1" applyFill="1"/>
    <xf numFmtId="1" fontId="7" fillId="0" borderId="0" xfId="0" applyNumberFormat="1" applyFont="1"/>
    <xf numFmtId="1" fontId="6" fillId="2" borderId="9" xfId="0" applyNumberFormat="1" applyFont="1" applyFill="1" applyBorder="1"/>
    <xf numFmtId="9" fontId="6" fillId="0" borderId="0" xfId="1" applyFont="1"/>
    <xf numFmtId="1" fontId="6" fillId="2" borderId="5" xfId="0" applyNumberFormat="1" applyFont="1" applyFill="1" applyBorder="1"/>
    <xf numFmtId="0" fontId="6" fillId="2" borderId="7" xfId="0" applyFont="1" applyFill="1" applyBorder="1"/>
    <xf numFmtId="0" fontId="6" fillId="2" borderId="5" xfId="0" applyFont="1" applyFill="1" applyBorder="1"/>
    <xf numFmtId="0" fontId="7" fillId="2" borderId="8" xfId="0" applyFont="1" applyFill="1" applyBorder="1"/>
    <xf numFmtId="165" fontId="7" fillId="2" borderId="9" xfId="2" applyNumberFormat="1" applyFont="1" applyFill="1" applyBorder="1"/>
    <xf numFmtId="0" fontId="6" fillId="2" borderId="13" xfId="0" applyFont="1" applyFill="1" applyBorder="1"/>
    <xf numFmtId="0" fontId="6" fillId="2" borderId="11" xfId="0" applyFont="1" applyFill="1" applyBorder="1"/>
    <xf numFmtId="165" fontId="6" fillId="2" borderId="10" xfId="0" applyNumberFormat="1" applyFont="1" applyFill="1" applyBorder="1"/>
    <xf numFmtId="9" fontId="6" fillId="2" borderId="2" xfId="0" applyNumberFormat="1" applyFont="1" applyFill="1" applyBorder="1"/>
    <xf numFmtId="9" fontId="7" fillId="2" borderId="2" xfId="0" applyNumberFormat="1" applyFont="1" applyFill="1" applyBorder="1"/>
    <xf numFmtId="9" fontId="6" fillId="2" borderId="3" xfId="0" applyNumberFormat="1" applyFont="1" applyFill="1" applyBorder="1"/>
    <xf numFmtId="9" fontId="6" fillId="2" borderId="0" xfId="0" applyNumberFormat="1" applyFont="1" applyFill="1"/>
    <xf numFmtId="166" fontId="6" fillId="2" borderId="14" xfId="0" applyNumberFormat="1" applyFont="1" applyFill="1" applyBorder="1"/>
    <xf numFmtId="165" fontId="6" fillId="2" borderId="0" xfId="2" applyNumberFormat="1" applyFont="1" applyFill="1" applyBorder="1"/>
    <xf numFmtId="165" fontId="6" fillId="2" borderId="7" xfId="2" applyNumberFormat="1" applyFont="1" applyFill="1" applyBorder="1"/>
    <xf numFmtId="166" fontId="7" fillId="2" borderId="14" xfId="0" applyNumberFormat="1" applyFont="1" applyFill="1" applyBorder="1"/>
    <xf numFmtId="165" fontId="7" fillId="2" borderId="0" xfId="2" applyNumberFormat="1" applyFont="1" applyFill="1" applyBorder="1"/>
    <xf numFmtId="166" fontId="6" fillId="2" borderId="15" xfId="0" applyNumberFormat="1" applyFont="1" applyFill="1" applyBorder="1"/>
    <xf numFmtId="165" fontId="6" fillId="2" borderId="12" xfId="2" applyNumberFormat="1" applyFont="1" applyFill="1" applyBorder="1"/>
    <xf numFmtId="165" fontId="6" fillId="2" borderId="9" xfId="2" applyNumberFormat="1" applyFont="1" applyFill="1" applyBorder="1"/>
    <xf numFmtId="166" fontId="6" fillId="2" borderId="0" xfId="0" applyNumberFormat="1" applyFont="1" applyFill="1"/>
    <xf numFmtId="0" fontId="6" fillId="2" borderId="10" xfId="0" applyFont="1" applyFill="1" applyBorder="1"/>
    <xf numFmtId="9" fontId="6" fillId="2" borderId="2" xfId="1" applyFont="1" applyFill="1" applyBorder="1"/>
    <xf numFmtId="9" fontId="7" fillId="2" borderId="2" xfId="1" applyFont="1" applyFill="1" applyBorder="1"/>
    <xf numFmtId="9" fontId="6" fillId="2" borderId="3" xfId="1" applyFont="1" applyFill="1" applyBorder="1"/>
    <xf numFmtId="165" fontId="6" fillId="2" borderId="15" xfId="0" applyNumberFormat="1" applyFont="1" applyFill="1" applyBorder="1"/>
    <xf numFmtId="9" fontId="6" fillId="2" borderId="12" xfId="1" applyFont="1" applyFill="1" applyBorder="1"/>
    <xf numFmtId="9" fontId="7" fillId="2" borderId="12" xfId="1" applyFont="1" applyFill="1" applyBorder="1"/>
    <xf numFmtId="9" fontId="6" fillId="2" borderId="9" xfId="1" applyFont="1" applyFill="1" applyBorder="1"/>
    <xf numFmtId="0" fontId="7" fillId="2" borderId="4" xfId="0" applyFont="1" applyFill="1" applyBorder="1"/>
    <xf numFmtId="0" fontId="7" fillId="2" borderId="11" xfId="0" applyFont="1" applyFill="1" applyBorder="1"/>
    <xf numFmtId="0" fontId="7" fillId="2" borderId="5" xfId="0" applyFont="1" applyFill="1" applyBorder="1"/>
    <xf numFmtId="14" fontId="7" fillId="2" borderId="8" xfId="0" applyNumberFormat="1" applyFont="1" applyFill="1" applyBorder="1"/>
    <xf numFmtId="14" fontId="7" fillId="2" borderId="12" xfId="0" applyNumberFormat="1" applyFont="1" applyFill="1" applyBorder="1"/>
    <xf numFmtId="14" fontId="7" fillId="2" borderId="9" xfId="0" applyNumberFormat="1" applyFont="1" applyFill="1" applyBorder="1"/>
    <xf numFmtId="14" fontId="6" fillId="2" borderId="0" xfId="0" applyNumberFormat="1" applyFont="1" applyFill="1"/>
    <xf numFmtId="0" fontId="7" fillId="2" borderId="12" xfId="0" applyFont="1" applyFill="1" applyBorder="1"/>
    <xf numFmtId="0" fontId="7" fillId="2" borderId="9" xfId="0" applyFont="1" applyFill="1" applyBorder="1"/>
    <xf numFmtId="0" fontId="7" fillId="2" borderId="1" xfId="0" applyFont="1" applyFill="1" applyBorder="1"/>
    <xf numFmtId="0" fontId="7" fillId="2" borderId="0" xfId="0" applyFont="1" applyFill="1"/>
    <xf numFmtId="164" fontId="6" fillId="0" borderId="0" xfId="0" applyNumberFormat="1" applyFont="1"/>
    <xf numFmtId="0" fontId="8" fillId="2" borderId="0" xfId="0" applyFont="1" applyFill="1"/>
    <xf numFmtId="0" fontId="8" fillId="0" borderId="0" xfId="0" applyFont="1"/>
    <xf numFmtId="9" fontId="8" fillId="0" borderId="0" xfId="1" applyFont="1"/>
    <xf numFmtId="9" fontId="8" fillId="0" borderId="0" xfId="0" applyNumberFormat="1" applyFont="1"/>
    <xf numFmtId="0" fontId="7" fillId="0" borderId="0" xfId="0" applyFont="1"/>
    <xf numFmtId="164" fontId="7" fillId="0" borderId="0" xfId="0" applyNumberFormat="1" applyFont="1"/>
    <xf numFmtId="9" fontId="8" fillId="0" borderId="0" xfId="1" applyFont="1" applyBorder="1"/>
    <xf numFmtId="0" fontId="9" fillId="0" borderId="0" xfId="0" applyFont="1"/>
    <xf numFmtId="0" fontId="9" fillId="2" borderId="0" xfId="0" applyFont="1" applyFill="1"/>
    <xf numFmtId="9" fontId="9" fillId="0" borderId="0" xfId="1" applyFont="1"/>
    <xf numFmtId="2" fontId="6" fillId="0" borderId="0" xfId="0" applyNumberFormat="1" applyFont="1"/>
    <xf numFmtId="9" fontId="6" fillId="0" borderId="0" xfId="0" applyNumberFormat="1" applyFont="1"/>
    <xf numFmtId="0" fontId="0" fillId="0" borderId="7" xfId="0" applyBorder="1"/>
    <xf numFmtId="0" fontId="0" fillId="0" borderId="12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165" fontId="6" fillId="2" borderId="0" xfId="0" applyNumberFormat="1" applyFont="1" applyFill="1"/>
    <xf numFmtId="0" fontId="10" fillId="2" borderId="1" xfId="0" applyFont="1" applyFill="1" applyBorder="1"/>
    <xf numFmtId="0" fontId="10" fillId="2" borderId="3" xfId="0" applyFont="1" applyFill="1" applyBorder="1"/>
    <xf numFmtId="0" fontId="11" fillId="0" borderId="0" xfId="0" applyFont="1"/>
    <xf numFmtId="0" fontId="12" fillId="2" borderId="0" xfId="0" applyFont="1" applyFill="1"/>
    <xf numFmtId="0" fontId="12" fillId="2" borderId="4" xfId="0" applyFont="1" applyFill="1" applyBorder="1"/>
    <xf numFmtId="0" fontId="12" fillId="2" borderId="6" xfId="0" applyFont="1" applyFill="1" applyBorder="1"/>
    <xf numFmtId="164" fontId="12" fillId="2" borderId="7" xfId="0" applyNumberFormat="1" applyFont="1" applyFill="1" applyBorder="1"/>
    <xf numFmtId="0" fontId="10" fillId="2" borderId="0" xfId="0" applyFont="1" applyFill="1"/>
    <xf numFmtId="1" fontId="12" fillId="2" borderId="7" xfId="0" applyNumberFormat="1" applyFont="1" applyFill="1" applyBorder="1"/>
    <xf numFmtId="0" fontId="12" fillId="2" borderId="7" xfId="0" applyFont="1" applyFill="1" applyBorder="1"/>
    <xf numFmtId="9" fontId="12" fillId="2" borderId="7" xfId="0" applyNumberFormat="1" applyFont="1" applyFill="1" applyBorder="1"/>
    <xf numFmtId="0" fontId="12" fillId="2" borderId="6" xfId="0" quotePrefix="1" applyFont="1" applyFill="1" applyBorder="1"/>
    <xf numFmtId="1" fontId="12" fillId="2" borderId="0" xfId="0" applyNumberFormat="1" applyFont="1" applyFill="1"/>
    <xf numFmtId="0" fontId="10" fillId="2" borderId="8" xfId="0" applyFont="1" applyFill="1" applyBorder="1"/>
    <xf numFmtId="167" fontId="10" fillId="2" borderId="9" xfId="2" applyNumberFormat="1" applyFont="1" applyFill="1" applyBorder="1"/>
    <xf numFmtId="0" fontId="12" fillId="2" borderId="13" xfId="0" applyFont="1" applyFill="1" applyBorder="1"/>
    <xf numFmtId="1" fontId="12" fillId="2" borderId="14" xfId="0" applyNumberFormat="1" applyFont="1" applyFill="1" applyBorder="1"/>
    <xf numFmtId="1" fontId="10" fillId="2" borderId="10" xfId="0" applyNumberFormat="1" applyFont="1" applyFill="1" applyBorder="1"/>
    <xf numFmtId="1" fontId="10" fillId="2" borderId="2" xfId="0" applyNumberFormat="1" applyFont="1" applyFill="1" applyBorder="1"/>
    <xf numFmtId="1" fontId="10" fillId="2" borderId="14" xfId="0" applyNumberFormat="1" applyFont="1" applyFill="1" applyBorder="1"/>
    <xf numFmtId="1" fontId="10" fillId="2" borderId="0" xfId="0" applyNumberFormat="1" applyFont="1" applyFill="1"/>
    <xf numFmtId="1" fontId="12" fillId="2" borderId="15" xfId="0" applyNumberFormat="1" applyFont="1" applyFill="1" applyBorder="1"/>
    <xf numFmtId="8" fontId="12" fillId="2" borderId="5" xfId="0" applyNumberFormat="1" applyFont="1" applyFill="1" applyBorder="1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11" xfId="0" applyBorder="1"/>
    <xf numFmtId="0" fontId="4" fillId="0" borderId="11" xfId="0" applyFont="1" applyBorder="1"/>
    <xf numFmtId="0" fontId="4" fillId="0" borderId="5" xfId="0" applyFont="1" applyBorder="1"/>
    <xf numFmtId="0" fontId="0" fillId="0" borderId="6" xfId="0" applyBorder="1"/>
    <xf numFmtId="3" fontId="4" fillId="0" borderId="0" xfId="0" applyNumberFormat="1" applyFont="1"/>
    <xf numFmtId="17" fontId="4" fillId="0" borderId="7" xfId="0" applyNumberFormat="1" applyFont="1" applyBorder="1"/>
    <xf numFmtId="0" fontId="0" fillId="0" borderId="8" xfId="0" applyBorder="1"/>
    <xf numFmtId="3" fontId="4" fillId="0" borderId="12" xfId="0" applyNumberFormat="1" applyFont="1" applyBorder="1"/>
    <xf numFmtId="17" fontId="4" fillId="0" borderId="9" xfId="0" applyNumberFormat="1" applyFont="1" applyBorder="1"/>
    <xf numFmtId="0" fontId="0" fillId="0" borderId="5" xfId="0" applyBorder="1"/>
    <xf numFmtId="0" fontId="0" fillId="0" borderId="8" xfId="0" quotePrefix="1" applyBorder="1"/>
    <xf numFmtId="2" fontId="6" fillId="2" borderId="0" xfId="0" applyNumberFormat="1" applyFont="1" applyFill="1"/>
    <xf numFmtId="0" fontId="7" fillId="3" borderId="1" xfId="0" applyFont="1" applyFill="1" applyBorder="1"/>
    <xf numFmtId="0" fontId="6" fillId="3" borderId="2" xfId="0" applyFont="1" applyFill="1" applyBorder="1"/>
    <xf numFmtId="0" fontId="7" fillId="3" borderId="2" xfId="0" applyFont="1" applyFill="1" applyBorder="1"/>
    <xf numFmtId="0" fontId="14" fillId="2" borderId="16" xfId="0" applyFont="1" applyFill="1" applyBorder="1"/>
    <xf numFmtId="0" fontId="15" fillId="2" borderId="19" xfId="0" applyFont="1" applyFill="1" applyBorder="1"/>
    <xf numFmtId="0" fontId="15" fillId="2" borderId="0" xfId="0" applyFont="1" applyFill="1"/>
    <xf numFmtId="8" fontId="15" fillId="2" borderId="20" xfId="0" applyNumberFormat="1" applyFont="1" applyFill="1" applyBorder="1" applyAlignment="1">
      <alignment horizontal="right"/>
    </xf>
    <xf numFmtId="0" fontId="15" fillId="2" borderId="20" xfId="0" applyFont="1" applyFill="1" applyBorder="1" applyAlignment="1">
      <alignment horizontal="right"/>
    </xf>
    <xf numFmtId="167" fontId="15" fillId="2" borderId="20" xfId="0" applyNumberFormat="1" applyFont="1" applyFill="1" applyBorder="1" applyAlignment="1">
      <alignment horizontal="right"/>
    </xf>
    <xf numFmtId="6" fontId="15" fillId="2" borderId="20" xfId="0" applyNumberFormat="1" applyFont="1" applyFill="1" applyBorder="1" applyAlignment="1">
      <alignment horizontal="right"/>
    </xf>
    <xf numFmtId="164" fontId="15" fillId="2" borderId="20" xfId="0" applyNumberFormat="1" applyFont="1" applyFill="1" applyBorder="1" applyAlignment="1">
      <alignment horizontal="right"/>
    </xf>
    <xf numFmtId="0" fontId="15" fillId="2" borderId="21" xfId="0" applyFont="1" applyFill="1" applyBorder="1"/>
    <xf numFmtId="0" fontId="15" fillId="2" borderId="22" xfId="0" applyFont="1" applyFill="1" applyBorder="1"/>
    <xf numFmtId="0" fontId="15" fillId="2" borderId="23" xfId="0" applyFont="1" applyFill="1" applyBorder="1" applyAlignment="1">
      <alignment horizontal="right"/>
    </xf>
    <xf numFmtId="0" fontId="14" fillId="2" borderId="17" xfId="0" applyFont="1" applyFill="1" applyBorder="1"/>
    <xf numFmtId="0" fontId="14" fillId="2" borderId="18" xfId="0" applyFont="1" applyFill="1" applyBorder="1"/>
    <xf numFmtId="1" fontId="15" fillId="2" borderId="20" xfId="0" applyNumberFormat="1" applyFont="1" applyFill="1" applyBorder="1"/>
    <xf numFmtId="1" fontId="15" fillId="2" borderId="20" xfId="0" quotePrefix="1" applyNumberFormat="1" applyFont="1" applyFill="1" applyBorder="1" applyAlignment="1">
      <alignment horizontal="right"/>
    </xf>
    <xf numFmtId="2" fontId="15" fillId="2" borderId="20" xfId="0" applyNumberFormat="1" applyFont="1" applyFill="1" applyBorder="1"/>
    <xf numFmtId="2" fontId="15" fillId="2" borderId="23" xfId="0" applyNumberFormat="1" applyFont="1" applyFill="1" applyBorder="1"/>
    <xf numFmtId="0" fontId="15" fillId="2" borderId="24" xfId="0" applyFont="1" applyFill="1" applyBorder="1"/>
    <xf numFmtId="0" fontId="15" fillId="2" borderId="17" xfId="0" applyFont="1" applyFill="1" applyBorder="1"/>
    <xf numFmtId="0" fontId="15" fillId="2" borderId="18" xfId="0" applyFont="1" applyFill="1" applyBorder="1"/>
    <xf numFmtId="0" fontId="15" fillId="2" borderId="25" xfId="0" applyFont="1" applyFill="1" applyBorder="1"/>
    <xf numFmtId="1" fontId="15" fillId="2" borderId="0" xfId="0" applyNumberFormat="1" applyFont="1" applyFill="1"/>
    <xf numFmtId="0" fontId="15" fillId="2" borderId="26" xfId="0" applyFont="1" applyFill="1" applyBorder="1"/>
    <xf numFmtId="1" fontId="15" fillId="2" borderId="22" xfId="0" applyNumberFormat="1" applyFont="1" applyFill="1" applyBorder="1"/>
    <xf numFmtId="1" fontId="15" fillId="2" borderId="23" xfId="0" applyNumberFormat="1" applyFont="1" applyFill="1" applyBorder="1"/>
    <xf numFmtId="2" fontId="15" fillId="2" borderId="0" xfId="0" applyNumberFormat="1" applyFont="1" applyFill="1"/>
    <xf numFmtId="2" fontId="15" fillId="2" borderId="22" xfId="0" applyNumberFormat="1" applyFont="1" applyFill="1" applyBorder="1"/>
    <xf numFmtId="9" fontId="12" fillId="2" borderId="15" xfId="1" applyFont="1" applyFill="1" applyBorder="1"/>
    <xf numFmtId="9" fontId="12" fillId="2" borderId="14" xfId="1" applyFont="1" applyFill="1" applyBorder="1"/>
    <xf numFmtId="9" fontId="12" fillId="2" borderId="0" xfId="1" applyFont="1" applyFill="1" applyBorder="1"/>
    <xf numFmtId="1" fontId="12" fillId="2" borderId="10" xfId="0" applyNumberFormat="1" applyFont="1" applyFill="1" applyBorder="1"/>
    <xf numFmtId="1" fontId="12" fillId="2" borderId="2" xfId="0" applyNumberFormat="1" applyFont="1" applyFill="1" applyBorder="1"/>
    <xf numFmtId="0" fontId="11" fillId="2" borderId="0" xfId="0" applyFont="1" applyFill="1"/>
    <xf numFmtId="0" fontId="13" fillId="0" borderId="5" xfId="0" applyFont="1" applyBorder="1" applyAlignment="1">
      <alignment horizontal="left" wrapText="1" shrinkToFit="1"/>
    </xf>
    <xf numFmtId="0" fontId="13" fillId="0" borderId="7" xfId="0" applyFont="1" applyBorder="1" applyAlignment="1">
      <alignment horizontal="left" wrapText="1" shrinkToFit="1"/>
    </xf>
    <xf numFmtId="15" fontId="14" fillId="2" borderId="17" xfId="0" quotePrefix="1" applyNumberFormat="1" applyFont="1" applyFill="1" applyBorder="1" applyAlignment="1">
      <alignment horizontal="right"/>
    </xf>
    <xf numFmtId="15" fontId="14" fillId="2" borderId="17" xfId="0" applyNumberFormat="1" applyFont="1" applyFill="1" applyBorder="1" applyAlignment="1">
      <alignment horizontal="right"/>
    </xf>
    <xf numFmtId="15" fontId="14" fillId="2" borderId="18" xfId="0" applyNumberFormat="1" applyFont="1" applyFill="1" applyBorder="1" applyAlignment="1">
      <alignment horizontal="right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1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van/Downloads/DCPH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ain"/>
      <sheetName val="Model"/>
      <sheetName val="Valuation &amp; Sensitivity"/>
      <sheetName val="Glossary"/>
      <sheetName val="Price History"/>
    </sheetNames>
    <sheetDataSet>
      <sheetData sheetId="0"/>
      <sheetData sheetId="1"/>
      <sheetData sheetId="2"/>
      <sheetData sheetId="3">
        <row r="22">
          <cell r="O22"/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7623-17F7-4748-BA3E-89077F7710B7}">
  <dimension ref="A1:N34"/>
  <sheetViews>
    <sheetView workbookViewId="0">
      <selection activeCell="G38" sqref="G38"/>
    </sheetView>
  </sheetViews>
  <sheetFormatPr baseColWidth="10" defaultRowHeight="16"/>
  <cols>
    <col min="1" max="1" width="37.83203125" customWidth="1"/>
    <col min="2" max="2" width="12.83203125" customWidth="1"/>
    <col min="8" max="9" width="44.6640625" customWidth="1"/>
  </cols>
  <sheetData>
    <row r="1" spans="1:14" ht="26">
      <c r="A1" s="3" t="s">
        <v>172</v>
      </c>
    </row>
    <row r="2" spans="1:14" ht="17">
      <c r="A2" s="4" t="s">
        <v>122</v>
      </c>
    </row>
    <row r="4" spans="1:14">
      <c r="B4" s="125" t="s">
        <v>201</v>
      </c>
      <c r="C4" s="160">
        <v>44879</v>
      </c>
      <c r="D4" s="161"/>
      <c r="E4" s="162"/>
      <c r="H4" s="106" t="s">
        <v>22</v>
      </c>
      <c r="I4" s="2" t="s">
        <v>35</v>
      </c>
      <c r="J4" s="2" t="s">
        <v>36</v>
      </c>
      <c r="K4" s="2"/>
      <c r="L4" s="2"/>
      <c r="M4" s="107" t="s">
        <v>55</v>
      </c>
      <c r="N4" s="108"/>
    </row>
    <row r="5" spans="1:14">
      <c r="B5" s="126" t="s">
        <v>202</v>
      </c>
      <c r="C5" s="127"/>
      <c r="D5" s="127"/>
      <c r="E5" s="128">
        <v>255.45</v>
      </c>
      <c r="H5" s="109" t="s">
        <v>23</v>
      </c>
      <c r="I5" s="110" t="s">
        <v>34</v>
      </c>
      <c r="J5" s="110" t="s">
        <v>37</v>
      </c>
      <c r="K5" s="110"/>
      <c r="L5" s="110"/>
      <c r="M5" s="111" t="s">
        <v>53</v>
      </c>
      <c r="N5" s="112" t="s">
        <v>54</v>
      </c>
    </row>
    <row r="6" spans="1:14">
      <c r="B6" s="126" t="s">
        <v>203</v>
      </c>
      <c r="C6" s="127"/>
      <c r="D6" s="127"/>
      <c r="E6" s="129" t="s">
        <v>204</v>
      </c>
      <c r="H6" s="113" t="s">
        <v>24</v>
      </c>
      <c r="I6" t="s">
        <v>38</v>
      </c>
      <c r="J6" t="s">
        <v>39</v>
      </c>
      <c r="M6" s="114">
        <v>8252839</v>
      </c>
      <c r="N6" s="115">
        <v>45413</v>
      </c>
    </row>
    <row r="7" spans="1:14">
      <c r="B7" s="126" t="s">
        <v>205</v>
      </c>
      <c r="C7" s="127"/>
      <c r="D7" s="127"/>
      <c r="E7" s="130">
        <f>'Valuation &amp; Sensitivity'!C18</f>
        <v>297.31575147676676</v>
      </c>
      <c r="H7" s="113" t="s">
        <v>25</v>
      </c>
      <c r="I7" t="s">
        <v>40</v>
      </c>
      <c r="J7" t="s">
        <v>41</v>
      </c>
      <c r="M7" s="114">
        <v>9050311</v>
      </c>
      <c r="N7" s="115">
        <v>45413</v>
      </c>
    </row>
    <row r="8" spans="1:14">
      <c r="B8" s="126" t="s">
        <v>206</v>
      </c>
      <c r="C8" s="127"/>
      <c r="D8" s="127"/>
      <c r="E8" s="129" t="s">
        <v>199</v>
      </c>
      <c r="H8" s="113" t="s">
        <v>26</v>
      </c>
      <c r="I8" t="s">
        <v>38</v>
      </c>
      <c r="J8" t="s">
        <v>41</v>
      </c>
      <c r="M8" s="114">
        <v>9278901</v>
      </c>
      <c r="N8" s="115">
        <v>45413</v>
      </c>
    </row>
    <row r="9" spans="1:14">
      <c r="B9" s="126" t="s">
        <v>207</v>
      </c>
      <c r="C9" s="127"/>
      <c r="D9" s="127"/>
      <c r="E9" s="128">
        <v>270.61</v>
      </c>
      <c r="H9" s="113" t="s">
        <v>27</v>
      </c>
      <c r="I9" t="s">
        <v>42</v>
      </c>
      <c r="J9" t="s">
        <v>37</v>
      </c>
      <c r="M9" s="114">
        <v>7544713</v>
      </c>
      <c r="N9" s="115">
        <v>45474</v>
      </c>
    </row>
    <row r="10" spans="1:14">
      <c r="B10" s="126" t="s">
        <v>208</v>
      </c>
      <c r="C10" s="127"/>
      <c r="D10" s="127"/>
      <c r="E10" s="128">
        <v>158.38</v>
      </c>
      <c r="H10" s="113" t="s">
        <v>28</v>
      </c>
      <c r="I10" t="s">
        <v>42</v>
      </c>
      <c r="J10" t="s">
        <v>37</v>
      </c>
      <c r="M10" s="114">
        <v>7417070</v>
      </c>
      <c r="N10" s="115">
        <v>46204</v>
      </c>
    </row>
    <row r="11" spans="1:14">
      <c r="B11" s="126" t="s">
        <v>209</v>
      </c>
      <c r="C11" s="127"/>
      <c r="D11" s="127"/>
      <c r="E11" s="131">
        <f>E12-E17+E18</f>
        <v>9807.375</v>
      </c>
      <c r="H11" s="113" t="s">
        <v>29</v>
      </c>
      <c r="I11" t="s">
        <v>42</v>
      </c>
      <c r="J11" t="s">
        <v>37</v>
      </c>
      <c r="M11" s="114">
        <v>8497393</v>
      </c>
      <c r="N11" s="115">
        <v>47088</v>
      </c>
    </row>
    <row r="12" spans="1:14">
      <c r="B12" s="126" t="s">
        <v>210</v>
      </c>
      <c r="C12" s="127"/>
      <c r="D12" s="127"/>
      <c r="E12" s="131">
        <f>E5*E13</f>
        <v>11622.975</v>
      </c>
      <c r="H12" s="113" t="s">
        <v>30</v>
      </c>
      <c r="I12" t="s">
        <v>43</v>
      </c>
      <c r="J12" t="s">
        <v>41</v>
      </c>
      <c r="M12" s="114">
        <v>9604901</v>
      </c>
      <c r="N12" s="115">
        <v>47088</v>
      </c>
    </row>
    <row r="13" spans="1:14">
      <c r="B13" s="126" t="s">
        <v>211</v>
      </c>
      <c r="C13" s="127"/>
      <c r="D13" s="127"/>
      <c r="E13" s="132">
        <f>Model!L66</f>
        <v>45.5</v>
      </c>
      <c r="H13" s="113" t="s">
        <v>31</v>
      </c>
      <c r="M13" s="114">
        <v>9592066</v>
      </c>
      <c r="N13" s="115">
        <v>47088</v>
      </c>
    </row>
    <row r="14" spans="1:14">
      <c r="B14" s="126" t="s">
        <v>212</v>
      </c>
      <c r="C14" s="127"/>
      <c r="D14" s="127"/>
      <c r="E14" s="129">
        <v>-0.4</v>
      </c>
      <c r="H14" s="113" t="s">
        <v>33</v>
      </c>
      <c r="M14" s="114">
        <v>8747897</v>
      </c>
      <c r="N14" s="115">
        <v>47392</v>
      </c>
    </row>
    <row r="15" spans="1:14">
      <c r="B15" s="133" t="s">
        <v>213</v>
      </c>
      <c r="C15" s="134"/>
      <c r="D15" s="134"/>
      <c r="E15" s="135">
        <v>1.32</v>
      </c>
      <c r="H15" s="113" t="s">
        <v>32</v>
      </c>
      <c r="M15" s="114">
        <v>8410169</v>
      </c>
      <c r="N15" s="115">
        <v>47515</v>
      </c>
    </row>
    <row r="16" spans="1:14">
      <c r="B16" s="125" t="s">
        <v>214</v>
      </c>
      <c r="C16" s="136"/>
      <c r="D16" s="136"/>
      <c r="E16" s="137"/>
      <c r="H16" s="116"/>
      <c r="I16" s="76"/>
      <c r="J16" s="76"/>
      <c r="K16" s="76"/>
      <c r="L16" s="76"/>
      <c r="M16" s="117">
        <v>8349892</v>
      </c>
      <c r="N16" s="118">
        <v>47849</v>
      </c>
    </row>
    <row r="17" spans="2:14">
      <c r="B17" s="126" t="s">
        <v>215</v>
      </c>
      <c r="C17" s="127"/>
      <c r="D17" s="127"/>
      <c r="E17" s="138">
        <f>Model!L72+Model!L73</f>
        <v>2615.6</v>
      </c>
    </row>
    <row r="18" spans="2:14">
      <c r="B18" s="126" t="s">
        <v>216</v>
      </c>
      <c r="C18" s="127"/>
      <c r="D18" s="127"/>
      <c r="E18" s="139">
        <f>Model!K95</f>
        <v>800</v>
      </c>
    </row>
    <row r="19" spans="2:14">
      <c r="B19" s="126" t="s">
        <v>217</v>
      </c>
      <c r="C19" s="127"/>
      <c r="D19" s="127"/>
      <c r="E19" s="140">
        <f>E17/E13</f>
        <v>57.48571428571428</v>
      </c>
      <c r="H19" s="109" t="s">
        <v>56</v>
      </c>
      <c r="I19" s="110"/>
      <c r="J19" s="110"/>
      <c r="K19" s="110"/>
      <c r="L19" s="110"/>
      <c r="M19" s="110"/>
      <c r="N19" s="119"/>
    </row>
    <row r="20" spans="2:14">
      <c r="B20" s="133" t="s">
        <v>218</v>
      </c>
      <c r="C20" s="134"/>
      <c r="D20" s="134"/>
      <c r="E20" s="141">
        <f>Model!L105/E13</f>
        <v>100.26813186813186</v>
      </c>
      <c r="H20" s="113" t="s">
        <v>57</v>
      </c>
      <c r="N20" s="75"/>
    </row>
    <row r="21" spans="2:14">
      <c r="B21" s="125" t="s">
        <v>219</v>
      </c>
      <c r="C21" s="136"/>
      <c r="D21" s="136"/>
      <c r="E21" s="137"/>
      <c r="H21" s="113" t="s">
        <v>58</v>
      </c>
      <c r="N21" s="75"/>
    </row>
    <row r="22" spans="2:14">
      <c r="B22" s="142" t="s">
        <v>220</v>
      </c>
      <c r="C22" s="143" t="s">
        <v>221</v>
      </c>
      <c r="D22" s="143" t="s">
        <v>222</v>
      </c>
      <c r="E22" s="144" t="s">
        <v>223</v>
      </c>
      <c r="H22" s="120" t="s">
        <v>59</v>
      </c>
      <c r="I22" s="76"/>
      <c r="J22" s="76"/>
      <c r="K22" s="76"/>
      <c r="L22" s="76"/>
      <c r="M22" s="76"/>
      <c r="N22" s="77"/>
    </row>
    <row r="23" spans="2:14">
      <c r="B23" s="145" t="s">
        <v>224</v>
      </c>
      <c r="C23" s="146">
        <f>Model!F47</f>
        <v>379.09999999999997</v>
      </c>
      <c r="D23" s="146">
        <f>'Report Elements'!O7</f>
        <v>461.90000000000003</v>
      </c>
      <c r="E23" s="138">
        <f>'Report Elements'!T7</f>
        <v>523.01699999999994</v>
      </c>
    </row>
    <row r="24" spans="2:14">
      <c r="B24" s="145" t="s">
        <v>225</v>
      </c>
      <c r="C24" s="146">
        <f>Model!G47</f>
        <v>446.50000000000006</v>
      </c>
      <c r="D24" s="146">
        <f>'Report Elements'!P7</f>
        <v>466.9</v>
      </c>
      <c r="E24" s="138">
        <f>'Report Elements'!U7</f>
        <v>547.32299999999998</v>
      </c>
    </row>
    <row r="25" spans="2:14">
      <c r="B25" s="145" t="s">
        <v>226</v>
      </c>
      <c r="C25" s="146">
        <f>Model!H47</f>
        <v>444.70000000000005</v>
      </c>
      <c r="D25" s="146">
        <f>'Report Elements'!Q7</f>
        <v>516</v>
      </c>
      <c r="E25" s="138">
        <f>'Report Elements'!V7</f>
        <v>603.96899999999994</v>
      </c>
      <c r="H25" s="79" t="s">
        <v>135</v>
      </c>
      <c r="I25" s="2"/>
      <c r="J25" s="2"/>
      <c r="K25" s="2" t="s">
        <v>139</v>
      </c>
      <c r="L25" s="2" t="s">
        <v>255</v>
      </c>
      <c r="M25" s="2"/>
      <c r="N25" s="78"/>
    </row>
    <row r="26" spans="2:14" ht="17" customHeight="1">
      <c r="B26" s="147" t="s">
        <v>227</v>
      </c>
      <c r="C26" s="146">
        <f>Model!I47</f>
        <v>415.20000000000016</v>
      </c>
      <c r="D26" s="148">
        <f>'Report Elements'!R7</f>
        <v>499.75400000000008</v>
      </c>
      <c r="E26" s="149">
        <f>'Report Elements'!W7</f>
        <v>582.41329000000007</v>
      </c>
      <c r="H26" s="80" t="s">
        <v>0</v>
      </c>
      <c r="I26" t="s">
        <v>136</v>
      </c>
      <c r="J26" s="163" t="s">
        <v>254</v>
      </c>
      <c r="K26" s="165">
        <v>50</v>
      </c>
      <c r="L26" s="167" t="s">
        <v>140</v>
      </c>
      <c r="M26" s="167" t="s">
        <v>141</v>
      </c>
      <c r="N26" s="158" t="s">
        <v>142</v>
      </c>
    </row>
    <row r="27" spans="2:14">
      <c r="B27" s="125" t="s">
        <v>228</v>
      </c>
      <c r="C27" s="136"/>
      <c r="D27" s="136"/>
      <c r="E27" s="137"/>
      <c r="H27" s="80"/>
      <c r="I27" t="s">
        <v>143</v>
      </c>
      <c r="J27" s="164"/>
      <c r="K27" s="166"/>
      <c r="L27" s="168"/>
      <c r="M27" s="168"/>
      <c r="N27" s="159"/>
    </row>
    <row r="28" spans="2:14">
      <c r="B28" s="142" t="s">
        <v>220</v>
      </c>
      <c r="C28" s="143" t="s">
        <v>221</v>
      </c>
      <c r="D28" s="143" t="s">
        <v>222</v>
      </c>
      <c r="E28" s="144" t="s">
        <v>223</v>
      </c>
      <c r="H28" s="80"/>
      <c r="I28" t="s">
        <v>144</v>
      </c>
      <c r="J28" s="164"/>
      <c r="K28" s="166"/>
      <c r="L28" s="168"/>
      <c r="M28" s="168"/>
      <c r="N28" s="159"/>
    </row>
    <row r="29" spans="2:14">
      <c r="B29" s="145" t="s">
        <v>224</v>
      </c>
      <c r="C29" s="150">
        <f>Model!F69</f>
        <v>0.60860215053763433</v>
      </c>
      <c r="D29" s="150">
        <f>'Report Elements'!O18</f>
        <v>5.0293501048218054</v>
      </c>
      <c r="E29" s="140">
        <f>'Report Elements'!T18</f>
        <v>4.7718314518247729</v>
      </c>
      <c r="H29" s="80"/>
      <c r="N29" s="75"/>
    </row>
    <row r="30" spans="2:14">
      <c r="B30" s="145" t="s">
        <v>225</v>
      </c>
      <c r="C30" s="150">
        <f>Model!G69</f>
        <v>3.6490486257928136</v>
      </c>
      <c r="D30" s="150">
        <f>'Report Elements'!P18</f>
        <v>2.4116424116424122</v>
      </c>
      <c r="E30" s="140">
        <f>'Report Elements'!U18</f>
        <v>4.846078080574646</v>
      </c>
      <c r="H30" s="80" t="s">
        <v>1</v>
      </c>
      <c r="I30" t="s">
        <v>136</v>
      </c>
      <c r="J30" t="s">
        <v>137</v>
      </c>
      <c r="K30">
        <v>50</v>
      </c>
      <c r="N30" s="75"/>
    </row>
    <row r="31" spans="2:14">
      <c r="B31" s="145" t="s">
        <v>226</v>
      </c>
      <c r="C31" s="150">
        <f>Model!H69</f>
        <v>3.418067226890757</v>
      </c>
      <c r="D31" s="150">
        <f>'Report Elements'!Q18</f>
        <v>4.9137577002053403</v>
      </c>
      <c r="E31" s="140">
        <f>'Report Elements'!V18</f>
        <v>5.9941372069889365</v>
      </c>
      <c r="H31" s="80" t="s">
        <v>2</v>
      </c>
      <c r="I31" t="s">
        <v>136</v>
      </c>
      <c r="J31" t="s">
        <v>137</v>
      </c>
      <c r="K31">
        <v>50</v>
      </c>
      <c r="N31" s="75"/>
    </row>
    <row r="32" spans="2:14">
      <c r="B32" s="147" t="s">
        <v>227</v>
      </c>
      <c r="C32" s="151">
        <f>Model!I69</f>
        <v>2.3472803347280369</v>
      </c>
      <c r="D32" s="151">
        <f>'Report Elements'!R18</f>
        <v>4.2657125357288699</v>
      </c>
      <c r="E32" s="141">
        <f>'Report Elements'!W18</f>
        <v>5.5748016332948387</v>
      </c>
      <c r="H32" s="80" t="s">
        <v>3</v>
      </c>
      <c r="N32" s="75"/>
    </row>
    <row r="33" spans="3:14">
      <c r="H33" s="81" t="s">
        <v>4</v>
      </c>
      <c r="I33" s="76"/>
      <c r="J33" s="76" t="s">
        <v>138</v>
      </c>
      <c r="K33" s="76">
        <v>30</v>
      </c>
      <c r="L33" s="76"/>
      <c r="M33" s="76"/>
      <c r="N33" s="77"/>
    </row>
    <row r="34" spans="3:14">
      <c r="C34" s="1"/>
      <c r="D34" s="1"/>
      <c r="E34" s="1"/>
      <c r="F34" s="1"/>
    </row>
  </sheetData>
  <mergeCells count="6">
    <mergeCell ref="N26:N28"/>
    <mergeCell ref="C4:E4"/>
    <mergeCell ref="J26:J28"/>
    <mergeCell ref="K26:K28"/>
    <mergeCell ref="L26:L28"/>
    <mergeCell ref="M26:M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3D5D-9C05-A342-A68E-355EB2B762EC}">
  <dimension ref="A1:AG163"/>
  <sheetViews>
    <sheetView zoomScale="83" workbookViewId="0">
      <pane xSplit="1" ySplit="4" topLeftCell="P39" activePane="bottomRight" state="frozen"/>
      <selection pane="topRight" activeCell="B1" sqref="B1"/>
      <selection pane="bottomLeft" activeCell="A5" sqref="A5"/>
      <selection pane="bottomRight" activeCell="V56" sqref="V56"/>
    </sheetView>
  </sheetViews>
  <sheetFormatPr baseColWidth="10" defaultRowHeight="17" outlineLevelRow="1"/>
  <cols>
    <col min="1" max="1" width="40.83203125" style="4" customWidth="1"/>
    <col min="2" max="16384" width="10.83203125" style="13"/>
  </cols>
  <sheetData>
    <row r="1" spans="1:33" s="4" customFormat="1" ht="26">
      <c r="A1" s="3" t="s">
        <v>172</v>
      </c>
    </row>
    <row r="2" spans="1:33" s="4" customFormat="1">
      <c r="A2" s="4" t="s">
        <v>122</v>
      </c>
    </row>
    <row r="3" spans="1:33" s="4" customFormat="1">
      <c r="B3" s="51" t="s">
        <v>238</v>
      </c>
      <c r="C3" s="52" t="s">
        <v>239</v>
      </c>
      <c r="D3" s="52" t="s">
        <v>240</v>
      </c>
      <c r="E3" s="52" t="s">
        <v>241</v>
      </c>
      <c r="F3" s="52" t="s">
        <v>242</v>
      </c>
      <c r="G3" s="52" t="s">
        <v>243</v>
      </c>
      <c r="H3" s="52" t="s">
        <v>244</v>
      </c>
      <c r="I3" s="52" t="s">
        <v>245</v>
      </c>
      <c r="J3" s="52" t="s">
        <v>231</v>
      </c>
      <c r="K3" s="52" t="s">
        <v>232</v>
      </c>
      <c r="L3" s="52" t="s">
        <v>246</v>
      </c>
      <c r="M3" s="52" t="s">
        <v>147</v>
      </c>
      <c r="N3" s="52" t="s">
        <v>234</v>
      </c>
      <c r="O3" s="52" t="s">
        <v>235</v>
      </c>
      <c r="P3" s="52" t="s">
        <v>236</v>
      </c>
      <c r="Q3" s="53" t="s">
        <v>237</v>
      </c>
      <c r="T3" s="51" t="s">
        <v>247</v>
      </c>
      <c r="U3" s="52" t="s">
        <v>248</v>
      </c>
      <c r="V3" s="52" t="s">
        <v>230</v>
      </c>
      <c r="W3" s="52" t="s">
        <v>233</v>
      </c>
      <c r="X3" s="52" t="s">
        <v>146</v>
      </c>
      <c r="Y3" s="52" t="s">
        <v>148</v>
      </c>
      <c r="Z3" s="52" t="s">
        <v>149</v>
      </c>
      <c r="AA3" s="52" t="s">
        <v>150</v>
      </c>
      <c r="AB3" s="52" t="s">
        <v>151</v>
      </c>
      <c r="AC3" s="52" t="s">
        <v>152</v>
      </c>
      <c r="AD3" s="52" t="s">
        <v>153</v>
      </c>
      <c r="AE3" s="52" t="s">
        <v>154</v>
      </c>
      <c r="AF3" s="52" t="s">
        <v>155</v>
      </c>
      <c r="AG3" s="53" t="s">
        <v>156</v>
      </c>
    </row>
    <row r="4" spans="1:33" s="4" customFormat="1">
      <c r="B4" s="54">
        <v>43921</v>
      </c>
      <c r="C4" s="55">
        <v>44012</v>
      </c>
      <c r="D4" s="55">
        <v>44104</v>
      </c>
      <c r="E4" s="55">
        <v>44196</v>
      </c>
      <c r="F4" s="55">
        <f>B4+365</f>
        <v>44286</v>
      </c>
      <c r="G4" s="55">
        <f t="shared" ref="G4:L4" si="0">C4+365</f>
        <v>44377</v>
      </c>
      <c r="H4" s="55">
        <f t="shared" si="0"/>
        <v>44469</v>
      </c>
      <c r="I4" s="55">
        <f t="shared" si="0"/>
        <v>44561</v>
      </c>
      <c r="J4" s="55">
        <f t="shared" si="0"/>
        <v>44651</v>
      </c>
      <c r="K4" s="55">
        <f t="shared" si="0"/>
        <v>44742</v>
      </c>
      <c r="L4" s="55">
        <f t="shared" si="0"/>
        <v>44834</v>
      </c>
      <c r="M4" s="55">
        <f>I4+365</f>
        <v>44926</v>
      </c>
      <c r="N4" s="55">
        <f>J4+365</f>
        <v>45016</v>
      </c>
      <c r="O4" s="55">
        <f>K4+365</f>
        <v>45107</v>
      </c>
      <c r="P4" s="55">
        <f>L4+365</f>
        <v>45199</v>
      </c>
      <c r="Q4" s="56">
        <f>M4+365</f>
        <v>45291</v>
      </c>
      <c r="R4" s="57"/>
      <c r="T4" s="25">
        <v>2019</v>
      </c>
      <c r="U4" s="58">
        <f t="shared" ref="U4:AG4" si="1">T4+1</f>
        <v>2020</v>
      </c>
      <c r="V4" s="58">
        <f t="shared" si="1"/>
        <v>2021</v>
      </c>
      <c r="W4" s="58">
        <f t="shared" si="1"/>
        <v>2022</v>
      </c>
      <c r="X4" s="58">
        <f t="shared" si="1"/>
        <v>2023</v>
      </c>
      <c r="Y4" s="58">
        <f t="shared" si="1"/>
        <v>2024</v>
      </c>
      <c r="Z4" s="58">
        <f t="shared" si="1"/>
        <v>2025</v>
      </c>
      <c r="AA4" s="58">
        <f t="shared" si="1"/>
        <v>2026</v>
      </c>
      <c r="AB4" s="58">
        <f t="shared" si="1"/>
        <v>2027</v>
      </c>
      <c r="AC4" s="58">
        <f t="shared" si="1"/>
        <v>2028</v>
      </c>
      <c r="AD4" s="58">
        <f t="shared" si="1"/>
        <v>2029</v>
      </c>
      <c r="AE4" s="58">
        <f t="shared" si="1"/>
        <v>2030</v>
      </c>
      <c r="AF4" s="58">
        <f t="shared" si="1"/>
        <v>2031</v>
      </c>
      <c r="AG4" s="59">
        <f t="shared" si="1"/>
        <v>2032</v>
      </c>
    </row>
    <row r="5" spans="1:33" s="123" customFormat="1">
      <c r="A5" s="122" t="s">
        <v>60</v>
      </c>
    </row>
    <row r="6" spans="1:33">
      <c r="A6" s="61" t="s">
        <v>8</v>
      </c>
    </row>
    <row r="7" spans="1:33">
      <c r="A7" s="4" t="s">
        <v>249</v>
      </c>
      <c r="B7" s="13">
        <v>102.9</v>
      </c>
      <c r="C7" s="13">
        <v>119.2</v>
      </c>
      <c r="D7" s="13">
        <v>129.5</v>
      </c>
      <c r="E7" s="13">
        <f>U7-D7-C7-B7</f>
        <v>131.70000000000002</v>
      </c>
      <c r="F7" s="13">
        <f>276.8-G7</f>
        <v>123</v>
      </c>
      <c r="G7" s="13">
        <v>153.80000000000001</v>
      </c>
      <c r="H7" s="13">
        <v>164.2</v>
      </c>
      <c r="I7" s="13">
        <f>V7-F7-G7-H7</f>
        <v>166.5</v>
      </c>
      <c r="J7" s="13">
        <f>373-K7</f>
        <v>172</v>
      </c>
      <c r="K7" s="13">
        <v>201</v>
      </c>
      <c r="L7" s="13">
        <v>257.7</v>
      </c>
      <c r="M7" s="62">
        <f>I7*(1+M8)</f>
        <v>241.42499999999998</v>
      </c>
      <c r="N7" s="62">
        <f>J7*(1+N8)</f>
        <v>232.20000000000002</v>
      </c>
      <c r="O7" s="62">
        <f>K7*(1+O8)</f>
        <v>271.35000000000002</v>
      </c>
      <c r="P7" s="62">
        <f>L7*(1+P8)</f>
        <v>335.01</v>
      </c>
      <c r="Q7" s="62">
        <f>M7*(1+Q8)</f>
        <v>313.85249999999996</v>
      </c>
      <c r="T7" s="13">
        <v>415.6</v>
      </c>
      <c r="U7" s="13">
        <v>483.3</v>
      </c>
      <c r="V7" s="13">
        <v>607.5</v>
      </c>
      <c r="W7" s="62">
        <f>SUM(J7:M7)</f>
        <v>872.125</v>
      </c>
      <c r="X7" s="62">
        <f>SUM(N7:Q7)</f>
        <v>1152.4124999999999</v>
      </c>
      <c r="Y7" s="62">
        <f t="shared" ref="Y7:AG7" si="2">X7*(1+Y8)</f>
        <v>1382.8949999999998</v>
      </c>
      <c r="Z7" s="62">
        <f t="shared" si="2"/>
        <v>1659.4739999999997</v>
      </c>
      <c r="AA7" s="62">
        <f t="shared" si="2"/>
        <v>1576.5002999999997</v>
      </c>
      <c r="AB7" s="62">
        <f t="shared" si="2"/>
        <v>1497.6752849999996</v>
      </c>
      <c r="AC7" s="62">
        <f t="shared" si="2"/>
        <v>1497.6752849999996</v>
      </c>
      <c r="AD7" s="62">
        <f t="shared" si="2"/>
        <v>1497.6752849999996</v>
      </c>
      <c r="AE7" s="62">
        <f t="shared" si="2"/>
        <v>1497.6752849999996</v>
      </c>
      <c r="AF7" s="62">
        <f t="shared" si="2"/>
        <v>1497.6752849999996</v>
      </c>
      <c r="AG7" s="62">
        <f t="shared" si="2"/>
        <v>1497.6752849999996</v>
      </c>
    </row>
    <row r="8" spans="1:33" s="64" customFormat="1">
      <c r="A8" s="63" t="s">
        <v>127</v>
      </c>
      <c r="F8" s="65">
        <f>F7/B7-1</f>
        <v>0.19533527696792996</v>
      </c>
      <c r="G8" s="65">
        <f t="shared" ref="G8:L8" si="3">G7/C7-1</f>
        <v>0.29026845637583909</v>
      </c>
      <c r="H8" s="65">
        <f t="shared" si="3"/>
        <v>0.26795366795366782</v>
      </c>
      <c r="I8" s="65">
        <f t="shared" si="3"/>
        <v>0.26423690205011363</v>
      </c>
      <c r="J8" s="65">
        <f t="shared" si="3"/>
        <v>0.39837398373983746</v>
      </c>
      <c r="K8" s="65">
        <f t="shared" si="3"/>
        <v>0.30689206762028598</v>
      </c>
      <c r="L8" s="65">
        <f t="shared" si="3"/>
        <v>0.56942752740560287</v>
      </c>
      <c r="M8" s="65">
        <v>0.45</v>
      </c>
      <c r="N8" s="65">
        <v>0.35</v>
      </c>
      <c r="O8" s="65">
        <v>0.35</v>
      </c>
      <c r="P8" s="65">
        <v>0.3</v>
      </c>
      <c r="Q8" s="65">
        <v>0.3</v>
      </c>
      <c r="R8" s="65"/>
      <c r="U8" s="65">
        <f>U7/T7-1</f>
        <v>0.16289701636188636</v>
      </c>
      <c r="V8" s="65">
        <f>V7/U7-1</f>
        <v>0.25698324022346375</v>
      </c>
      <c r="W8" s="65">
        <f>W7/V7-1</f>
        <v>0.43559670781893001</v>
      </c>
      <c r="X8" s="65">
        <f>X7/W7-1</f>
        <v>0.32138454923319459</v>
      </c>
      <c r="Y8" s="66">
        <v>0.2</v>
      </c>
      <c r="Z8" s="66">
        <v>0.2</v>
      </c>
      <c r="AA8" s="66">
        <v>-0.05</v>
      </c>
      <c r="AB8" s="66">
        <v>-0.05</v>
      </c>
      <c r="AC8" s="66">
        <v>0</v>
      </c>
      <c r="AD8" s="66">
        <v>0</v>
      </c>
      <c r="AE8" s="66">
        <v>0</v>
      </c>
      <c r="AF8" s="66">
        <v>0</v>
      </c>
      <c r="AG8" s="66">
        <v>0</v>
      </c>
    </row>
    <row r="9" spans="1:33">
      <c r="A9" s="4" t="s">
        <v>250</v>
      </c>
      <c r="B9" s="13">
        <v>145.30000000000001</v>
      </c>
      <c r="C9" s="13">
        <v>119</v>
      </c>
      <c r="D9" s="13">
        <v>124.5</v>
      </c>
      <c r="E9" s="13">
        <f>U9-D9-C9-B9</f>
        <v>127.90000000000003</v>
      </c>
      <c r="F9" s="13">
        <f>270-G9</f>
        <v>130.19999999999999</v>
      </c>
      <c r="G9" s="13">
        <v>139.80000000000001</v>
      </c>
      <c r="H9" s="13">
        <v>125.4</v>
      </c>
      <c r="I9" s="13">
        <f>V9-F9-G9-H9</f>
        <v>118.30000000000004</v>
      </c>
      <c r="J9" s="13">
        <f>263.7-K9</f>
        <v>131.69999999999999</v>
      </c>
      <c r="K9" s="13">
        <v>132</v>
      </c>
      <c r="L9" s="13">
        <v>114</v>
      </c>
      <c r="M9" s="62">
        <f>I9*(1+M10)</f>
        <v>119.48300000000005</v>
      </c>
      <c r="N9" s="62">
        <f>J9*(1+N10)</f>
        <v>133.017</v>
      </c>
      <c r="O9" s="62">
        <f>K9*(1+O10)</f>
        <v>133.32</v>
      </c>
      <c r="P9" s="62">
        <f>L9*(1+P10)</f>
        <v>115.14</v>
      </c>
      <c r="Q9" s="62">
        <f>M9*(1+Q10)</f>
        <v>120.67783000000004</v>
      </c>
      <c r="T9" s="13">
        <v>587</v>
      </c>
      <c r="U9" s="13">
        <v>516.70000000000005</v>
      </c>
      <c r="V9" s="13">
        <v>513.70000000000005</v>
      </c>
      <c r="W9" s="62">
        <f>SUM(J9:M9)</f>
        <v>497.18300000000005</v>
      </c>
      <c r="X9" s="62">
        <f>SUM(N9:Q9)</f>
        <v>502.15483</v>
      </c>
      <c r="Y9" s="62">
        <f t="shared" ref="Y9:AG9" si="4">X9*(1+Y10)</f>
        <v>522.24102319999997</v>
      </c>
      <c r="Z9" s="62">
        <f t="shared" si="4"/>
        <v>543.13066412800003</v>
      </c>
      <c r="AA9" s="62">
        <f t="shared" si="4"/>
        <v>564.85589069312005</v>
      </c>
      <c r="AB9" s="62">
        <f t="shared" si="4"/>
        <v>587.4501263208449</v>
      </c>
      <c r="AC9" s="62">
        <f t="shared" si="4"/>
        <v>610.94813137367873</v>
      </c>
      <c r="AD9" s="62">
        <f t="shared" si="4"/>
        <v>635.38605662862585</v>
      </c>
      <c r="AE9" s="62">
        <f t="shared" si="4"/>
        <v>660.80149889377094</v>
      </c>
      <c r="AF9" s="62">
        <f t="shared" si="4"/>
        <v>687.23355884952184</v>
      </c>
      <c r="AG9" s="62">
        <f t="shared" si="4"/>
        <v>714.72290120350272</v>
      </c>
    </row>
    <row r="10" spans="1:33" s="64" customFormat="1">
      <c r="A10" s="63" t="s">
        <v>126</v>
      </c>
      <c r="F10" s="65">
        <f t="shared" ref="F10:L10" si="5">F9/B9-1</f>
        <v>-0.10392291810048193</v>
      </c>
      <c r="G10" s="65">
        <f t="shared" si="5"/>
        <v>0.1747899159663866</v>
      </c>
      <c r="H10" s="65">
        <f t="shared" si="5"/>
        <v>7.2289156626506035E-3</v>
      </c>
      <c r="I10" s="65">
        <f t="shared" si="5"/>
        <v>-7.5058639562157858E-2</v>
      </c>
      <c r="J10" s="65">
        <f t="shared" si="5"/>
        <v>1.1520737327188835E-2</v>
      </c>
      <c r="K10" s="65">
        <f t="shared" si="5"/>
        <v>-5.5793991416309141E-2</v>
      </c>
      <c r="L10" s="65">
        <f t="shared" si="5"/>
        <v>-9.0909090909090939E-2</v>
      </c>
      <c r="M10" s="65">
        <v>0.01</v>
      </c>
      <c r="N10" s="65">
        <v>0.01</v>
      </c>
      <c r="O10" s="65">
        <v>0.01</v>
      </c>
      <c r="P10" s="65">
        <v>0.01</v>
      </c>
      <c r="Q10" s="65">
        <v>0.01</v>
      </c>
      <c r="R10" s="65"/>
      <c r="U10" s="65">
        <f>U9/T9-1</f>
        <v>-0.11976149914821121</v>
      </c>
      <c r="V10" s="65">
        <f>V9/U9-1</f>
        <v>-5.8060770272885254E-3</v>
      </c>
      <c r="W10" s="65">
        <f>W9/V9-1</f>
        <v>-3.2153007591979699E-2</v>
      </c>
      <c r="X10" s="65">
        <f>X9/W9-1</f>
        <v>1.0000000000000009E-2</v>
      </c>
      <c r="Y10" s="66">
        <v>0.04</v>
      </c>
      <c r="Z10" s="66">
        <v>0.04</v>
      </c>
      <c r="AA10" s="66">
        <v>0.04</v>
      </c>
      <c r="AB10" s="66">
        <v>0.04</v>
      </c>
      <c r="AC10" s="66">
        <v>0.04</v>
      </c>
      <c r="AD10" s="66">
        <v>0.04</v>
      </c>
      <c r="AE10" s="66">
        <v>0.04</v>
      </c>
      <c r="AF10" s="66">
        <v>0.04</v>
      </c>
      <c r="AG10" s="66">
        <v>0.04</v>
      </c>
    </row>
    <row r="11" spans="1:33">
      <c r="A11" s="4" t="s">
        <v>251</v>
      </c>
      <c r="B11" s="13">
        <v>69</v>
      </c>
      <c r="C11" s="13">
        <v>75.400000000000006</v>
      </c>
      <c r="D11" s="13">
        <v>74.7</v>
      </c>
      <c r="E11" s="13">
        <f>U11-D11-C11-B11</f>
        <v>74.000000000000028</v>
      </c>
      <c r="F11" s="13">
        <f>148.6-G11</f>
        <v>72.399999999999991</v>
      </c>
      <c r="G11" s="13">
        <v>76.2</v>
      </c>
      <c r="H11" s="13">
        <v>85.2</v>
      </c>
      <c r="I11" s="13">
        <f>V11-F11-G11-H11</f>
        <v>72.300000000000054</v>
      </c>
      <c r="J11" s="13">
        <f>161.8-K11</f>
        <v>82.800000000000011</v>
      </c>
      <c r="K11" s="13">
        <v>79</v>
      </c>
      <c r="L11" s="13">
        <v>87.5</v>
      </c>
      <c r="M11" s="62">
        <f>I11*(1+M12)</f>
        <v>78.08400000000006</v>
      </c>
      <c r="N11" s="62">
        <f>J11*(1+N12)</f>
        <v>89.424000000000021</v>
      </c>
      <c r="O11" s="62">
        <f>K11*(1+O12)</f>
        <v>85.320000000000007</v>
      </c>
      <c r="P11" s="62">
        <f>L11*(1+P12)</f>
        <v>94.5</v>
      </c>
      <c r="Q11" s="62">
        <f>M11*(1+Q12)</f>
        <v>84.330720000000071</v>
      </c>
      <c r="T11" s="13">
        <v>225.3</v>
      </c>
      <c r="U11" s="13">
        <v>293.10000000000002</v>
      </c>
      <c r="V11" s="13">
        <v>306.10000000000002</v>
      </c>
      <c r="W11" s="62">
        <f>SUM(J11:M11)</f>
        <v>327.38400000000007</v>
      </c>
      <c r="X11" s="62">
        <f>SUM(N11:Q11)</f>
        <v>353.57472000000007</v>
      </c>
      <c r="Y11" s="62">
        <f t="shared" ref="Y11:AG11" si="6">X11*(1+Y12)</f>
        <v>381.86069760000009</v>
      </c>
      <c r="Z11" s="62">
        <f t="shared" si="6"/>
        <v>412.40955340800014</v>
      </c>
      <c r="AA11" s="62">
        <f t="shared" si="6"/>
        <v>445.40231768064018</v>
      </c>
      <c r="AB11" s="62">
        <f t="shared" si="6"/>
        <v>481.03450309509145</v>
      </c>
      <c r="AC11" s="62">
        <f t="shared" si="6"/>
        <v>519.51726334269881</v>
      </c>
      <c r="AD11" s="62">
        <f t="shared" si="6"/>
        <v>561.07864441011475</v>
      </c>
      <c r="AE11" s="62">
        <f t="shared" si="6"/>
        <v>605.96493596292396</v>
      </c>
      <c r="AF11" s="62">
        <f t="shared" si="6"/>
        <v>654.44213083995794</v>
      </c>
      <c r="AG11" s="62">
        <f t="shared" si="6"/>
        <v>706.79750130715468</v>
      </c>
    </row>
    <row r="12" spans="1:33" s="64" customFormat="1">
      <c r="A12" s="63" t="s">
        <v>125</v>
      </c>
      <c r="F12" s="65">
        <f t="shared" ref="F12:L12" si="7">F11/B11-1</f>
        <v>4.9275362318840443E-2</v>
      </c>
      <c r="G12" s="65">
        <f t="shared" si="7"/>
        <v>1.0610079575596787E-2</v>
      </c>
      <c r="H12" s="65">
        <f t="shared" si="7"/>
        <v>0.14056224899598391</v>
      </c>
      <c r="I12" s="65">
        <f t="shared" si="7"/>
        <v>-2.2972972972972627E-2</v>
      </c>
      <c r="J12" s="65">
        <f t="shared" si="7"/>
        <v>0.1436464088397793</v>
      </c>
      <c r="K12" s="65">
        <f t="shared" si="7"/>
        <v>3.6745406824146842E-2</v>
      </c>
      <c r="L12" s="65">
        <f t="shared" si="7"/>
        <v>2.699530516431925E-2</v>
      </c>
      <c r="M12" s="65">
        <v>0.08</v>
      </c>
      <c r="N12" s="65">
        <v>0.08</v>
      </c>
      <c r="O12" s="65">
        <v>0.08</v>
      </c>
      <c r="P12" s="65">
        <v>0.08</v>
      </c>
      <c r="Q12" s="65">
        <v>0.08</v>
      </c>
      <c r="R12" s="65"/>
      <c r="U12" s="65">
        <f>U11/T11-1</f>
        <v>0.30093209054593872</v>
      </c>
      <c r="V12" s="65">
        <f>V11/U11-1</f>
        <v>4.4353462981917335E-2</v>
      </c>
      <c r="W12" s="65">
        <f>W11/V11-1</f>
        <v>6.9532832407710021E-2</v>
      </c>
      <c r="X12" s="65">
        <f>X11/W11-1</f>
        <v>8.0000000000000071E-2</v>
      </c>
      <c r="Y12" s="66">
        <v>0.08</v>
      </c>
      <c r="Z12" s="66">
        <v>0.08</v>
      </c>
      <c r="AA12" s="66">
        <v>0.08</v>
      </c>
      <c r="AB12" s="66">
        <v>0.08</v>
      </c>
      <c r="AC12" s="66">
        <v>0.08</v>
      </c>
      <c r="AD12" s="66">
        <v>0.08</v>
      </c>
      <c r="AE12" s="66">
        <v>0.08</v>
      </c>
      <c r="AF12" s="66">
        <v>0.08</v>
      </c>
      <c r="AG12" s="66">
        <v>0.08</v>
      </c>
    </row>
    <row r="13" spans="1:33">
      <c r="A13" s="4" t="s">
        <v>252</v>
      </c>
      <c r="B13" s="13">
        <v>26.6</v>
      </c>
      <c r="C13" s="13">
        <v>29</v>
      </c>
      <c r="D13" s="13">
        <v>37.6</v>
      </c>
      <c r="E13" s="13">
        <f>U13-D13-C13-B13</f>
        <v>29.70000000000001</v>
      </c>
      <c r="F13" s="13">
        <f>97-G13</f>
        <v>43.9</v>
      </c>
      <c r="G13" s="13">
        <v>53.1</v>
      </c>
      <c r="H13" s="13">
        <v>55.3</v>
      </c>
      <c r="I13" s="13">
        <f>V13-F13-G13-H13</f>
        <v>50.000000000000014</v>
      </c>
      <c r="J13" s="13">
        <f>100.1-K13</f>
        <v>55.599999999999994</v>
      </c>
      <c r="K13" s="13">
        <v>44.5</v>
      </c>
      <c r="L13" s="13">
        <v>46.1</v>
      </c>
      <c r="M13" s="62">
        <f>I13*(1+M14)</f>
        <v>52.500000000000014</v>
      </c>
      <c r="N13" s="62">
        <f>J13*(1+N14)</f>
        <v>58.379999999999995</v>
      </c>
      <c r="O13" s="62">
        <f>K13*(1+O14)</f>
        <v>46.725000000000001</v>
      </c>
      <c r="P13" s="62">
        <f>L13*(1+P14)</f>
        <v>48.405000000000001</v>
      </c>
      <c r="Q13" s="62">
        <f>M13*(1+Q14)</f>
        <v>55.125000000000014</v>
      </c>
      <c r="T13" s="13">
        <v>113.7</v>
      </c>
      <c r="U13" s="13">
        <v>122.9</v>
      </c>
      <c r="V13" s="13">
        <v>202.3</v>
      </c>
      <c r="W13" s="62">
        <f>SUM(J13:M13)</f>
        <v>198.7</v>
      </c>
      <c r="X13" s="62">
        <f>SUM(N13:Q13)</f>
        <v>208.63499999999999</v>
      </c>
      <c r="Y13" s="62">
        <f t="shared" ref="Y13:AG13" si="8">X13*(1+Y14)</f>
        <v>225.32580000000002</v>
      </c>
      <c r="Z13" s="62">
        <f t="shared" si="8"/>
        <v>243.35186400000003</v>
      </c>
      <c r="AA13" s="62">
        <f t="shared" si="8"/>
        <v>262.82001312000006</v>
      </c>
      <c r="AB13" s="62">
        <f t="shared" si="8"/>
        <v>283.84561416960008</v>
      </c>
      <c r="AC13" s="62">
        <f t="shared" si="8"/>
        <v>306.55326330316814</v>
      </c>
      <c r="AD13" s="62">
        <f t="shared" si="8"/>
        <v>331.07752436742163</v>
      </c>
      <c r="AE13" s="62">
        <f t="shared" si="8"/>
        <v>357.5637263168154</v>
      </c>
      <c r="AF13" s="62">
        <f t="shared" si="8"/>
        <v>386.16882442216064</v>
      </c>
      <c r="AG13" s="62">
        <f t="shared" si="8"/>
        <v>417.06233037593353</v>
      </c>
    </row>
    <row r="14" spans="1:33" s="64" customFormat="1">
      <c r="A14" s="63" t="s">
        <v>124</v>
      </c>
      <c r="F14" s="65">
        <f t="shared" ref="F14:L14" si="9">F13/B13-1</f>
        <v>0.65037593984962383</v>
      </c>
      <c r="G14" s="65">
        <f t="shared" si="9"/>
        <v>0.83103448275862069</v>
      </c>
      <c r="H14" s="65">
        <f t="shared" si="9"/>
        <v>0.4707446808510638</v>
      </c>
      <c r="I14" s="65">
        <f t="shared" si="9"/>
        <v>0.68350168350168339</v>
      </c>
      <c r="J14" s="65">
        <f t="shared" si="9"/>
        <v>0.26651480637813196</v>
      </c>
      <c r="K14" s="65">
        <f t="shared" si="9"/>
        <v>-0.16195856873822978</v>
      </c>
      <c r="L14" s="65">
        <f t="shared" si="9"/>
        <v>-0.16636528028933084</v>
      </c>
      <c r="M14" s="65">
        <v>0.05</v>
      </c>
      <c r="N14" s="65">
        <v>0.05</v>
      </c>
      <c r="O14" s="65">
        <v>0.05</v>
      </c>
      <c r="P14" s="65">
        <v>0.05</v>
      </c>
      <c r="Q14" s="65">
        <v>0.05</v>
      </c>
      <c r="R14" s="65"/>
      <c r="U14" s="65">
        <f>U13/T13-1</f>
        <v>8.0914687774846117E-2</v>
      </c>
      <c r="V14" s="65">
        <f>V13/U13-1</f>
        <v>0.64605370219690816</v>
      </c>
      <c r="W14" s="65">
        <f>W13/V13-1</f>
        <v>-1.779535343549199E-2</v>
      </c>
      <c r="X14" s="65">
        <f>X13/W13-1</f>
        <v>5.0000000000000044E-2</v>
      </c>
      <c r="Y14" s="66">
        <v>0.08</v>
      </c>
      <c r="Z14" s="66">
        <v>0.08</v>
      </c>
      <c r="AA14" s="66">
        <v>0.08</v>
      </c>
      <c r="AB14" s="66">
        <v>0.08</v>
      </c>
      <c r="AC14" s="66">
        <v>0.08</v>
      </c>
      <c r="AD14" s="66">
        <v>0.08</v>
      </c>
      <c r="AE14" s="66">
        <v>0.08</v>
      </c>
      <c r="AF14" s="66">
        <v>0.08</v>
      </c>
      <c r="AG14" s="66">
        <v>0.08</v>
      </c>
    </row>
    <row r="15" spans="1:33">
      <c r="A15" s="4" t="s">
        <v>253</v>
      </c>
      <c r="B15" s="13">
        <v>12.5</v>
      </c>
      <c r="C15" s="13">
        <v>19.399999999999999</v>
      </c>
      <c r="D15" s="13">
        <v>13.8</v>
      </c>
      <c r="E15" s="13">
        <f>U15-D15-C15-B15</f>
        <v>21.6</v>
      </c>
      <c r="F15" s="13">
        <f>33.2-G15</f>
        <v>9.6000000000000014</v>
      </c>
      <c r="G15" s="13">
        <v>23.6</v>
      </c>
      <c r="H15" s="13">
        <v>14.6</v>
      </c>
      <c r="I15" s="13">
        <f>V15-F15-G15-H15</f>
        <v>8.0999999999999961</v>
      </c>
      <c r="J15" s="13">
        <f>20.2-K15</f>
        <v>9.7999999999999989</v>
      </c>
      <c r="K15" s="13">
        <v>10.4</v>
      </c>
      <c r="L15" s="13">
        <v>10.7</v>
      </c>
      <c r="M15" s="62">
        <f>I15*(1+M16)</f>
        <v>8.2619999999999969</v>
      </c>
      <c r="N15" s="62">
        <f>J15*(1+N16)</f>
        <v>9.9959999999999987</v>
      </c>
      <c r="O15" s="62">
        <f>K15*(1+O16)</f>
        <v>10.608000000000001</v>
      </c>
      <c r="P15" s="62">
        <f>L15*(1+P16)</f>
        <v>10.914</v>
      </c>
      <c r="Q15" s="62">
        <f>M15*(1+Q16)</f>
        <v>8.4272399999999976</v>
      </c>
      <c r="T15" s="13">
        <v>107.2</v>
      </c>
      <c r="U15" s="13">
        <v>67.3</v>
      </c>
      <c r="V15" s="13">
        <v>55.9</v>
      </c>
      <c r="W15" s="62">
        <f>SUM(J15:M15)</f>
        <v>39.161999999999992</v>
      </c>
      <c r="X15" s="62">
        <f>SUM(N15:Q15)</f>
        <v>39.945239999999998</v>
      </c>
      <c r="Y15" s="62">
        <f t="shared" ref="Y15:AG15" si="10">X15*(1+Y16)</f>
        <v>41.143597200000002</v>
      </c>
      <c r="Z15" s="62">
        <f t="shared" si="10"/>
        <v>42.377905116000001</v>
      </c>
      <c r="AA15" s="62">
        <f t="shared" si="10"/>
        <v>43.649242269480006</v>
      </c>
      <c r="AB15" s="62">
        <f t="shared" si="10"/>
        <v>44.958719537564406</v>
      </c>
      <c r="AC15" s="62">
        <f t="shared" si="10"/>
        <v>46.307481123691339</v>
      </c>
      <c r="AD15" s="62">
        <f t="shared" si="10"/>
        <v>47.696705557402083</v>
      </c>
      <c r="AE15" s="62">
        <f t="shared" si="10"/>
        <v>49.127606724124149</v>
      </c>
      <c r="AF15" s="62">
        <f t="shared" si="10"/>
        <v>50.601434925847876</v>
      </c>
      <c r="AG15" s="62">
        <f t="shared" si="10"/>
        <v>52.119477973623312</v>
      </c>
    </row>
    <row r="16" spans="1:33" s="64" customFormat="1">
      <c r="A16" s="63" t="s">
        <v>123</v>
      </c>
      <c r="F16" s="65">
        <f t="shared" ref="F16:L16" si="11">F15/B15-1</f>
        <v>-0.23199999999999987</v>
      </c>
      <c r="G16" s="65">
        <f t="shared" si="11"/>
        <v>0.21649484536082486</v>
      </c>
      <c r="H16" s="65">
        <f t="shared" si="11"/>
        <v>5.7971014492753437E-2</v>
      </c>
      <c r="I16" s="65">
        <f t="shared" si="11"/>
        <v>-0.62500000000000022</v>
      </c>
      <c r="J16" s="65">
        <f t="shared" si="11"/>
        <v>2.0833333333333037E-2</v>
      </c>
      <c r="K16" s="65">
        <f t="shared" si="11"/>
        <v>-0.55932203389830515</v>
      </c>
      <c r="L16" s="65">
        <f t="shared" si="11"/>
        <v>-0.26712328767123295</v>
      </c>
      <c r="M16" s="65">
        <v>0.02</v>
      </c>
      <c r="N16" s="65">
        <v>0.02</v>
      </c>
      <c r="O16" s="65">
        <v>0.02</v>
      </c>
      <c r="P16" s="65">
        <v>0.02</v>
      </c>
      <c r="Q16" s="65">
        <v>0.02</v>
      </c>
      <c r="R16" s="65"/>
      <c r="U16" s="65">
        <f>U15/T15-1</f>
        <v>-0.37220149253731349</v>
      </c>
      <c r="V16" s="65">
        <f>V15/U15-1</f>
        <v>-0.1693907875185735</v>
      </c>
      <c r="W16" s="65">
        <f>W15/V15-1</f>
        <v>-0.29942754919499115</v>
      </c>
      <c r="X16" s="65">
        <f>X15/W15-1</f>
        <v>2.000000000000024E-2</v>
      </c>
      <c r="Y16" s="66">
        <v>0.03</v>
      </c>
      <c r="Z16" s="66">
        <v>0.03</v>
      </c>
      <c r="AA16" s="66">
        <v>0.03</v>
      </c>
      <c r="AB16" s="66">
        <v>0.03</v>
      </c>
      <c r="AC16" s="66">
        <v>0.03</v>
      </c>
      <c r="AD16" s="66">
        <v>0.03</v>
      </c>
      <c r="AE16" s="66">
        <v>0.03</v>
      </c>
      <c r="AF16" s="66">
        <v>0.03</v>
      </c>
      <c r="AG16" s="66">
        <v>0.03</v>
      </c>
    </row>
    <row r="17" spans="1:33" s="67" customFormat="1">
      <c r="A17" s="61" t="s">
        <v>7</v>
      </c>
      <c r="B17" s="67">
        <f t="shared" ref="B17:L17" si="12">B7+B9+B11+B13+B15</f>
        <v>356.30000000000007</v>
      </c>
      <c r="C17" s="67">
        <f t="shared" si="12"/>
        <v>362</v>
      </c>
      <c r="D17" s="67">
        <f t="shared" si="12"/>
        <v>380.1</v>
      </c>
      <c r="E17" s="67">
        <f t="shared" si="12"/>
        <v>384.90000000000003</v>
      </c>
      <c r="F17" s="67">
        <f t="shared" si="12"/>
        <v>379.09999999999997</v>
      </c>
      <c r="G17" s="67">
        <f t="shared" si="12"/>
        <v>446.50000000000006</v>
      </c>
      <c r="H17" s="67">
        <f t="shared" si="12"/>
        <v>444.70000000000005</v>
      </c>
      <c r="I17" s="67">
        <f t="shared" si="12"/>
        <v>415.20000000000016</v>
      </c>
      <c r="J17" s="67">
        <f>J7+J9+J11+J13+J15</f>
        <v>451.90000000000003</v>
      </c>
      <c r="K17" s="67">
        <f t="shared" si="12"/>
        <v>466.9</v>
      </c>
      <c r="L17" s="19">
        <f t="shared" si="12"/>
        <v>516</v>
      </c>
      <c r="M17" s="19">
        <f>M7+M9+M11+M13+M15</f>
        <v>499.75400000000008</v>
      </c>
      <c r="N17" s="68">
        <f>N7+N9+N11+N13+N15</f>
        <v>523.01699999999994</v>
      </c>
      <c r="O17" s="68">
        <f>O7+O9+O11+O13+O15</f>
        <v>547.32299999999998</v>
      </c>
      <c r="P17" s="19">
        <f>P7+P9+P11+P13+P15</f>
        <v>603.96899999999994</v>
      </c>
      <c r="Q17" s="68">
        <f>Q7+Q9+Q11+Q13+Q15</f>
        <v>582.41329000000007</v>
      </c>
      <c r="T17" s="67">
        <f t="shared" ref="T17:AA17" si="13">T7+T9+T11+T13+T15</f>
        <v>1448.8000000000002</v>
      </c>
      <c r="U17" s="67">
        <f t="shared" si="13"/>
        <v>1483.3</v>
      </c>
      <c r="V17" s="68">
        <f t="shared" si="13"/>
        <v>1685.5000000000002</v>
      </c>
      <c r="W17" s="68">
        <f t="shared" si="13"/>
        <v>1934.5540000000001</v>
      </c>
      <c r="X17" s="68">
        <f t="shared" si="13"/>
        <v>2256.7222899999997</v>
      </c>
      <c r="Y17" s="68">
        <f t="shared" si="13"/>
        <v>2553.4661179999998</v>
      </c>
      <c r="Z17" s="68">
        <f t="shared" si="13"/>
        <v>2900.7439866520003</v>
      </c>
      <c r="AA17" s="68">
        <f t="shared" si="13"/>
        <v>2893.2277637632405</v>
      </c>
      <c r="AB17" s="68">
        <f t="shared" ref="AB17:AG17" si="14">AB7+AB9+AB11+AB13+AB15</f>
        <v>2894.9642481231003</v>
      </c>
      <c r="AC17" s="68">
        <f t="shared" si="14"/>
        <v>2981.0014241432364</v>
      </c>
      <c r="AD17" s="68">
        <f t="shared" si="14"/>
        <v>3072.9142159635639</v>
      </c>
      <c r="AE17" s="68">
        <f t="shared" si="14"/>
        <v>3171.1330528976341</v>
      </c>
      <c r="AF17" s="68">
        <f t="shared" si="14"/>
        <v>3276.1212340374877</v>
      </c>
      <c r="AG17" s="68">
        <f t="shared" si="14"/>
        <v>3388.3774958602139</v>
      </c>
    </row>
    <row r="18" spans="1:33" s="64" customFormat="1">
      <c r="A18" s="63" t="s">
        <v>128</v>
      </c>
      <c r="F18" s="65">
        <f t="shared" ref="F18:Q18" si="15">F17/B17-1</f>
        <v>6.3991018804377964E-2</v>
      </c>
      <c r="G18" s="65">
        <f t="shared" si="15"/>
        <v>0.23342541436464104</v>
      </c>
      <c r="H18" s="65">
        <f t="shared" si="15"/>
        <v>0.16995527492765072</v>
      </c>
      <c r="I18" s="65">
        <f t="shared" si="15"/>
        <v>7.8721745908028273E-2</v>
      </c>
      <c r="J18" s="65">
        <f>J17/F17-1</f>
        <v>0.19203376417831719</v>
      </c>
      <c r="K18" s="65">
        <f t="shared" si="15"/>
        <v>4.5688689809630256E-2</v>
      </c>
      <c r="L18" s="65">
        <f t="shared" si="15"/>
        <v>0.16033280863503463</v>
      </c>
      <c r="M18" s="65">
        <f t="shared" si="15"/>
        <v>0.20364643545279359</v>
      </c>
      <c r="N18" s="65">
        <f t="shared" si="15"/>
        <v>0.15737331267979626</v>
      </c>
      <c r="O18" s="65">
        <f t="shared" si="15"/>
        <v>0.17224887556221891</v>
      </c>
      <c r="P18" s="65">
        <f t="shared" si="15"/>
        <v>0.17048255813953483</v>
      </c>
      <c r="Q18" s="65">
        <f t="shared" si="15"/>
        <v>0.1653999567787352</v>
      </c>
      <c r="R18" s="65"/>
      <c r="U18" s="65">
        <f t="shared" ref="U18:AG18" si="16">U17/T17-1</f>
        <v>2.3812810601877343E-2</v>
      </c>
      <c r="V18" s="65">
        <f t="shared" si="16"/>
        <v>0.13631767006000151</v>
      </c>
      <c r="W18" s="65">
        <f t="shared" si="16"/>
        <v>0.14776268169682583</v>
      </c>
      <c r="X18" s="65">
        <f t="shared" si="16"/>
        <v>0.16653362480447664</v>
      </c>
      <c r="Y18" s="65">
        <f t="shared" si="16"/>
        <v>0.13149328533463467</v>
      </c>
      <c r="Z18" s="65">
        <f t="shared" si="16"/>
        <v>0.13600253639707804</v>
      </c>
      <c r="AA18" s="65">
        <f t="shared" si="16"/>
        <v>-2.5911362475786737E-3</v>
      </c>
      <c r="AB18" s="65">
        <f t="shared" si="16"/>
        <v>6.0018930469585285E-4</v>
      </c>
      <c r="AC18" s="65">
        <f t="shared" si="16"/>
        <v>2.9719598808833902E-2</v>
      </c>
      <c r="AD18" s="65">
        <f t="shared" si="16"/>
        <v>3.0832857400175273E-2</v>
      </c>
      <c r="AE18" s="65">
        <f t="shared" si="16"/>
        <v>3.1962765645663138E-2</v>
      </c>
      <c r="AF18" s="65">
        <f t="shared" si="16"/>
        <v>3.3107466444500133E-2</v>
      </c>
      <c r="AG18" s="65">
        <f t="shared" si="16"/>
        <v>3.4264990152510943E-2</v>
      </c>
    </row>
    <row r="19" spans="1:33" s="64" customFormat="1">
      <c r="A19" s="63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9"/>
      <c r="Q19" s="65"/>
      <c r="R19" s="65"/>
      <c r="U19" s="65"/>
      <c r="V19" s="65"/>
    </row>
    <row r="20" spans="1:33">
      <c r="A20" s="61" t="s">
        <v>10</v>
      </c>
    </row>
    <row r="21" spans="1:33">
      <c r="A21" s="4" t="s">
        <v>0</v>
      </c>
      <c r="B21" s="13">
        <v>5.0999999999999996</v>
      </c>
      <c r="C21" s="13">
        <v>5.3</v>
      </c>
      <c r="D21" s="13">
        <v>5</v>
      </c>
      <c r="E21" s="13">
        <f>U21-D21-C21-B21</f>
        <v>9.1</v>
      </c>
      <c r="F21" s="13">
        <f>12.8-G21</f>
        <v>3.1000000000000014</v>
      </c>
      <c r="G21" s="13">
        <v>9.6999999999999993</v>
      </c>
      <c r="H21" s="13">
        <v>7.8</v>
      </c>
      <c r="I21" s="13">
        <f>V21-F21-G21-H21</f>
        <v>6.2</v>
      </c>
      <c r="J21" s="13">
        <f>12.7-K21</f>
        <v>6.1999999999999993</v>
      </c>
      <c r="K21" s="13">
        <v>6.5</v>
      </c>
      <c r="L21" s="13">
        <v>17</v>
      </c>
      <c r="M21" s="62">
        <f>M7*(1-M37)</f>
        <v>14.485500000000012</v>
      </c>
      <c r="N21" s="62">
        <f>N7*(1-N37)</f>
        <v>13.932000000000013</v>
      </c>
      <c r="O21" s="62">
        <f>O7*(1-O37)</f>
        <v>16.281000000000017</v>
      </c>
      <c r="P21" s="62">
        <f>P7*(1-P37)</f>
        <v>20.100600000000018</v>
      </c>
      <c r="Q21" s="62">
        <f>Q7*(1-Q37)</f>
        <v>18.831150000000015</v>
      </c>
      <c r="T21" s="13">
        <v>19.600000000000001</v>
      </c>
      <c r="U21" s="13">
        <v>24.5</v>
      </c>
      <c r="V21" s="13">
        <v>26.8</v>
      </c>
      <c r="W21" s="62">
        <f>SUM(J21:M21)</f>
        <v>44.185500000000012</v>
      </c>
      <c r="X21" s="62">
        <f>SUM(N21:Q21)</f>
        <v>69.144750000000073</v>
      </c>
      <c r="Y21" s="62">
        <f t="shared" ref="Y21:AG21" si="17">Y7*(1-Y37)</f>
        <v>82.973700000000065</v>
      </c>
      <c r="Z21" s="62">
        <f t="shared" si="17"/>
        <v>99.568440000000066</v>
      </c>
      <c r="AA21" s="62">
        <f t="shared" si="17"/>
        <v>94.590018000000072</v>
      </c>
      <c r="AB21" s="62">
        <f t="shared" si="17"/>
        <v>89.860517100000052</v>
      </c>
      <c r="AC21" s="62">
        <f t="shared" si="17"/>
        <v>89.860517100000052</v>
      </c>
      <c r="AD21" s="62">
        <f t="shared" si="17"/>
        <v>89.860517100000052</v>
      </c>
      <c r="AE21" s="62">
        <f t="shared" si="17"/>
        <v>89.860517100000052</v>
      </c>
      <c r="AF21" s="62">
        <f t="shared" si="17"/>
        <v>89.860517100000052</v>
      </c>
      <c r="AG21" s="62">
        <f t="shared" si="17"/>
        <v>89.860517100000052</v>
      </c>
    </row>
    <row r="22" spans="1:33">
      <c r="A22" s="4" t="s">
        <v>1</v>
      </c>
      <c r="B22" s="13">
        <v>6</v>
      </c>
      <c r="C22" s="13">
        <v>4.5999999999999996</v>
      </c>
      <c r="D22" s="13">
        <v>4.9000000000000004</v>
      </c>
      <c r="E22" s="13">
        <f>U22-D22-C22-B22</f>
        <v>7.6999999999999975</v>
      </c>
      <c r="F22" s="13">
        <f>16.6-G22</f>
        <v>8.2000000000000011</v>
      </c>
      <c r="G22" s="13">
        <v>8.4</v>
      </c>
      <c r="H22" s="13">
        <v>6.9</v>
      </c>
      <c r="I22" s="13">
        <f>V22-F22-G22-H22</f>
        <v>14.399999999999997</v>
      </c>
      <c r="J22" s="13">
        <f>15.8-K22</f>
        <v>7.2000000000000011</v>
      </c>
      <c r="K22" s="13">
        <v>8.6</v>
      </c>
      <c r="L22" s="13">
        <v>7.5</v>
      </c>
      <c r="M22" s="62">
        <f>M9*(1-M38)</f>
        <v>8.3638099999999973</v>
      </c>
      <c r="N22" s="62">
        <f>N9*(1-N38)</f>
        <v>9.3111899999999928</v>
      </c>
      <c r="O22" s="62">
        <f>O9*(1-O38)</f>
        <v>9.3323999999999927</v>
      </c>
      <c r="P22" s="62">
        <f>P9*(1-P38)</f>
        <v>8.0597999999999939</v>
      </c>
      <c r="Q22" s="62">
        <f>Q9*(1-Q38)</f>
        <v>8.4474480999999972</v>
      </c>
      <c r="T22" s="13">
        <v>21.1</v>
      </c>
      <c r="U22" s="13">
        <v>23.2</v>
      </c>
      <c r="V22" s="13">
        <v>37.9</v>
      </c>
      <c r="W22" s="62">
        <f>SUM(J22:M22)</f>
        <v>31.663809999999998</v>
      </c>
      <c r="X22" s="62">
        <f>SUM(N22:Q22)</f>
        <v>35.150838099999973</v>
      </c>
      <c r="Y22" s="62">
        <f t="shared" ref="Y22:AG22" si="18">Y9*(1-Y38)</f>
        <v>36.556871623999974</v>
      </c>
      <c r="Z22" s="62">
        <f t="shared" si="18"/>
        <v>38.019146488959976</v>
      </c>
      <c r="AA22" s="62">
        <f t="shared" si="18"/>
        <v>39.539912348518378</v>
      </c>
      <c r="AB22" s="62">
        <f t="shared" si="18"/>
        <v>41.121508842459114</v>
      </c>
      <c r="AC22" s="62">
        <f t="shared" si="18"/>
        <v>42.766369196157484</v>
      </c>
      <c r="AD22" s="62">
        <f t="shared" si="18"/>
        <v>44.477023964003777</v>
      </c>
      <c r="AE22" s="62">
        <f t="shared" si="18"/>
        <v>46.256104922563935</v>
      </c>
      <c r="AF22" s="62">
        <f t="shared" si="18"/>
        <v>48.106349119466493</v>
      </c>
      <c r="AG22" s="62">
        <f t="shared" si="18"/>
        <v>50.030603084245158</v>
      </c>
    </row>
    <row r="23" spans="1:33">
      <c r="A23" s="4" t="s">
        <v>2</v>
      </c>
      <c r="B23" s="13">
        <v>4.7</v>
      </c>
      <c r="C23" s="13">
        <v>3.9</v>
      </c>
      <c r="D23" s="13">
        <v>5.0999999999999996</v>
      </c>
      <c r="E23" s="13">
        <f>U23-D23-C23-B23</f>
        <v>4.9999999999999991</v>
      </c>
      <c r="F23" s="13">
        <f>7.9-G23</f>
        <v>4.1000000000000005</v>
      </c>
      <c r="G23" s="13">
        <v>3.8</v>
      </c>
      <c r="H23" s="13">
        <v>4.5</v>
      </c>
      <c r="I23" s="13">
        <f>V23-F23-G23-H23</f>
        <v>7.2999999999999972</v>
      </c>
      <c r="J23" s="13">
        <f>11.6-K23</f>
        <v>5.1999999999999993</v>
      </c>
      <c r="K23" s="13">
        <v>6.4</v>
      </c>
      <c r="L23" s="13">
        <v>5.6</v>
      </c>
      <c r="M23" s="62">
        <f>M11*(1-M39)</f>
        <v>4.6850400000000079</v>
      </c>
      <c r="N23" s="62">
        <f>N11*(1-N39)</f>
        <v>5.3654400000000058</v>
      </c>
      <c r="O23" s="62">
        <f>O11*(1-O39)</f>
        <v>5.1192000000000046</v>
      </c>
      <c r="P23" s="62">
        <f>P11*(1-P39)</f>
        <v>5.6700000000000053</v>
      </c>
      <c r="Q23" s="62">
        <f>Q11*(1-Q39)</f>
        <v>5.0598432000000084</v>
      </c>
      <c r="T23" s="13">
        <v>15</v>
      </c>
      <c r="U23" s="13">
        <v>18.7</v>
      </c>
      <c r="V23" s="13">
        <v>19.7</v>
      </c>
      <c r="W23" s="62">
        <f>SUM(J23:M23)</f>
        <v>21.885040000000007</v>
      </c>
      <c r="X23" s="62">
        <f>SUM(N23:Q23)</f>
        <v>21.214483200000025</v>
      </c>
      <c r="Y23" s="62">
        <f t="shared" ref="Y23:AG23" si="19">Y11*(1-Y39)</f>
        <v>22.911641856000028</v>
      </c>
      <c r="Z23" s="62">
        <f t="shared" si="19"/>
        <v>24.74457320448003</v>
      </c>
      <c r="AA23" s="62">
        <f t="shared" si="19"/>
        <v>26.724139060838436</v>
      </c>
      <c r="AB23" s="62">
        <f t="shared" si="19"/>
        <v>28.862070185705512</v>
      </c>
      <c r="AC23" s="62">
        <f t="shared" si="19"/>
        <v>31.171035800561956</v>
      </c>
      <c r="AD23" s="62">
        <f t="shared" si="19"/>
        <v>33.664718664606916</v>
      </c>
      <c r="AE23" s="62">
        <f t="shared" si="19"/>
        <v>36.357896157775471</v>
      </c>
      <c r="AF23" s="62">
        <f t="shared" si="19"/>
        <v>39.266527850397509</v>
      </c>
      <c r="AG23" s="62">
        <f t="shared" si="19"/>
        <v>42.40785007842932</v>
      </c>
    </row>
    <row r="24" spans="1:33">
      <c r="A24" s="4" t="s">
        <v>3</v>
      </c>
      <c r="B24" s="13">
        <v>2.2999999999999998</v>
      </c>
      <c r="C24" s="13">
        <v>3.9</v>
      </c>
      <c r="D24" s="13">
        <v>2.9</v>
      </c>
      <c r="E24" s="13">
        <f>U24-D24-C24-B24</f>
        <v>3.4999999999999991</v>
      </c>
      <c r="F24" s="13">
        <f>8.6-G24</f>
        <v>3.5999999999999996</v>
      </c>
      <c r="G24" s="13">
        <v>5</v>
      </c>
      <c r="H24" s="13">
        <v>2.4</v>
      </c>
      <c r="I24" s="13">
        <f>V24-F24-G24-H24</f>
        <v>3.1999999999999997</v>
      </c>
      <c r="J24" s="13">
        <f>6.8-K24</f>
        <v>3.3</v>
      </c>
      <c r="K24" s="13">
        <v>3.5</v>
      </c>
      <c r="L24" s="13">
        <v>2.7</v>
      </c>
      <c r="M24" s="62">
        <f>M13*(1-M40)</f>
        <v>3.1500000000000035</v>
      </c>
      <c r="N24" s="62">
        <f>N13*(1-N40)</f>
        <v>3.5028000000000028</v>
      </c>
      <c r="O24" s="62">
        <f>O13*(1-O40)</f>
        <v>2.8035000000000028</v>
      </c>
      <c r="P24" s="62">
        <f>P13*(1-P40)</f>
        <v>2.9043000000000028</v>
      </c>
      <c r="Q24" s="62">
        <f>Q13*(1-Q40)</f>
        <v>3.3075000000000037</v>
      </c>
      <c r="T24" s="13">
        <v>15.7</v>
      </c>
      <c r="U24" s="13">
        <v>12.6</v>
      </c>
      <c r="V24" s="13">
        <v>14.2</v>
      </c>
      <c r="W24" s="62">
        <f>SUM(J24:M24)</f>
        <v>12.650000000000004</v>
      </c>
      <c r="X24" s="62">
        <f>SUM(N24:Q24)</f>
        <v>12.518100000000011</v>
      </c>
      <c r="Y24" s="62">
        <f t="shared" ref="Y24:AG24" si="20">Y13*(1-Y40)</f>
        <v>13.519548000000013</v>
      </c>
      <c r="Z24" s="62">
        <f t="shared" si="20"/>
        <v>14.601111840000016</v>
      </c>
      <c r="AA24" s="62">
        <f t="shared" si="20"/>
        <v>15.769200787200017</v>
      </c>
      <c r="AB24" s="62">
        <f t="shared" si="20"/>
        <v>17.030736850176019</v>
      </c>
      <c r="AC24" s="62">
        <f t="shared" si="20"/>
        <v>18.393195798190103</v>
      </c>
      <c r="AD24" s="62">
        <f t="shared" si="20"/>
        <v>19.864651462045316</v>
      </c>
      <c r="AE24" s="62">
        <f t="shared" si="20"/>
        <v>21.453823579008944</v>
      </c>
      <c r="AF24" s="62">
        <f t="shared" si="20"/>
        <v>23.170129465329659</v>
      </c>
      <c r="AG24" s="62">
        <f t="shared" si="20"/>
        <v>25.023739822556035</v>
      </c>
    </row>
    <row r="25" spans="1:33">
      <c r="A25" s="4" t="s">
        <v>4</v>
      </c>
      <c r="B25" s="13">
        <v>5.3</v>
      </c>
      <c r="C25" s="13">
        <v>8.1999999999999993</v>
      </c>
      <c r="D25" s="13">
        <v>6.1</v>
      </c>
      <c r="E25" s="13">
        <f>U25-D25-C25-B25</f>
        <v>9.5</v>
      </c>
      <c r="F25" s="13">
        <f>14.3-G25</f>
        <v>4</v>
      </c>
      <c r="G25" s="13">
        <v>10.3</v>
      </c>
      <c r="H25" s="13">
        <v>6.1</v>
      </c>
      <c r="I25" s="13">
        <f>V25-F25-G25-H25</f>
        <v>3.4999999999999982</v>
      </c>
      <c r="J25" s="13">
        <f>8.7-K25</f>
        <v>3.9999999999999991</v>
      </c>
      <c r="K25" s="13">
        <v>4.7</v>
      </c>
      <c r="L25" s="13">
        <v>4.4000000000000004</v>
      </c>
      <c r="M25" s="62">
        <f>M15*(1-M41)</f>
        <v>3.7178999999999984</v>
      </c>
      <c r="N25" s="62">
        <f>N15*(1-N41)</f>
        <v>4.4981999999999989</v>
      </c>
      <c r="O25" s="62">
        <f>O15*(1-O41)</f>
        <v>4.7736000000000001</v>
      </c>
      <c r="P25" s="62">
        <f>P15*(1-P41)</f>
        <v>4.9112999999999998</v>
      </c>
      <c r="Q25" s="62">
        <f>Q15*(1-Q41)</f>
        <v>3.7922579999999986</v>
      </c>
      <c r="T25" s="13">
        <v>46.2</v>
      </c>
      <c r="U25" s="13">
        <v>29.1</v>
      </c>
      <c r="V25" s="13">
        <v>23.9</v>
      </c>
      <c r="W25" s="62">
        <f>SUM(J25:M25)</f>
        <v>16.817899999999998</v>
      </c>
      <c r="X25" s="62">
        <f>SUM(N25:Q25)</f>
        <v>17.975358</v>
      </c>
      <c r="Y25" s="62">
        <f t="shared" ref="Y25:AG25" si="21">Y15*(1-Y41)</f>
        <v>18.51461874</v>
      </c>
      <c r="Z25" s="62">
        <f t="shared" si="21"/>
        <v>19.070057302199999</v>
      </c>
      <c r="AA25" s="62">
        <f t="shared" si="21"/>
        <v>19.642159021266</v>
      </c>
      <c r="AB25" s="62">
        <f t="shared" si="21"/>
        <v>20.231423791903982</v>
      </c>
      <c r="AC25" s="62">
        <f t="shared" si="21"/>
        <v>20.838366505661099</v>
      </c>
      <c r="AD25" s="62">
        <f t="shared" si="21"/>
        <v>21.463517500830935</v>
      </c>
      <c r="AE25" s="62">
        <f t="shared" si="21"/>
        <v>22.107423025855866</v>
      </c>
      <c r="AF25" s="62">
        <f t="shared" si="21"/>
        <v>22.770645716631542</v>
      </c>
      <c r="AG25" s="62">
        <f t="shared" si="21"/>
        <v>23.453765088130488</v>
      </c>
    </row>
    <row r="26" spans="1:33" s="67" customFormat="1">
      <c r="A26" s="61" t="s">
        <v>9</v>
      </c>
      <c r="B26" s="67">
        <f t="shared" ref="B26:M26" si="22">B21+B22+B23+B24+B25</f>
        <v>23.400000000000002</v>
      </c>
      <c r="C26" s="67">
        <f t="shared" si="22"/>
        <v>25.9</v>
      </c>
      <c r="D26" s="67">
        <f t="shared" si="22"/>
        <v>24</v>
      </c>
      <c r="E26" s="67">
        <f t="shared" si="22"/>
        <v>34.799999999999997</v>
      </c>
      <c r="F26" s="67">
        <f t="shared" si="22"/>
        <v>23</v>
      </c>
      <c r="G26" s="67">
        <f t="shared" si="22"/>
        <v>37.200000000000003</v>
      </c>
      <c r="H26" s="67">
        <f t="shared" si="22"/>
        <v>27.699999999999996</v>
      </c>
      <c r="I26" s="67">
        <f t="shared" si="22"/>
        <v>34.599999999999994</v>
      </c>
      <c r="J26" s="67">
        <f t="shared" si="22"/>
        <v>25.900000000000002</v>
      </c>
      <c r="K26" s="67">
        <f t="shared" si="22"/>
        <v>29.7</v>
      </c>
      <c r="L26" s="67">
        <f t="shared" si="22"/>
        <v>37.200000000000003</v>
      </c>
      <c r="M26" s="68">
        <f t="shared" si="22"/>
        <v>34.402250000000016</v>
      </c>
      <c r="N26" s="68">
        <f>N21+N22+N23+N24+N25</f>
        <v>36.60963000000001</v>
      </c>
      <c r="O26" s="68">
        <f>O21+O22+O23+O24+O25</f>
        <v>38.309700000000014</v>
      </c>
      <c r="P26" s="68">
        <f>P21+P22+P23+P24+P25</f>
        <v>41.646000000000015</v>
      </c>
      <c r="Q26" s="68">
        <f>Q21+Q22+Q23+Q24+Q25</f>
        <v>39.438199300000022</v>
      </c>
      <c r="T26" s="67">
        <v>117.6</v>
      </c>
      <c r="U26" s="67">
        <v>108.1</v>
      </c>
      <c r="V26" s="68">
        <f>V21+V22+V23+V24+V25</f>
        <v>122.5</v>
      </c>
      <c r="W26" s="68">
        <f>W21+W22+W23+W24+W25</f>
        <v>127.20225000000001</v>
      </c>
      <c r="X26" s="68">
        <f>X21+X22+X23+X24+X25</f>
        <v>156.00352930000008</v>
      </c>
      <c r="Y26" s="68">
        <f>Y21+Y22+Y23+Y24+Y25</f>
        <v>174.47638022000007</v>
      </c>
      <c r="Z26" s="68">
        <f t="shared" ref="Z26:AG26" si="23">Z21+Z22+Z23+Z24+Z25</f>
        <v>196.00332883564005</v>
      </c>
      <c r="AA26" s="68">
        <f t="shared" si="23"/>
        <v>196.26542921782291</v>
      </c>
      <c r="AB26" s="68">
        <f t="shared" si="23"/>
        <v>197.10625677024467</v>
      </c>
      <c r="AC26" s="68">
        <f t="shared" si="23"/>
        <v>203.02948440057068</v>
      </c>
      <c r="AD26" s="68">
        <f t="shared" si="23"/>
        <v>209.33042869148699</v>
      </c>
      <c r="AE26" s="68">
        <f t="shared" si="23"/>
        <v>216.03576478520429</v>
      </c>
      <c r="AF26" s="68">
        <f t="shared" si="23"/>
        <v>223.17416925182528</v>
      </c>
      <c r="AG26" s="68">
        <f t="shared" si="23"/>
        <v>230.77647517336104</v>
      </c>
    </row>
    <row r="28" spans="1:33">
      <c r="A28" s="61" t="s">
        <v>5</v>
      </c>
    </row>
    <row r="29" spans="1:33">
      <c r="A29" s="4" t="s">
        <v>0</v>
      </c>
      <c r="B29" s="13">
        <f t="shared" ref="B29:G29" si="24">B7-B21</f>
        <v>97.800000000000011</v>
      </c>
      <c r="C29" s="13">
        <f t="shared" si="24"/>
        <v>113.9</v>
      </c>
      <c r="D29" s="13">
        <f t="shared" si="24"/>
        <v>124.5</v>
      </c>
      <c r="E29" s="13">
        <f t="shared" si="24"/>
        <v>122.60000000000002</v>
      </c>
      <c r="F29" s="13">
        <f t="shared" si="24"/>
        <v>119.9</v>
      </c>
      <c r="G29" s="13">
        <f t="shared" si="24"/>
        <v>144.10000000000002</v>
      </c>
      <c r="H29" s="13">
        <f>H7-H21</f>
        <v>156.39999999999998</v>
      </c>
      <c r="I29" s="13">
        <f>I7-I21</f>
        <v>160.30000000000001</v>
      </c>
      <c r="J29" s="13">
        <f>J7-J21</f>
        <v>165.8</v>
      </c>
      <c r="K29" s="13">
        <f>K7-K21</f>
        <v>194.5</v>
      </c>
      <c r="L29" s="62">
        <f t="shared" ref="L29:Q29" si="25">L7-L21</f>
        <v>240.7</v>
      </c>
      <c r="M29" s="62">
        <f t="shared" si="25"/>
        <v>226.93949999999998</v>
      </c>
      <c r="N29" s="62">
        <f t="shared" si="25"/>
        <v>218.268</v>
      </c>
      <c r="O29" s="62">
        <f t="shared" si="25"/>
        <v>255.06900000000002</v>
      </c>
      <c r="P29" s="62">
        <f t="shared" si="25"/>
        <v>314.90939999999995</v>
      </c>
      <c r="Q29" s="62">
        <f t="shared" si="25"/>
        <v>295.02134999999993</v>
      </c>
      <c r="T29" s="13">
        <f>T7-T21</f>
        <v>396</v>
      </c>
      <c r="U29" s="13">
        <f>U7-U21</f>
        <v>458.8</v>
      </c>
      <c r="V29" s="13">
        <f>V7-V21</f>
        <v>580.70000000000005</v>
      </c>
      <c r="W29" s="62">
        <f>SUM(J29:M29)</f>
        <v>827.93949999999995</v>
      </c>
      <c r="X29" s="62">
        <f>SUM(N29:Q29)</f>
        <v>1083.26775</v>
      </c>
      <c r="Y29" s="62">
        <f t="shared" ref="Y29:AG29" si="26">Y7-Y21</f>
        <v>1299.9212999999997</v>
      </c>
      <c r="Z29" s="62">
        <f t="shared" si="26"/>
        <v>1559.9055599999997</v>
      </c>
      <c r="AA29" s="62">
        <f t="shared" si="26"/>
        <v>1481.9102819999996</v>
      </c>
      <c r="AB29" s="62">
        <f t="shared" si="26"/>
        <v>1407.8147678999994</v>
      </c>
      <c r="AC29" s="62">
        <f t="shared" si="26"/>
        <v>1407.8147678999994</v>
      </c>
      <c r="AD29" s="62">
        <f t="shared" si="26"/>
        <v>1407.8147678999994</v>
      </c>
      <c r="AE29" s="62">
        <f t="shared" si="26"/>
        <v>1407.8147678999994</v>
      </c>
      <c r="AF29" s="62">
        <f t="shared" si="26"/>
        <v>1407.8147678999994</v>
      </c>
      <c r="AG29" s="62">
        <f t="shared" si="26"/>
        <v>1407.8147678999994</v>
      </c>
    </row>
    <row r="30" spans="1:33">
      <c r="A30" s="4" t="s">
        <v>1</v>
      </c>
      <c r="B30" s="13">
        <f t="shared" ref="B30:G30" si="27">B9-B22</f>
        <v>139.30000000000001</v>
      </c>
      <c r="C30" s="13">
        <f t="shared" si="27"/>
        <v>114.4</v>
      </c>
      <c r="D30" s="13">
        <f t="shared" si="27"/>
        <v>119.6</v>
      </c>
      <c r="E30" s="13">
        <f t="shared" si="27"/>
        <v>120.20000000000003</v>
      </c>
      <c r="F30" s="13">
        <f t="shared" si="27"/>
        <v>121.99999999999999</v>
      </c>
      <c r="G30" s="13">
        <f t="shared" si="27"/>
        <v>131.4</v>
      </c>
      <c r="H30" s="13">
        <f>H9-H22</f>
        <v>118.5</v>
      </c>
      <c r="I30" s="13">
        <f>I9-I22</f>
        <v>103.90000000000005</v>
      </c>
      <c r="J30" s="13">
        <f>J9-J22</f>
        <v>124.49999999999999</v>
      </c>
      <c r="K30" s="13">
        <f>K9-K22</f>
        <v>123.4</v>
      </c>
      <c r="L30" s="62">
        <f t="shared" ref="L30:Q30" si="28">L9-L22</f>
        <v>106.5</v>
      </c>
      <c r="M30" s="62">
        <f t="shared" si="28"/>
        <v>111.11919000000005</v>
      </c>
      <c r="N30" s="62">
        <f t="shared" si="28"/>
        <v>123.70581</v>
      </c>
      <c r="O30" s="62">
        <f t="shared" si="28"/>
        <v>123.9876</v>
      </c>
      <c r="P30" s="62">
        <f t="shared" si="28"/>
        <v>107.0802</v>
      </c>
      <c r="Q30" s="62">
        <f t="shared" si="28"/>
        <v>112.23038190000004</v>
      </c>
      <c r="T30" s="13">
        <f>T9-T22</f>
        <v>565.9</v>
      </c>
      <c r="U30" s="13">
        <f>U9-U22</f>
        <v>493.50000000000006</v>
      </c>
      <c r="V30" s="13">
        <f>V9-V22</f>
        <v>475.80000000000007</v>
      </c>
      <c r="W30" s="62">
        <f>SUM(J30:M30)</f>
        <v>465.51919000000004</v>
      </c>
      <c r="X30" s="62">
        <f>SUM(N30:Q30)</f>
        <v>467.00399190000007</v>
      </c>
      <c r="Y30" s="62">
        <f t="shared" ref="Y30:AG30" si="29">Y9-Y22</f>
        <v>485.68415157599998</v>
      </c>
      <c r="Z30" s="62">
        <f t="shared" si="29"/>
        <v>505.11151763904007</v>
      </c>
      <c r="AA30" s="62">
        <f t="shared" si="29"/>
        <v>525.31597834460172</v>
      </c>
      <c r="AB30" s="62">
        <f t="shared" si="29"/>
        <v>546.32861747838581</v>
      </c>
      <c r="AC30" s="62">
        <f t="shared" si="29"/>
        <v>568.18176217752125</v>
      </c>
      <c r="AD30" s="62">
        <f t="shared" si="29"/>
        <v>590.90903266462203</v>
      </c>
      <c r="AE30" s="62">
        <f t="shared" si="29"/>
        <v>614.54539397120698</v>
      </c>
      <c r="AF30" s="62">
        <f t="shared" si="29"/>
        <v>639.12720973005537</v>
      </c>
      <c r="AG30" s="62">
        <f t="shared" si="29"/>
        <v>664.69229811925754</v>
      </c>
    </row>
    <row r="31" spans="1:33">
      <c r="A31" s="4" t="s">
        <v>2</v>
      </c>
      <c r="B31" s="13">
        <f t="shared" ref="B31:G31" si="30">B11-B23</f>
        <v>64.3</v>
      </c>
      <c r="C31" s="13">
        <f t="shared" si="30"/>
        <v>71.5</v>
      </c>
      <c r="D31" s="13">
        <f t="shared" si="30"/>
        <v>69.600000000000009</v>
      </c>
      <c r="E31" s="13">
        <f t="shared" si="30"/>
        <v>69.000000000000028</v>
      </c>
      <c r="F31" s="13">
        <f t="shared" si="30"/>
        <v>68.3</v>
      </c>
      <c r="G31" s="13">
        <f t="shared" si="30"/>
        <v>72.400000000000006</v>
      </c>
      <c r="H31" s="13">
        <f>H11-H23</f>
        <v>80.7</v>
      </c>
      <c r="I31" s="13">
        <f>I11-I23</f>
        <v>65.000000000000057</v>
      </c>
      <c r="J31" s="13">
        <f>J11-J23</f>
        <v>77.600000000000009</v>
      </c>
      <c r="K31" s="13">
        <f>K11-K23</f>
        <v>72.599999999999994</v>
      </c>
      <c r="L31" s="62">
        <f t="shared" ref="L31:Q31" si="31">L11-L23</f>
        <v>81.900000000000006</v>
      </c>
      <c r="M31" s="62">
        <f t="shared" si="31"/>
        <v>73.398960000000045</v>
      </c>
      <c r="N31" s="62">
        <f t="shared" si="31"/>
        <v>84.058560000000014</v>
      </c>
      <c r="O31" s="62">
        <f t="shared" si="31"/>
        <v>80.200800000000001</v>
      </c>
      <c r="P31" s="62">
        <f t="shared" si="31"/>
        <v>88.83</v>
      </c>
      <c r="Q31" s="62">
        <f t="shared" si="31"/>
        <v>79.270876800000067</v>
      </c>
      <c r="T31" s="13">
        <f>T11-T23</f>
        <v>210.3</v>
      </c>
      <c r="U31" s="13">
        <f>U11-U23</f>
        <v>274.40000000000003</v>
      </c>
      <c r="V31" s="13">
        <f>V11-V23</f>
        <v>286.40000000000003</v>
      </c>
      <c r="W31" s="62">
        <f>SUM(J31:M31)</f>
        <v>305.49896000000001</v>
      </c>
      <c r="X31" s="62">
        <f>SUM(N31:Q31)</f>
        <v>332.36023680000005</v>
      </c>
      <c r="Y31" s="62">
        <f t="shared" ref="Y31:AG31" si="32">Y11-Y23</f>
        <v>358.94905574400008</v>
      </c>
      <c r="Z31" s="62">
        <f t="shared" si="32"/>
        <v>387.66498020352009</v>
      </c>
      <c r="AA31" s="62">
        <f t="shared" si="32"/>
        <v>418.67817861980177</v>
      </c>
      <c r="AB31" s="62">
        <f t="shared" si="32"/>
        <v>452.17243290938592</v>
      </c>
      <c r="AC31" s="62">
        <f t="shared" si="32"/>
        <v>488.34622754213683</v>
      </c>
      <c r="AD31" s="62">
        <f t="shared" si="32"/>
        <v>527.41392574550787</v>
      </c>
      <c r="AE31" s="62">
        <f t="shared" si="32"/>
        <v>569.60703980514847</v>
      </c>
      <c r="AF31" s="62">
        <f t="shared" si="32"/>
        <v>615.17560298956039</v>
      </c>
      <c r="AG31" s="62">
        <f t="shared" si="32"/>
        <v>664.38965122872537</v>
      </c>
    </row>
    <row r="32" spans="1:33">
      <c r="A32" s="4" t="s">
        <v>3</v>
      </c>
      <c r="B32" s="13">
        <f t="shared" ref="B32:G32" si="33">B13-B24</f>
        <v>24.3</v>
      </c>
      <c r="C32" s="13">
        <f t="shared" si="33"/>
        <v>25.1</v>
      </c>
      <c r="D32" s="13">
        <f t="shared" si="33"/>
        <v>34.700000000000003</v>
      </c>
      <c r="E32" s="13">
        <f t="shared" si="33"/>
        <v>26.20000000000001</v>
      </c>
      <c r="F32" s="13">
        <f t="shared" si="33"/>
        <v>40.299999999999997</v>
      </c>
      <c r="G32" s="13">
        <f t="shared" si="33"/>
        <v>48.1</v>
      </c>
      <c r="H32" s="13">
        <f>H13-H24</f>
        <v>52.9</v>
      </c>
      <c r="I32" s="13">
        <f>I13-I24</f>
        <v>46.800000000000011</v>
      </c>
      <c r="J32" s="13">
        <f>J13-J24</f>
        <v>52.3</v>
      </c>
      <c r="K32" s="13">
        <f>K13-K24</f>
        <v>41</v>
      </c>
      <c r="L32" s="62">
        <f t="shared" ref="L32:Q32" si="34">L13-L24</f>
        <v>43.4</v>
      </c>
      <c r="M32" s="62">
        <f t="shared" si="34"/>
        <v>49.350000000000009</v>
      </c>
      <c r="N32" s="62">
        <f t="shared" si="34"/>
        <v>54.877199999999995</v>
      </c>
      <c r="O32" s="62">
        <f t="shared" si="34"/>
        <v>43.921500000000002</v>
      </c>
      <c r="P32" s="62">
        <f t="shared" si="34"/>
        <v>45.500699999999995</v>
      </c>
      <c r="Q32" s="62">
        <f t="shared" si="34"/>
        <v>51.81750000000001</v>
      </c>
      <c r="T32" s="13">
        <f>T13-T24</f>
        <v>98</v>
      </c>
      <c r="U32" s="13">
        <f>U13-U24</f>
        <v>110.30000000000001</v>
      </c>
      <c r="V32" s="13">
        <f>V13-V24</f>
        <v>188.10000000000002</v>
      </c>
      <c r="W32" s="62">
        <f>SUM(J32:M32)</f>
        <v>186.05</v>
      </c>
      <c r="X32" s="62">
        <f>SUM(N32:Q32)</f>
        <v>196.11689999999999</v>
      </c>
      <c r="Y32" s="62">
        <f t="shared" ref="Y32:AG32" si="35">Y13-Y24</f>
        <v>211.806252</v>
      </c>
      <c r="Z32" s="62">
        <f t="shared" si="35"/>
        <v>228.75075216000002</v>
      </c>
      <c r="AA32" s="62">
        <f t="shared" si="35"/>
        <v>247.05081233280004</v>
      </c>
      <c r="AB32" s="62">
        <f t="shared" si="35"/>
        <v>266.81487731942406</v>
      </c>
      <c r="AC32" s="62">
        <f t="shared" si="35"/>
        <v>288.16006750497803</v>
      </c>
      <c r="AD32" s="62">
        <f t="shared" si="35"/>
        <v>311.21287290537634</v>
      </c>
      <c r="AE32" s="62">
        <f t="shared" si="35"/>
        <v>336.10990273780646</v>
      </c>
      <c r="AF32" s="62">
        <f t="shared" si="35"/>
        <v>362.998694956831</v>
      </c>
      <c r="AG32" s="62">
        <f t="shared" si="35"/>
        <v>392.0385905533775</v>
      </c>
    </row>
    <row r="33" spans="1:33">
      <c r="A33" s="4" t="s">
        <v>4</v>
      </c>
      <c r="B33" s="13">
        <f t="shared" ref="B33:K33" si="36">B15-B25</f>
        <v>7.2</v>
      </c>
      <c r="C33" s="13">
        <f t="shared" si="36"/>
        <v>11.2</v>
      </c>
      <c r="D33" s="13">
        <f t="shared" si="36"/>
        <v>7.7000000000000011</v>
      </c>
      <c r="E33" s="13">
        <f t="shared" si="36"/>
        <v>12.100000000000001</v>
      </c>
      <c r="F33" s="13">
        <f t="shared" si="36"/>
        <v>5.6000000000000014</v>
      </c>
      <c r="G33" s="13">
        <f t="shared" si="36"/>
        <v>13.3</v>
      </c>
      <c r="H33" s="13">
        <f t="shared" si="36"/>
        <v>8.5</v>
      </c>
      <c r="I33" s="13">
        <f t="shared" si="36"/>
        <v>4.5999999999999979</v>
      </c>
      <c r="J33" s="13">
        <f t="shared" si="36"/>
        <v>5.8</v>
      </c>
      <c r="K33" s="13">
        <f t="shared" si="36"/>
        <v>5.7</v>
      </c>
      <c r="L33" s="62">
        <f t="shared" ref="L33:Q33" si="37">L15-L25</f>
        <v>6.2999999999999989</v>
      </c>
      <c r="M33" s="62">
        <f t="shared" si="37"/>
        <v>4.5440999999999985</v>
      </c>
      <c r="N33" s="62">
        <f t="shared" si="37"/>
        <v>5.4977999999999998</v>
      </c>
      <c r="O33" s="62">
        <f t="shared" si="37"/>
        <v>5.8344000000000005</v>
      </c>
      <c r="P33" s="62">
        <f t="shared" si="37"/>
        <v>6.0026999999999999</v>
      </c>
      <c r="Q33" s="62">
        <f t="shared" si="37"/>
        <v>4.634981999999999</v>
      </c>
      <c r="T33" s="13">
        <f>T15-T25</f>
        <v>61</v>
      </c>
      <c r="U33" s="13">
        <f>U15-U25</f>
        <v>38.199999999999996</v>
      </c>
      <c r="V33" s="13">
        <f>V15-V25</f>
        <v>32</v>
      </c>
      <c r="W33" s="62">
        <f>SUM(J33:M33)</f>
        <v>22.344099999999997</v>
      </c>
      <c r="X33" s="62">
        <f>SUM(N33:Q33)</f>
        <v>21.969881999999998</v>
      </c>
      <c r="Y33" s="62">
        <f t="shared" ref="Y33:AG33" si="38">Y15-Y25</f>
        <v>22.628978460000003</v>
      </c>
      <c r="Z33" s="62">
        <f t="shared" si="38"/>
        <v>23.307847813800002</v>
      </c>
      <c r="AA33" s="62">
        <f t="shared" si="38"/>
        <v>24.007083248214006</v>
      </c>
      <c r="AB33" s="62">
        <f t="shared" si="38"/>
        <v>24.727295745660424</v>
      </c>
      <c r="AC33" s="62">
        <f t="shared" si="38"/>
        <v>25.46911461803024</v>
      </c>
      <c r="AD33" s="62">
        <f t="shared" si="38"/>
        <v>26.233188056571148</v>
      </c>
      <c r="AE33" s="62">
        <f t="shared" si="38"/>
        <v>27.020183698268283</v>
      </c>
      <c r="AF33" s="62">
        <f t="shared" si="38"/>
        <v>27.830789209216334</v>
      </c>
      <c r="AG33" s="62">
        <f t="shared" si="38"/>
        <v>28.665712885492823</v>
      </c>
    </row>
    <row r="34" spans="1:33" s="67" customFormat="1">
      <c r="A34" s="61" t="s">
        <v>6</v>
      </c>
      <c r="B34" s="67">
        <f t="shared" ref="B34:L34" si="39">B29+B30+B31+B32+B33</f>
        <v>332.90000000000003</v>
      </c>
      <c r="C34" s="67">
        <f t="shared" si="39"/>
        <v>336.1</v>
      </c>
      <c r="D34" s="67">
        <f t="shared" si="39"/>
        <v>356.09999999999997</v>
      </c>
      <c r="E34" s="67">
        <f t="shared" si="39"/>
        <v>350.10000000000008</v>
      </c>
      <c r="F34" s="67">
        <f t="shared" si="39"/>
        <v>356.1</v>
      </c>
      <c r="G34" s="67">
        <f t="shared" si="39"/>
        <v>409.3</v>
      </c>
      <c r="H34" s="67">
        <f t="shared" si="39"/>
        <v>416.99999999999994</v>
      </c>
      <c r="I34" s="67">
        <f t="shared" si="39"/>
        <v>380.60000000000014</v>
      </c>
      <c r="J34" s="67">
        <f t="shared" si="39"/>
        <v>426.00000000000006</v>
      </c>
      <c r="K34" s="67">
        <f t="shared" si="39"/>
        <v>437.2</v>
      </c>
      <c r="L34" s="67">
        <f t="shared" si="39"/>
        <v>478.8</v>
      </c>
      <c r="M34" s="68">
        <f>M29+M30+M31+M32+M33</f>
        <v>465.3517500000001</v>
      </c>
      <c r="N34" s="68">
        <f>N29+N30+N31+N32+N33</f>
        <v>486.40737000000001</v>
      </c>
      <c r="O34" s="68">
        <f>O29+O30+O31+O32+O33</f>
        <v>509.01330000000002</v>
      </c>
      <c r="P34" s="68">
        <f>P29+P30+P31+P32+P33</f>
        <v>562.32299999999987</v>
      </c>
      <c r="Q34" s="68">
        <f>Q29+Q30+Q31+Q32+Q33</f>
        <v>542.97509070000012</v>
      </c>
      <c r="T34" s="67">
        <f t="shared" ref="T34:Y34" si="40">T29+T30+T31+T32+T33</f>
        <v>1331.2</v>
      </c>
      <c r="U34" s="67">
        <f t="shared" si="40"/>
        <v>1375.2</v>
      </c>
      <c r="V34" s="68">
        <f t="shared" si="40"/>
        <v>1563</v>
      </c>
      <c r="W34" s="68">
        <f t="shared" si="40"/>
        <v>1807.3517499999998</v>
      </c>
      <c r="X34" s="68">
        <f t="shared" si="40"/>
        <v>2100.7187607000001</v>
      </c>
      <c r="Y34" s="68">
        <f t="shared" si="40"/>
        <v>2378.9897377799994</v>
      </c>
      <c r="Z34" s="68">
        <f t="shared" ref="Z34:AG34" si="41">Z29+Z30+Z31+Z32+Z33</f>
        <v>2704.7406578163595</v>
      </c>
      <c r="AA34" s="68">
        <f t="shared" si="41"/>
        <v>2696.962334545417</v>
      </c>
      <c r="AB34" s="68">
        <f t="shared" si="41"/>
        <v>2697.8579913528552</v>
      </c>
      <c r="AC34" s="68">
        <f t="shared" si="41"/>
        <v>2777.9719397426657</v>
      </c>
      <c r="AD34" s="68">
        <f t="shared" si="41"/>
        <v>2863.5837872720772</v>
      </c>
      <c r="AE34" s="68">
        <f t="shared" si="41"/>
        <v>2955.0972881124294</v>
      </c>
      <c r="AF34" s="68">
        <f t="shared" si="41"/>
        <v>3052.9470647856624</v>
      </c>
      <c r="AG34" s="68">
        <f t="shared" si="41"/>
        <v>3157.6010206868527</v>
      </c>
    </row>
    <row r="35" spans="1:33" s="67" customFormat="1">
      <c r="A35" s="61"/>
    </row>
    <row r="36" spans="1:33">
      <c r="A36" s="61" t="s">
        <v>132</v>
      </c>
    </row>
    <row r="37" spans="1:33" s="70" customFormat="1">
      <c r="A37" s="63" t="s">
        <v>0</v>
      </c>
      <c r="B37" s="65">
        <f>(1-B21/B7)</f>
        <v>0.95043731778425655</v>
      </c>
      <c r="C37" s="65">
        <f t="shared" ref="C37:L37" si="42">(1-C21/C7)</f>
        <v>0.95553691275167785</v>
      </c>
      <c r="D37" s="65">
        <f t="shared" si="42"/>
        <v>0.96138996138996136</v>
      </c>
      <c r="E37" s="65">
        <f t="shared" si="42"/>
        <v>0.93090356871678059</v>
      </c>
      <c r="F37" s="65">
        <f t="shared" si="42"/>
        <v>0.97479674796747962</v>
      </c>
      <c r="G37" s="65">
        <f t="shared" si="42"/>
        <v>0.93693107932379716</v>
      </c>
      <c r="H37" s="65">
        <f t="shared" si="42"/>
        <v>0.95249695493300857</v>
      </c>
      <c r="I37" s="65">
        <f t="shared" si="42"/>
        <v>0.96276276276276274</v>
      </c>
      <c r="J37" s="65">
        <f t="shared" si="42"/>
        <v>0.96395348837209305</v>
      </c>
      <c r="K37" s="65">
        <f t="shared" si="42"/>
        <v>0.96766169154228854</v>
      </c>
      <c r="L37" s="65">
        <f t="shared" si="42"/>
        <v>0.9340318199456733</v>
      </c>
      <c r="M37" s="65">
        <v>0.94</v>
      </c>
      <c r="N37" s="65">
        <v>0.94</v>
      </c>
      <c r="O37" s="65">
        <v>0.94</v>
      </c>
      <c r="P37" s="65">
        <v>0.94</v>
      </c>
      <c r="Q37" s="65">
        <v>0.94</v>
      </c>
      <c r="R37" s="65"/>
      <c r="T37" s="65">
        <f>(1-T21/T7)</f>
        <v>0.95283926852743017</v>
      </c>
      <c r="U37" s="65">
        <f>(1-U21/U7)</f>
        <v>0.94930684874818949</v>
      </c>
      <c r="V37" s="65">
        <f>(1-V21/V7)</f>
        <v>0.95588477366255142</v>
      </c>
      <c r="W37" s="65">
        <f>(1-W21/W7)</f>
        <v>0.94933581768668485</v>
      </c>
      <c r="X37" s="65">
        <f>(1-X21/X7)</f>
        <v>0.94</v>
      </c>
      <c r="Y37" s="65">
        <v>0.94</v>
      </c>
      <c r="Z37" s="65">
        <v>0.94</v>
      </c>
      <c r="AA37" s="65">
        <v>0.94</v>
      </c>
      <c r="AB37" s="65">
        <v>0.94</v>
      </c>
      <c r="AC37" s="65">
        <v>0.94</v>
      </c>
      <c r="AD37" s="65">
        <v>0.94</v>
      </c>
      <c r="AE37" s="65">
        <v>0.94</v>
      </c>
      <c r="AF37" s="65">
        <v>0.94</v>
      </c>
      <c r="AG37" s="65">
        <v>0.94</v>
      </c>
    </row>
    <row r="38" spans="1:33" s="70" customFormat="1">
      <c r="A38" s="63" t="s">
        <v>1</v>
      </c>
      <c r="B38" s="65">
        <f>(1-B22/B9)</f>
        <v>0.95870612525808674</v>
      </c>
      <c r="C38" s="65">
        <f t="shared" ref="C38:L38" si="43">(1-C22/C9)</f>
        <v>0.96134453781512608</v>
      </c>
      <c r="D38" s="65">
        <f t="shared" si="43"/>
        <v>0.96064257028112454</v>
      </c>
      <c r="E38" s="65">
        <f t="shared" si="43"/>
        <v>0.93979671618451921</v>
      </c>
      <c r="F38" s="65">
        <f t="shared" si="43"/>
        <v>0.93701996927803377</v>
      </c>
      <c r="G38" s="65">
        <f t="shared" si="43"/>
        <v>0.93991416309012876</v>
      </c>
      <c r="H38" s="65">
        <f t="shared" si="43"/>
        <v>0.94497607655502391</v>
      </c>
      <c r="I38" s="65">
        <f t="shared" si="43"/>
        <v>0.878275570583263</v>
      </c>
      <c r="J38" s="65">
        <f t="shared" si="43"/>
        <v>0.94533029612756259</v>
      </c>
      <c r="K38" s="65">
        <f t="shared" si="43"/>
        <v>0.93484848484848482</v>
      </c>
      <c r="L38" s="65">
        <f t="shared" si="43"/>
        <v>0.93421052631578949</v>
      </c>
      <c r="M38" s="65">
        <v>0.93</v>
      </c>
      <c r="N38" s="65">
        <v>0.93</v>
      </c>
      <c r="O38" s="65">
        <v>0.93</v>
      </c>
      <c r="P38" s="65">
        <v>0.93</v>
      </c>
      <c r="Q38" s="65">
        <v>0.93</v>
      </c>
      <c r="R38" s="65"/>
      <c r="T38" s="65">
        <f>(1-T22/T9)</f>
        <v>0.96405451448040891</v>
      </c>
      <c r="U38" s="65">
        <f>(1-U22/U9)</f>
        <v>0.95509967098896842</v>
      </c>
      <c r="V38" s="65">
        <f>(1-V22/V9)</f>
        <v>0.92622153007591979</v>
      </c>
      <c r="W38" s="65">
        <f>(1-W22/W9)</f>
        <v>0.93631357065708198</v>
      </c>
      <c r="X38" s="65">
        <f>(1-X22/X9)</f>
        <v>0.93</v>
      </c>
      <c r="Y38" s="65">
        <v>0.93</v>
      </c>
      <c r="Z38" s="65">
        <v>0.93</v>
      </c>
      <c r="AA38" s="65">
        <v>0.93</v>
      </c>
      <c r="AB38" s="65">
        <v>0.93</v>
      </c>
      <c r="AC38" s="65">
        <v>0.93</v>
      </c>
      <c r="AD38" s="65">
        <v>0.93</v>
      </c>
      <c r="AE38" s="65">
        <v>0.93</v>
      </c>
      <c r="AF38" s="65">
        <v>0.93</v>
      </c>
      <c r="AG38" s="65">
        <v>0.93</v>
      </c>
    </row>
    <row r="39" spans="1:33" s="70" customFormat="1">
      <c r="A39" s="63" t="s">
        <v>2</v>
      </c>
      <c r="B39" s="65">
        <f>(1-B23/B11)</f>
        <v>0.93188405797101448</v>
      </c>
      <c r="C39" s="65">
        <f t="shared" ref="C39:L39" si="44">(1-C23/C11)</f>
        <v>0.94827586206896552</v>
      </c>
      <c r="D39" s="65">
        <f t="shared" si="44"/>
        <v>0.93172690763052213</v>
      </c>
      <c r="E39" s="65">
        <f t="shared" si="44"/>
        <v>0.93243243243243246</v>
      </c>
      <c r="F39" s="65">
        <f t="shared" si="44"/>
        <v>0.9433701657458563</v>
      </c>
      <c r="G39" s="65">
        <f t="shared" si="44"/>
        <v>0.95013123359580054</v>
      </c>
      <c r="H39" s="65">
        <f t="shared" si="44"/>
        <v>0.94718309859154926</v>
      </c>
      <c r="I39" s="65">
        <f t="shared" si="44"/>
        <v>0.89903181189488257</v>
      </c>
      <c r="J39" s="65">
        <f t="shared" si="44"/>
        <v>0.9371980676328503</v>
      </c>
      <c r="K39" s="65">
        <f t="shared" si="44"/>
        <v>0.91898734177215191</v>
      </c>
      <c r="L39" s="65">
        <f t="shared" si="44"/>
        <v>0.93599999999999994</v>
      </c>
      <c r="M39" s="65">
        <v>0.94</v>
      </c>
      <c r="N39" s="65">
        <v>0.94</v>
      </c>
      <c r="O39" s="65">
        <v>0.94</v>
      </c>
      <c r="P39" s="65">
        <v>0.94</v>
      </c>
      <c r="Q39" s="65">
        <v>0.94</v>
      </c>
      <c r="R39" s="65"/>
      <c r="T39" s="65">
        <f>(1-T23/T11)</f>
        <v>0.93342210386151803</v>
      </c>
      <c r="U39" s="65">
        <f>(1-U23/U11)</f>
        <v>0.9361992494029342</v>
      </c>
      <c r="V39" s="65">
        <f>(1-V23/V11)</f>
        <v>0.93564194707611892</v>
      </c>
      <c r="W39" s="65">
        <f>(1-W23/W11)</f>
        <v>0.93315177284167827</v>
      </c>
      <c r="X39" s="65">
        <f>(1-X23/X11)</f>
        <v>0.94</v>
      </c>
      <c r="Y39" s="65">
        <v>0.94</v>
      </c>
      <c r="Z39" s="65">
        <v>0.94</v>
      </c>
      <c r="AA39" s="65">
        <v>0.94</v>
      </c>
      <c r="AB39" s="65">
        <v>0.94</v>
      </c>
      <c r="AC39" s="65">
        <v>0.94</v>
      </c>
      <c r="AD39" s="65">
        <v>0.94</v>
      </c>
      <c r="AE39" s="65">
        <v>0.94</v>
      </c>
      <c r="AF39" s="65">
        <v>0.94</v>
      </c>
      <c r="AG39" s="65">
        <v>0.94</v>
      </c>
    </row>
    <row r="40" spans="1:33" s="70" customFormat="1">
      <c r="A40" s="63" t="s">
        <v>3</v>
      </c>
      <c r="B40" s="65">
        <f>(1-B24/B13)</f>
        <v>0.9135338345864662</v>
      </c>
      <c r="C40" s="65">
        <f t="shared" ref="C40:L40" si="45">(1-C24/C13)</f>
        <v>0.86551724137931041</v>
      </c>
      <c r="D40" s="65">
        <f t="shared" si="45"/>
        <v>0.9228723404255319</v>
      </c>
      <c r="E40" s="65">
        <f t="shared" si="45"/>
        <v>0.88215488215488225</v>
      </c>
      <c r="F40" s="65">
        <f t="shared" si="45"/>
        <v>0.91799544419134393</v>
      </c>
      <c r="G40" s="65">
        <f t="shared" si="45"/>
        <v>0.90583804143126179</v>
      </c>
      <c r="H40" s="65">
        <f t="shared" si="45"/>
        <v>0.95660036166365281</v>
      </c>
      <c r="I40" s="65">
        <f t="shared" si="45"/>
        <v>0.93600000000000005</v>
      </c>
      <c r="J40" s="65">
        <f t="shared" si="45"/>
        <v>0.94064748201438853</v>
      </c>
      <c r="K40" s="65">
        <f t="shared" si="45"/>
        <v>0.9213483146067416</v>
      </c>
      <c r="L40" s="65">
        <f t="shared" si="45"/>
        <v>0.9414316702819957</v>
      </c>
      <c r="M40" s="65">
        <v>0.94</v>
      </c>
      <c r="N40" s="65">
        <v>0.94</v>
      </c>
      <c r="O40" s="65">
        <v>0.94</v>
      </c>
      <c r="P40" s="65">
        <v>0.94</v>
      </c>
      <c r="Q40" s="65">
        <v>0.94</v>
      </c>
      <c r="R40" s="65"/>
      <c r="T40" s="65">
        <f>(1-T24/T13)</f>
        <v>0.86191732629727347</v>
      </c>
      <c r="U40" s="65">
        <f>(1-U24/U13)</f>
        <v>0.89747762408462162</v>
      </c>
      <c r="V40" s="65">
        <f>(1-V24/V13)</f>
        <v>0.9298072170044489</v>
      </c>
      <c r="W40" s="65">
        <f>(1-W24/W13)</f>
        <v>0.93633618520382478</v>
      </c>
      <c r="X40" s="65">
        <f>(1-X24/X13)</f>
        <v>0.94</v>
      </c>
      <c r="Y40" s="65">
        <v>0.94</v>
      </c>
      <c r="Z40" s="65">
        <v>0.94</v>
      </c>
      <c r="AA40" s="65">
        <v>0.94</v>
      </c>
      <c r="AB40" s="65">
        <v>0.94</v>
      </c>
      <c r="AC40" s="65">
        <v>0.94</v>
      </c>
      <c r="AD40" s="65">
        <v>0.94</v>
      </c>
      <c r="AE40" s="65">
        <v>0.94</v>
      </c>
      <c r="AF40" s="65">
        <v>0.94</v>
      </c>
      <c r="AG40" s="65">
        <v>0.94</v>
      </c>
    </row>
    <row r="41" spans="1:33" s="70" customFormat="1">
      <c r="A41" s="63" t="s">
        <v>4</v>
      </c>
      <c r="B41" s="65">
        <f>(1-B25/B15)</f>
        <v>0.57600000000000007</v>
      </c>
      <c r="C41" s="65">
        <f t="shared" ref="C41:L41" si="46">(1-C25/C15)</f>
        <v>0.57731958762886593</v>
      </c>
      <c r="D41" s="65">
        <f t="shared" si="46"/>
        <v>0.55797101449275366</v>
      </c>
      <c r="E41" s="65">
        <f t="shared" si="46"/>
        <v>0.56018518518518523</v>
      </c>
      <c r="F41" s="65">
        <f t="shared" si="46"/>
        <v>0.58333333333333337</v>
      </c>
      <c r="G41" s="65">
        <f t="shared" si="46"/>
        <v>0.56355932203389836</v>
      </c>
      <c r="H41" s="65">
        <f t="shared" si="46"/>
        <v>0.5821917808219178</v>
      </c>
      <c r="I41" s="65">
        <f t="shared" si="46"/>
        <v>0.56790123456790131</v>
      </c>
      <c r="J41" s="65">
        <f t="shared" si="46"/>
        <v>0.59183673469387754</v>
      </c>
      <c r="K41" s="65">
        <f t="shared" si="46"/>
        <v>0.54807692307692313</v>
      </c>
      <c r="L41" s="65">
        <f t="shared" si="46"/>
        <v>0.58878504672897192</v>
      </c>
      <c r="M41" s="65">
        <v>0.55000000000000004</v>
      </c>
      <c r="N41" s="65">
        <v>0.55000000000000004</v>
      </c>
      <c r="O41" s="65">
        <v>0.55000000000000004</v>
      </c>
      <c r="P41" s="65">
        <v>0.55000000000000004</v>
      </c>
      <c r="Q41" s="65">
        <v>0.55000000000000004</v>
      </c>
      <c r="R41" s="65"/>
      <c r="T41" s="65">
        <f>(1-T25/T15)</f>
        <v>0.56902985074626866</v>
      </c>
      <c r="U41" s="65">
        <f>(1-U25/U15)</f>
        <v>0.56760772659732539</v>
      </c>
      <c r="V41" s="65">
        <f>(1-V25/V15)</f>
        <v>0.57245080500894452</v>
      </c>
      <c r="W41" s="65">
        <f>(1-W25/W15)</f>
        <v>0.57055564067207998</v>
      </c>
      <c r="X41" s="65">
        <f>(1-X25/X15)</f>
        <v>0.55000000000000004</v>
      </c>
      <c r="Y41" s="65">
        <v>0.55000000000000004</v>
      </c>
      <c r="Z41" s="65">
        <v>0.55000000000000004</v>
      </c>
      <c r="AA41" s="65">
        <v>0.55000000000000004</v>
      </c>
      <c r="AB41" s="65">
        <v>0.55000000000000004</v>
      </c>
      <c r="AC41" s="65">
        <v>0.55000000000000004</v>
      </c>
      <c r="AD41" s="65">
        <v>0.55000000000000004</v>
      </c>
      <c r="AE41" s="65">
        <v>0.55000000000000004</v>
      </c>
      <c r="AF41" s="65">
        <v>0.55000000000000004</v>
      </c>
      <c r="AG41" s="65">
        <v>0.55000000000000004</v>
      </c>
    </row>
    <row r="42" spans="1:33" s="70" customFormat="1">
      <c r="A42" s="71" t="s">
        <v>131</v>
      </c>
      <c r="B42" s="72">
        <f>(1-B26/B17)</f>
        <v>0.93432500701655907</v>
      </c>
      <c r="C42" s="72">
        <f t="shared" ref="C42:X42" si="47">(1-C26/C17)</f>
        <v>0.92845303867403317</v>
      </c>
      <c r="D42" s="72">
        <f t="shared" si="47"/>
        <v>0.9368587213891082</v>
      </c>
      <c r="E42" s="72">
        <f t="shared" si="47"/>
        <v>0.90958690568978962</v>
      </c>
      <c r="F42" s="72">
        <f t="shared" si="47"/>
        <v>0.93932999208652068</v>
      </c>
      <c r="G42" s="72">
        <f t="shared" si="47"/>
        <v>0.9166853303471445</v>
      </c>
      <c r="H42" s="72">
        <f t="shared" si="47"/>
        <v>0.93771081628063868</v>
      </c>
      <c r="I42" s="72">
        <f t="shared" si="47"/>
        <v>0.91666666666666674</v>
      </c>
      <c r="J42" s="72">
        <f t="shared" si="47"/>
        <v>0.94268643505200267</v>
      </c>
      <c r="K42" s="72">
        <f t="shared" si="47"/>
        <v>0.93638894838295139</v>
      </c>
      <c r="L42" s="72">
        <f t="shared" si="47"/>
        <v>0.9279069767441861</v>
      </c>
      <c r="M42" s="72">
        <f t="shared" si="47"/>
        <v>0.93116163152270914</v>
      </c>
      <c r="N42" s="72">
        <f t="shared" si="47"/>
        <v>0.93000298269463511</v>
      </c>
      <c r="O42" s="72">
        <f t="shared" si="47"/>
        <v>0.93000531678734488</v>
      </c>
      <c r="P42" s="72">
        <f t="shared" si="47"/>
        <v>0.93104612985103541</v>
      </c>
      <c r="Q42" s="72">
        <f t="shared" si="47"/>
        <v>0.9322848568582629</v>
      </c>
      <c r="R42" s="72"/>
      <c r="T42" s="72">
        <f t="shared" si="47"/>
        <v>0.91882937603533965</v>
      </c>
      <c r="U42" s="72">
        <f t="shared" si="47"/>
        <v>0.9271219577968044</v>
      </c>
      <c r="V42" s="72">
        <f t="shared" si="47"/>
        <v>0.92732126965292205</v>
      </c>
      <c r="W42" s="72">
        <f t="shared" si="47"/>
        <v>0.93424724768602996</v>
      </c>
      <c r="X42" s="72">
        <f t="shared" si="47"/>
        <v>0.93087163183911292</v>
      </c>
      <c r="Y42" s="72">
        <f t="shared" ref="Y42:AG42" si="48">(1-Y26/Y17)</f>
        <v>0.93167076743643717</v>
      </c>
      <c r="Z42" s="72">
        <f t="shared" si="48"/>
        <v>0.93242998012318057</v>
      </c>
      <c r="AA42" s="72">
        <f t="shared" si="48"/>
        <v>0.93216385115752542</v>
      </c>
      <c r="AB42" s="72">
        <f t="shared" si="48"/>
        <v>0.93191409638373424</v>
      </c>
      <c r="AC42" s="72">
        <f t="shared" si="48"/>
        <v>0.93189218805592389</v>
      </c>
      <c r="AD42" s="72">
        <f t="shared" si="48"/>
        <v>0.93187885701330975</v>
      </c>
      <c r="AE42" s="72">
        <f t="shared" si="48"/>
        <v>0.93187426664806738</v>
      </c>
      <c r="AF42" s="72">
        <f t="shared" si="48"/>
        <v>0.9318785376642531</v>
      </c>
      <c r="AG42" s="72">
        <f t="shared" si="48"/>
        <v>0.93189174598895352</v>
      </c>
    </row>
    <row r="44" spans="1:33" s="124" customFormat="1">
      <c r="A44" s="122" t="s">
        <v>115</v>
      </c>
    </row>
    <row r="45" spans="1:33">
      <c r="A45" s="4" t="s">
        <v>7</v>
      </c>
      <c r="B45" s="13">
        <f>B17</f>
        <v>356.30000000000007</v>
      </c>
      <c r="C45" s="13">
        <f t="shared" ref="C45:Q45" si="49">C17</f>
        <v>362</v>
      </c>
      <c r="D45" s="13">
        <f t="shared" si="49"/>
        <v>380.1</v>
      </c>
      <c r="E45" s="13">
        <f t="shared" si="49"/>
        <v>384.90000000000003</v>
      </c>
      <c r="F45" s="13">
        <f t="shared" si="49"/>
        <v>379.09999999999997</v>
      </c>
      <c r="G45" s="13">
        <f t="shared" si="49"/>
        <v>446.50000000000006</v>
      </c>
      <c r="H45" s="13">
        <f t="shared" si="49"/>
        <v>444.70000000000005</v>
      </c>
      <c r="I45" s="13">
        <f t="shared" si="49"/>
        <v>415.20000000000016</v>
      </c>
      <c r="J45" s="13">
        <f t="shared" si="49"/>
        <v>451.90000000000003</v>
      </c>
      <c r="K45" s="13">
        <f t="shared" si="49"/>
        <v>466.9</v>
      </c>
      <c r="L45" s="62">
        <f t="shared" si="49"/>
        <v>516</v>
      </c>
      <c r="M45" s="62">
        <f t="shared" si="49"/>
        <v>499.75400000000008</v>
      </c>
      <c r="N45" s="62">
        <f t="shared" si="49"/>
        <v>523.01699999999994</v>
      </c>
      <c r="O45" s="62">
        <f t="shared" si="49"/>
        <v>547.32299999999998</v>
      </c>
      <c r="P45" s="62">
        <f t="shared" si="49"/>
        <v>603.96899999999994</v>
      </c>
      <c r="Q45" s="62">
        <f t="shared" si="49"/>
        <v>582.41329000000007</v>
      </c>
      <c r="T45" s="13">
        <f t="shared" ref="T45:AG45" si="50">T17</f>
        <v>1448.8000000000002</v>
      </c>
      <c r="U45" s="13">
        <f t="shared" si="50"/>
        <v>1483.3</v>
      </c>
      <c r="V45" s="13">
        <f t="shared" si="50"/>
        <v>1685.5000000000002</v>
      </c>
      <c r="W45" s="62">
        <f t="shared" si="50"/>
        <v>1934.5540000000001</v>
      </c>
      <c r="X45" s="62">
        <f t="shared" si="50"/>
        <v>2256.7222899999997</v>
      </c>
      <c r="Y45" s="62">
        <f t="shared" si="50"/>
        <v>2553.4661179999998</v>
      </c>
      <c r="Z45" s="62">
        <f t="shared" si="50"/>
        <v>2900.7439866520003</v>
      </c>
      <c r="AA45" s="62">
        <f t="shared" si="50"/>
        <v>2893.2277637632405</v>
      </c>
      <c r="AB45" s="62">
        <f t="shared" si="50"/>
        <v>2894.9642481231003</v>
      </c>
      <c r="AC45" s="62">
        <f t="shared" si="50"/>
        <v>2981.0014241432364</v>
      </c>
      <c r="AD45" s="62">
        <f t="shared" si="50"/>
        <v>3072.9142159635639</v>
      </c>
      <c r="AE45" s="62">
        <f t="shared" si="50"/>
        <v>3171.1330528976341</v>
      </c>
      <c r="AF45" s="62">
        <f t="shared" si="50"/>
        <v>3276.1212340374877</v>
      </c>
      <c r="AG45" s="62">
        <f t="shared" si="50"/>
        <v>3388.3774958602139</v>
      </c>
    </row>
    <row r="46" spans="1:33">
      <c r="A46" s="4" t="s">
        <v>11</v>
      </c>
      <c r="J46" s="13">
        <v>10</v>
      </c>
      <c r="W46" s="62"/>
      <c r="X46" s="62"/>
    </row>
    <row r="47" spans="1:33" s="67" customFormat="1">
      <c r="A47" s="61" t="s">
        <v>114</v>
      </c>
      <c r="B47" s="67">
        <f>B45+B46</f>
        <v>356.30000000000007</v>
      </c>
      <c r="C47" s="67">
        <f t="shared" ref="C47:T47" si="51">C45+C46</f>
        <v>362</v>
      </c>
      <c r="D47" s="67">
        <f t="shared" si="51"/>
        <v>380.1</v>
      </c>
      <c r="E47" s="67">
        <f t="shared" si="51"/>
        <v>384.90000000000003</v>
      </c>
      <c r="F47" s="67">
        <f t="shared" si="51"/>
        <v>379.09999999999997</v>
      </c>
      <c r="G47" s="67">
        <f t="shared" si="51"/>
        <v>446.50000000000006</v>
      </c>
      <c r="H47" s="67">
        <f t="shared" si="51"/>
        <v>444.70000000000005</v>
      </c>
      <c r="I47" s="67">
        <f t="shared" si="51"/>
        <v>415.20000000000016</v>
      </c>
      <c r="J47" s="67">
        <f t="shared" si="51"/>
        <v>461.90000000000003</v>
      </c>
      <c r="K47" s="67">
        <f t="shared" si="51"/>
        <v>466.9</v>
      </c>
      <c r="L47" s="68">
        <f t="shared" si="51"/>
        <v>516</v>
      </c>
      <c r="M47" s="68">
        <f t="shared" si="51"/>
        <v>499.75400000000008</v>
      </c>
      <c r="N47" s="68">
        <f t="shared" si="51"/>
        <v>523.01699999999994</v>
      </c>
      <c r="O47" s="68">
        <f t="shared" si="51"/>
        <v>547.32299999999998</v>
      </c>
      <c r="P47" s="68">
        <f t="shared" si="51"/>
        <v>603.96899999999994</v>
      </c>
      <c r="Q47" s="68">
        <f t="shared" si="51"/>
        <v>582.41329000000007</v>
      </c>
      <c r="T47" s="67">
        <f t="shared" si="51"/>
        <v>1448.8000000000002</v>
      </c>
      <c r="U47" s="67">
        <f>U45+U46</f>
        <v>1483.3</v>
      </c>
      <c r="V47" s="67">
        <f t="shared" ref="V47:AG47" si="52">V45+V46</f>
        <v>1685.5000000000002</v>
      </c>
      <c r="W47" s="68">
        <f t="shared" si="52"/>
        <v>1934.5540000000001</v>
      </c>
      <c r="X47" s="68">
        <f t="shared" si="52"/>
        <v>2256.7222899999997</v>
      </c>
      <c r="Y47" s="68">
        <f t="shared" si="52"/>
        <v>2553.4661179999998</v>
      </c>
      <c r="Z47" s="68">
        <f t="shared" si="52"/>
        <v>2900.7439866520003</v>
      </c>
      <c r="AA47" s="68">
        <f t="shared" si="52"/>
        <v>2893.2277637632405</v>
      </c>
      <c r="AB47" s="68">
        <f t="shared" si="52"/>
        <v>2894.9642481231003</v>
      </c>
      <c r="AC47" s="68">
        <f t="shared" si="52"/>
        <v>2981.0014241432364</v>
      </c>
      <c r="AD47" s="68">
        <f t="shared" si="52"/>
        <v>3072.9142159635639</v>
      </c>
      <c r="AE47" s="68">
        <f t="shared" si="52"/>
        <v>3171.1330528976341</v>
      </c>
      <c r="AF47" s="68">
        <f t="shared" si="52"/>
        <v>3276.1212340374877</v>
      </c>
      <c r="AG47" s="68">
        <f t="shared" si="52"/>
        <v>3388.3774958602139</v>
      </c>
    </row>
    <row r="49" spans="1:33">
      <c r="A49" s="4" t="s">
        <v>10</v>
      </c>
      <c r="B49" s="13">
        <f t="shared" ref="B49:L49" si="53">B26</f>
        <v>23.400000000000002</v>
      </c>
      <c r="C49" s="13">
        <f t="shared" si="53"/>
        <v>25.9</v>
      </c>
      <c r="D49" s="13">
        <f t="shared" si="53"/>
        <v>24</v>
      </c>
      <c r="E49" s="13">
        <f t="shared" si="53"/>
        <v>34.799999999999997</v>
      </c>
      <c r="F49" s="13">
        <f t="shared" si="53"/>
        <v>23</v>
      </c>
      <c r="G49" s="13">
        <f t="shared" si="53"/>
        <v>37.200000000000003</v>
      </c>
      <c r="H49" s="13">
        <f t="shared" si="53"/>
        <v>27.699999999999996</v>
      </c>
      <c r="I49" s="13">
        <f t="shared" si="53"/>
        <v>34.599999999999994</v>
      </c>
      <c r="J49" s="13">
        <f t="shared" si="53"/>
        <v>25.900000000000002</v>
      </c>
      <c r="K49" s="13">
        <f t="shared" si="53"/>
        <v>29.7</v>
      </c>
      <c r="L49" s="62">
        <f t="shared" si="53"/>
        <v>37.200000000000003</v>
      </c>
      <c r="M49" s="62">
        <f>M26</f>
        <v>34.402250000000016</v>
      </c>
      <c r="N49" s="62">
        <f>N26</f>
        <v>36.60963000000001</v>
      </c>
      <c r="O49" s="62">
        <f>O26</f>
        <v>38.309700000000014</v>
      </c>
      <c r="P49" s="62">
        <f>P26</f>
        <v>41.646000000000015</v>
      </c>
      <c r="Q49" s="62">
        <f>Q26</f>
        <v>39.438199300000022</v>
      </c>
      <c r="T49" s="13">
        <f>T26</f>
        <v>117.6</v>
      </c>
      <c r="U49" s="13">
        <f>U26</f>
        <v>108.1</v>
      </c>
      <c r="V49" s="62">
        <f>V26</f>
        <v>122.5</v>
      </c>
      <c r="W49" s="62">
        <f t="shared" ref="W49:AG49" si="54">W26</f>
        <v>127.20225000000001</v>
      </c>
      <c r="X49" s="62">
        <f t="shared" si="54"/>
        <v>156.00352930000008</v>
      </c>
      <c r="Y49" s="62">
        <f t="shared" si="54"/>
        <v>174.47638022000007</v>
      </c>
      <c r="Z49" s="62">
        <f t="shared" si="54"/>
        <v>196.00332883564005</v>
      </c>
      <c r="AA49" s="62">
        <f t="shared" si="54"/>
        <v>196.26542921782291</v>
      </c>
      <c r="AB49" s="62">
        <f t="shared" si="54"/>
        <v>197.10625677024467</v>
      </c>
      <c r="AC49" s="62">
        <f t="shared" si="54"/>
        <v>203.02948440057068</v>
      </c>
      <c r="AD49" s="62">
        <f t="shared" si="54"/>
        <v>209.33042869148699</v>
      </c>
      <c r="AE49" s="62">
        <f t="shared" si="54"/>
        <v>216.03576478520429</v>
      </c>
      <c r="AF49" s="62">
        <f t="shared" si="54"/>
        <v>223.17416925182528</v>
      </c>
      <c r="AG49" s="62">
        <f t="shared" si="54"/>
        <v>230.77647517336104</v>
      </c>
    </row>
    <row r="50" spans="1:33" s="67" customFormat="1">
      <c r="A50" s="61" t="s">
        <v>129</v>
      </c>
      <c r="B50" s="67">
        <f>B47-B49</f>
        <v>332.90000000000009</v>
      </c>
      <c r="C50" s="67">
        <f t="shared" ref="C50:T50" si="55">C47-C49</f>
        <v>336.1</v>
      </c>
      <c r="D50" s="67">
        <f t="shared" si="55"/>
        <v>356.1</v>
      </c>
      <c r="E50" s="67">
        <f t="shared" si="55"/>
        <v>350.1</v>
      </c>
      <c r="F50" s="67">
        <f t="shared" si="55"/>
        <v>356.09999999999997</v>
      </c>
      <c r="G50" s="67">
        <f t="shared" si="55"/>
        <v>409.30000000000007</v>
      </c>
      <c r="H50" s="67">
        <f t="shared" si="55"/>
        <v>417.00000000000006</v>
      </c>
      <c r="I50" s="67">
        <f t="shared" si="55"/>
        <v>380.60000000000014</v>
      </c>
      <c r="J50" s="67">
        <f t="shared" si="55"/>
        <v>436.00000000000006</v>
      </c>
      <c r="K50" s="67">
        <f t="shared" si="55"/>
        <v>437.2</v>
      </c>
      <c r="L50" s="68">
        <f t="shared" si="55"/>
        <v>478.8</v>
      </c>
      <c r="M50" s="68">
        <f>M47-M49</f>
        <v>465.35175000000004</v>
      </c>
      <c r="N50" s="68">
        <f>N47-N49</f>
        <v>486.4073699999999</v>
      </c>
      <c r="O50" s="68">
        <f>O47-O49</f>
        <v>509.01329999999996</v>
      </c>
      <c r="P50" s="68">
        <f>P47-P49</f>
        <v>562.32299999999987</v>
      </c>
      <c r="Q50" s="68">
        <f>Q47-Q49</f>
        <v>542.97509070000001</v>
      </c>
      <c r="T50" s="67">
        <f t="shared" si="55"/>
        <v>1331.2000000000003</v>
      </c>
      <c r="U50" s="67">
        <f>U47-U49</f>
        <v>1375.2</v>
      </c>
      <c r="V50" s="68">
        <f>V47-V49</f>
        <v>1563.0000000000002</v>
      </c>
      <c r="W50" s="68">
        <f t="shared" ref="W50:AG50" si="56">W47-W49</f>
        <v>1807.35175</v>
      </c>
      <c r="X50" s="68">
        <f t="shared" si="56"/>
        <v>2100.7187606999996</v>
      </c>
      <c r="Y50" s="68">
        <f t="shared" si="56"/>
        <v>2378.9897377799998</v>
      </c>
      <c r="Z50" s="68">
        <f t="shared" si="56"/>
        <v>2704.7406578163605</v>
      </c>
      <c r="AA50" s="68">
        <f t="shared" si="56"/>
        <v>2696.9623345454174</v>
      </c>
      <c r="AB50" s="68">
        <f t="shared" si="56"/>
        <v>2697.8579913528556</v>
      </c>
      <c r="AC50" s="68">
        <f t="shared" si="56"/>
        <v>2777.9719397426657</v>
      </c>
      <c r="AD50" s="68">
        <f t="shared" si="56"/>
        <v>2863.5837872720767</v>
      </c>
      <c r="AE50" s="68">
        <f t="shared" si="56"/>
        <v>2955.0972881124299</v>
      </c>
      <c r="AF50" s="68">
        <f t="shared" si="56"/>
        <v>3052.9470647856624</v>
      </c>
      <c r="AG50" s="68">
        <f t="shared" si="56"/>
        <v>3157.6010206868527</v>
      </c>
    </row>
    <row r="51" spans="1:33">
      <c r="A51" s="4" t="s">
        <v>130</v>
      </c>
      <c r="B51" s="21">
        <f>B50/B47</f>
        <v>0.93432500701655918</v>
      </c>
      <c r="C51" s="21">
        <f t="shared" ref="C51:T51" si="57">C50/C47</f>
        <v>0.92845303867403317</v>
      </c>
      <c r="D51" s="21">
        <f t="shared" si="57"/>
        <v>0.93685872138910808</v>
      </c>
      <c r="E51" s="21">
        <f t="shared" si="57"/>
        <v>0.9095869056897895</v>
      </c>
      <c r="F51" s="21">
        <f t="shared" si="57"/>
        <v>0.93932999208652068</v>
      </c>
      <c r="G51" s="21">
        <f t="shared" si="57"/>
        <v>0.9166853303471445</v>
      </c>
      <c r="H51" s="21">
        <f t="shared" si="57"/>
        <v>0.93771081628063868</v>
      </c>
      <c r="I51" s="21">
        <f t="shared" si="57"/>
        <v>0.91666666666666663</v>
      </c>
      <c r="J51" s="21">
        <f t="shared" si="57"/>
        <v>0.94392725698203084</v>
      </c>
      <c r="K51" s="21">
        <f t="shared" si="57"/>
        <v>0.93638894838295139</v>
      </c>
      <c r="L51" s="21">
        <f t="shared" si="57"/>
        <v>0.9279069767441861</v>
      </c>
      <c r="M51" s="21">
        <f>M50/M47</f>
        <v>0.93116163152270914</v>
      </c>
      <c r="N51" s="21">
        <f>N50/N47</f>
        <v>0.93000298269463511</v>
      </c>
      <c r="O51" s="21">
        <f>O50/O47</f>
        <v>0.93000531678734488</v>
      </c>
      <c r="P51" s="21">
        <f>P50/P47</f>
        <v>0.9310461298510353</v>
      </c>
      <c r="Q51" s="21">
        <f>Q50/Q47</f>
        <v>0.9322848568582629</v>
      </c>
      <c r="R51" s="21"/>
      <c r="T51" s="21">
        <f t="shared" si="57"/>
        <v>0.91882937603533965</v>
      </c>
      <c r="U51" s="21">
        <f>U50/U47</f>
        <v>0.92712195779680451</v>
      </c>
      <c r="V51" s="21">
        <f>V50/V47</f>
        <v>0.92732126965292194</v>
      </c>
      <c r="W51" s="21">
        <f>W50/W47</f>
        <v>0.93424724768602996</v>
      </c>
      <c r="X51" s="21">
        <f>X50/X47</f>
        <v>0.93087163183911292</v>
      </c>
    </row>
    <row r="53" spans="1:33">
      <c r="A53" s="4" t="s">
        <v>12</v>
      </c>
      <c r="B53" s="13">
        <v>73.2</v>
      </c>
      <c r="C53" s="13">
        <v>89.7</v>
      </c>
      <c r="D53" s="13">
        <v>68.7</v>
      </c>
      <c r="E53" s="13">
        <f>U53-D53-C53-B53</f>
        <v>126.10000000000001</v>
      </c>
      <c r="F53" s="13">
        <f>378-G53</f>
        <v>303.7</v>
      </c>
      <c r="G53" s="13">
        <v>74.3</v>
      </c>
      <c r="H53" s="13">
        <v>79.2</v>
      </c>
      <c r="I53" s="13">
        <f>V53-F53-G53-H53</f>
        <v>82.90000000000002</v>
      </c>
      <c r="J53" s="13">
        <f>162.9-K53</f>
        <v>69</v>
      </c>
      <c r="K53" s="13">
        <v>93.9</v>
      </c>
      <c r="L53" s="13">
        <v>66.099999999999994</v>
      </c>
      <c r="M53" s="62">
        <f t="shared" ref="M53:Q54" si="58">AVERAGE(I53:L53)*1.02</f>
        <v>79.534500000000008</v>
      </c>
      <c r="N53" s="62">
        <f t="shared" si="58"/>
        <v>78.67629749999999</v>
      </c>
      <c r="O53" s="62">
        <f t="shared" si="58"/>
        <v>81.143753362500007</v>
      </c>
      <c r="P53" s="62">
        <f t="shared" si="58"/>
        <v>77.890910469937509</v>
      </c>
      <c r="Q53" s="62">
        <f t="shared" si="58"/>
        <v>80.897592639771574</v>
      </c>
      <c r="T53" s="13">
        <v>1182.5999999999999</v>
      </c>
      <c r="U53" s="13">
        <v>357.7</v>
      </c>
      <c r="V53" s="13">
        <v>540.1</v>
      </c>
      <c r="W53" s="62">
        <f>SUM(J53:M53)</f>
        <v>308.53449999999998</v>
      </c>
      <c r="X53" s="62">
        <f>SUM(N53:Q53)</f>
        <v>318.60855397220911</v>
      </c>
      <c r="Y53" s="62">
        <f>X53*1.03</f>
        <v>328.16681059137539</v>
      </c>
      <c r="Z53" s="62">
        <f>Y53*1.04</f>
        <v>341.2934830150304</v>
      </c>
      <c r="AA53" s="62">
        <f t="shared" ref="AA53:AG53" si="59">Z53*1.04</f>
        <v>354.94522233563163</v>
      </c>
      <c r="AB53" s="62">
        <f t="shared" si="59"/>
        <v>369.14303122905693</v>
      </c>
      <c r="AC53" s="62">
        <f t="shared" si="59"/>
        <v>383.90875247821924</v>
      </c>
      <c r="AD53" s="62">
        <f t="shared" si="59"/>
        <v>399.26510257734805</v>
      </c>
      <c r="AE53" s="62">
        <f t="shared" si="59"/>
        <v>415.23570668044198</v>
      </c>
      <c r="AF53" s="62">
        <f t="shared" si="59"/>
        <v>431.84513494765969</v>
      </c>
      <c r="AG53" s="62">
        <f t="shared" si="59"/>
        <v>449.1189403455661</v>
      </c>
    </row>
    <row r="54" spans="1:33">
      <c r="A54" s="4" t="s">
        <v>13</v>
      </c>
      <c r="B54" s="13">
        <v>93</v>
      </c>
      <c r="C54" s="13">
        <v>105.9</v>
      </c>
      <c r="D54" s="13">
        <v>66.3</v>
      </c>
      <c r="E54" s="13">
        <f>U54-D54-C54-B54</f>
        <v>158.69999999999996</v>
      </c>
      <c r="F54" s="13">
        <f>230-G54</f>
        <v>117.2</v>
      </c>
      <c r="G54" s="13">
        <v>112.8</v>
      </c>
      <c r="H54" s="13">
        <v>109.1</v>
      </c>
      <c r="I54" s="13">
        <f>V54-F54-G54-H54</f>
        <v>127.9</v>
      </c>
      <c r="J54" s="13">
        <f>220.5-K54</f>
        <v>79</v>
      </c>
      <c r="K54" s="13">
        <v>141.5</v>
      </c>
      <c r="L54" s="13">
        <v>98.4</v>
      </c>
      <c r="M54" s="62">
        <f t="shared" si="58"/>
        <v>113.93399999999998</v>
      </c>
      <c r="N54" s="62">
        <f t="shared" si="58"/>
        <v>110.37266999999999</v>
      </c>
      <c r="O54" s="62">
        <f t="shared" si="58"/>
        <v>118.37270085</v>
      </c>
      <c r="P54" s="62">
        <f t="shared" si="58"/>
        <v>112.47523956674999</v>
      </c>
      <c r="Q54" s="62">
        <f t="shared" si="58"/>
        <v>116.06442565627124</v>
      </c>
      <c r="T54" s="13">
        <v>336.2</v>
      </c>
      <c r="U54" s="13">
        <v>423.9</v>
      </c>
      <c r="V54" s="13">
        <v>467</v>
      </c>
      <c r="W54" s="62">
        <f>SUM(J54:M54)</f>
        <v>432.83399999999995</v>
      </c>
      <c r="X54" s="62">
        <f>SUM(N54:Q54)</f>
        <v>457.28503607302122</v>
      </c>
      <c r="Y54" s="62">
        <f>X54*1.03</f>
        <v>471.00358715521185</v>
      </c>
      <c r="Z54" s="62">
        <f>Y54*1.05</f>
        <v>494.55376651297246</v>
      </c>
      <c r="AA54" s="62">
        <f t="shared" ref="AA54:AG54" si="60">Z54*1.05</f>
        <v>519.28145483862113</v>
      </c>
      <c r="AB54" s="62">
        <f t="shared" si="60"/>
        <v>545.24552758055222</v>
      </c>
      <c r="AC54" s="62">
        <f t="shared" si="60"/>
        <v>572.50780395957986</v>
      </c>
      <c r="AD54" s="62">
        <f t="shared" si="60"/>
        <v>601.13319415755893</v>
      </c>
      <c r="AE54" s="62">
        <f t="shared" si="60"/>
        <v>631.18985386543693</v>
      </c>
      <c r="AF54" s="62">
        <f t="shared" si="60"/>
        <v>662.74934655870879</v>
      </c>
      <c r="AG54" s="62">
        <f t="shared" si="60"/>
        <v>695.88681388664429</v>
      </c>
    </row>
    <row r="55" spans="1:33">
      <c r="A55" s="4" t="s">
        <v>116</v>
      </c>
      <c r="B55" s="13">
        <f>B53+B54</f>
        <v>166.2</v>
      </c>
      <c r="C55" s="13">
        <f t="shared" ref="C55:T55" si="61">C53+C54</f>
        <v>195.60000000000002</v>
      </c>
      <c r="D55" s="13">
        <f t="shared" si="61"/>
        <v>135</v>
      </c>
      <c r="E55" s="13">
        <f t="shared" si="61"/>
        <v>284.79999999999995</v>
      </c>
      <c r="F55" s="13">
        <f t="shared" si="61"/>
        <v>420.9</v>
      </c>
      <c r="G55" s="13">
        <f t="shared" si="61"/>
        <v>187.1</v>
      </c>
      <c r="H55" s="13">
        <f t="shared" si="61"/>
        <v>188.3</v>
      </c>
      <c r="I55" s="13">
        <f t="shared" si="61"/>
        <v>210.8</v>
      </c>
      <c r="J55" s="13">
        <f t="shared" si="61"/>
        <v>148</v>
      </c>
      <c r="K55" s="13">
        <f t="shared" si="61"/>
        <v>235.4</v>
      </c>
      <c r="L55" s="62">
        <f t="shared" si="61"/>
        <v>164.5</v>
      </c>
      <c r="M55" s="62">
        <f t="shared" si="61"/>
        <v>193.46850000000001</v>
      </c>
      <c r="N55" s="62">
        <f t="shared" si="61"/>
        <v>189.04896749999997</v>
      </c>
      <c r="O55" s="62">
        <f t="shared" si="61"/>
        <v>199.51645421250001</v>
      </c>
      <c r="P55" s="62">
        <f t="shared" si="61"/>
        <v>190.36615003668749</v>
      </c>
      <c r="Q55" s="62">
        <f t="shared" si="61"/>
        <v>196.9620182960428</v>
      </c>
      <c r="T55" s="13">
        <f t="shared" si="61"/>
        <v>1518.8</v>
      </c>
      <c r="U55" s="13">
        <f>U53+U54</f>
        <v>781.59999999999991</v>
      </c>
      <c r="V55" s="62">
        <f t="shared" ref="V55:AG55" si="62">V53+V54</f>
        <v>1007.1</v>
      </c>
      <c r="W55" s="62">
        <f t="shared" si="62"/>
        <v>741.36849999999993</v>
      </c>
      <c r="X55" s="62">
        <f t="shared" si="62"/>
        <v>775.89359004523033</v>
      </c>
      <c r="Y55" s="62">
        <f t="shared" si="62"/>
        <v>799.17039774658724</v>
      </c>
      <c r="Z55" s="62">
        <f t="shared" si="62"/>
        <v>835.84724952800286</v>
      </c>
      <c r="AA55" s="62">
        <f t="shared" si="62"/>
        <v>874.2266771742527</v>
      </c>
      <c r="AB55" s="62">
        <f t="shared" si="62"/>
        <v>914.38855880960909</v>
      </c>
      <c r="AC55" s="62">
        <f t="shared" si="62"/>
        <v>956.41655643779904</v>
      </c>
      <c r="AD55" s="62">
        <f t="shared" si="62"/>
        <v>1000.398296734907</v>
      </c>
      <c r="AE55" s="62">
        <f t="shared" si="62"/>
        <v>1046.4255605458789</v>
      </c>
      <c r="AF55" s="62">
        <f t="shared" si="62"/>
        <v>1094.5944815063685</v>
      </c>
      <c r="AG55" s="62">
        <f t="shared" si="62"/>
        <v>1145.0057542322104</v>
      </c>
    </row>
    <row r="56" spans="1:33" s="67" customFormat="1">
      <c r="A56" s="61" t="s">
        <v>117</v>
      </c>
      <c r="B56" s="67">
        <f>B50-B55</f>
        <v>166.7000000000001</v>
      </c>
      <c r="C56" s="67">
        <f t="shared" ref="C56:T56" si="63">C50-C55</f>
        <v>140.5</v>
      </c>
      <c r="D56" s="67">
        <f t="shared" si="63"/>
        <v>221.10000000000002</v>
      </c>
      <c r="E56" s="67">
        <f t="shared" si="63"/>
        <v>65.300000000000068</v>
      </c>
      <c r="F56" s="67">
        <f t="shared" si="63"/>
        <v>-64.800000000000011</v>
      </c>
      <c r="G56" s="67">
        <f t="shared" si="63"/>
        <v>222.20000000000007</v>
      </c>
      <c r="H56" s="67">
        <f t="shared" si="63"/>
        <v>228.70000000000005</v>
      </c>
      <c r="I56" s="67">
        <f t="shared" si="63"/>
        <v>169.80000000000013</v>
      </c>
      <c r="J56" s="67">
        <f t="shared" si="63"/>
        <v>288.00000000000006</v>
      </c>
      <c r="K56" s="67">
        <f t="shared" si="63"/>
        <v>201.79999999999998</v>
      </c>
      <c r="L56" s="68">
        <f t="shared" si="63"/>
        <v>314.3</v>
      </c>
      <c r="M56" s="68">
        <f t="shared" si="63"/>
        <v>271.88325000000003</v>
      </c>
      <c r="N56" s="68">
        <f t="shared" si="63"/>
        <v>297.3584024999999</v>
      </c>
      <c r="O56" s="68">
        <f t="shared" si="63"/>
        <v>309.49684578749998</v>
      </c>
      <c r="P56" s="68">
        <f t="shared" si="63"/>
        <v>371.95684996331238</v>
      </c>
      <c r="Q56" s="68">
        <f t="shared" si="63"/>
        <v>346.01307240395721</v>
      </c>
      <c r="T56" s="67">
        <f t="shared" si="63"/>
        <v>-187.59999999999968</v>
      </c>
      <c r="U56" s="67">
        <f>U50-U55</f>
        <v>593.60000000000014</v>
      </c>
      <c r="V56" s="68">
        <f t="shared" ref="V56:AG56" si="64">V50-V55</f>
        <v>555.9000000000002</v>
      </c>
      <c r="W56" s="68">
        <f t="shared" si="64"/>
        <v>1065.9832500000002</v>
      </c>
      <c r="X56" s="68">
        <f t="shared" si="64"/>
        <v>1324.8251706547694</v>
      </c>
      <c r="Y56" s="68">
        <f t="shared" si="64"/>
        <v>1579.8193400334126</v>
      </c>
      <c r="Z56" s="68">
        <f>Z50-Z55</f>
        <v>1868.8934082883575</v>
      </c>
      <c r="AA56" s="68">
        <f t="shared" si="64"/>
        <v>1822.7356573711647</v>
      </c>
      <c r="AB56" s="68">
        <f t="shared" si="64"/>
        <v>1783.4694325432465</v>
      </c>
      <c r="AC56" s="68">
        <f t="shared" si="64"/>
        <v>1821.5553833048666</v>
      </c>
      <c r="AD56" s="68">
        <f t="shared" si="64"/>
        <v>1863.1854905371697</v>
      </c>
      <c r="AE56" s="68">
        <f t="shared" si="64"/>
        <v>1908.671727566551</v>
      </c>
      <c r="AF56" s="68">
        <f t="shared" si="64"/>
        <v>1958.3525832792939</v>
      </c>
      <c r="AG56" s="68">
        <f t="shared" si="64"/>
        <v>2012.5952664546423</v>
      </c>
    </row>
    <row r="57" spans="1:33">
      <c r="A57" s="4" t="s">
        <v>14</v>
      </c>
      <c r="B57" s="13">
        <v>10</v>
      </c>
      <c r="C57" s="13">
        <v>7.2</v>
      </c>
      <c r="D57" s="13">
        <v>6.4</v>
      </c>
      <c r="E57" s="13">
        <f>U57-D57-C57-B57</f>
        <v>5.0000000000000036</v>
      </c>
      <c r="F57" s="13">
        <f>8.7-G57</f>
        <v>4.6999999999999993</v>
      </c>
      <c r="G57" s="13">
        <v>4</v>
      </c>
      <c r="H57" s="13">
        <v>3.8</v>
      </c>
      <c r="I57" s="13">
        <f>V57-F57-G57-H57</f>
        <v>4.2</v>
      </c>
      <c r="J57" s="13">
        <f>11.1-K57</f>
        <v>4.3</v>
      </c>
      <c r="K57" s="13">
        <v>6.8</v>
      </c>
      <c r="L57" s="13">
        <v>13.3</v>
      </c>
      <c r="M57" s="62">
        <f>0.015*L72</f>
        <v>14.501999999999999</v>
      </c>
      <c r="N57" s="62">
        <f>0.015*M72</f>
        <v>18.55828914611056</v>
      </c>
      <c r="O57" s="62">
        <f>0.015*N72</f>
        <v>21.658121052085011</v>
      </c>
      <c r="P57" s="62">
        <f>0.015*O72</f>
        <v>24.930117118923718</v>
      </c>
      <c r="Q57" s="62">
        <f>0.015*P72</f>
        <v>28.838816873302125</v>
      </c>
      <c r="T57" s="13">
        <v>44.2</v>
      </c>
      <c r="U57" s="13">
        <v>28.6</v>
      </c>
      <c r="V57" s="13">
        <v>16.7</v>
      </c>
      <c r="W57" s="62">
        <f>SUM(J57:M57)</f>
        <v>38.902000000000001</v>
      </c>
      <c r="X57" s="62">
        <f>SUM(N57:Q57)</f>
        <v>93.985344190421415</v>
      </c>
    </row>
    <row r="58" spans="1:33">
      <c r="W58" s="62"/>
      <c r="X58" s="62"/>
    </row>
    <row r="59" spans="1:33">
      <c r="A59" s="4" t="s">
        <v>15</v>
      </c>
      <c r="B59" s="13">
        <v>-8.1999999999999993</v>
      </c>
      <c r="C59" s="13">
        <v>-5.6</v>
      </c>
      <c r="D59" s="13">
        <v>-4.9000000000000004</v>
      </c>
      <c r="E59" s="13">
        <f>U59-D59-C59-B59</f>
        <v>-4.8000000000000025</v>
      </c>
      <c r="F59" s="13">
        <f>-9.3-G59</f>
        <v>-4.6000000000000005</v>
      </c>
      <c r="G59" s="13">
        <v>-4.7</v>
      </c>
      <c r="H59" s="13">
        <v>-4.5999999999999996</v>
      </c>
      <c r="I59" s="13">
        <f>V59-F59-G59-H59</f>
        <v>-4.7000000000000011</v>
      </c>
      <c r="J59" s="13">
        <f>-10.9-K59</f>
        <v>-4.7</v>
      </c>
      <c r="K59" s="13">
        <v>-6.2</v>
      </c>
      <c r="L59" s="13">
        <v>-9.1999999999999993</v>
      </c>
      <c r="M59" s="62">
        <f>L59*1.01</f>
        <v>-9.2919999999999998</v>
      </c>
      <c r="N59" s="62">
        <f>M59*1.01</f>
        <v>-9.3849199999999993</v>
      </c>
      <c r="O59" s="62">
        <f>N59*1.01</f>
        <v>-9.4787691999999986</v>
      </c>
      <c r="P59" s="62">
        <f>O59*1.01</f>
        <v>-9.5735568919999992</v>
      </c>
      <c r="Q59" s="62">
        <f>P59*1.01</f>
        <v>-9.6692924609199995</v>
      </c>
      <c r="T59" s="13">
        <v>-44.2</v>
      </c>
      <c r="U59" s="13">
        <v>-23.5</v>
      </c>
      <c r="V59" s="13">
        <v>-18.600000000000001</v>
      </c>
      <c r="W59" s="62">
        <f>SUM(J59:M59)</f>
        <v>-29.392000000000003</v>
      </c>
      <c r="X59" s="62">
        <f>SUM(N59:Q59)</f>
        <v>-38.106538552919993</v>
      </c>
      <c r="Y59" s="62">
        <f>X59*1</f>
        <v>-38.106538552919993</v>
      </c>
      <c r="Z59" s="62">
        <f t="shared" ref="Z59:AG59" si="65">Y59*1</f>
        <v>-38.106538552919993</v>
      </c>
      <c r="AA59" s="62">
        <f t="shared" si="65"/>
        <v>-38.106538552919993</v>
      </c>
      <c r="AB59" s="62">
        <f t="shared" si="65"/>
        <v>-38.106538552919993</v>
      </c>
      <c r="AC59" s="62">
        <f t="shared" si="65"/>
        <v>-38.106538552919993</v>
      </c>
      <c r="AD59" s="62">
        <f t="shared" si="65"/>
        <v>-38.106538552919993</v>
      </c>
      <c r="AE59" s="62">
        <f t="shared" si="65"/>
        <v>-38.106538552919993</v>
      </c>
      <c r="AF59" s="62">
        <f t="shared" si="65"/>
        <v>-38.106538552919993</v>
      </c>
      <c r="AG59" s="62">
        <f t="shared" si="65"/>
        <v>-38.106538552919993</v>
      </c>
    </row>
    <row r="60" spans="1:33">
      <c r="A60" s="4" t="s">
        <v>18</v>
      </c>
      <c r="B60" s="13">
        <v>8.6999999999999993</v>
      </c>
      <c r="C60" s="13">
        <v>-8.1999999999999993</v>
      </c>
      <c r="D60" s="13">
        <v>-0.1</v>
      </c>
      <c r="E60" s="13">
        <f>U60-D60-C60-B60</f>
        <v>48.899999999999991</v>
      </c>
      <c r="F60" s="13">
        <f>94.5-G60</f>
        <v>97.2</v>
      </c>
      <c r="G60" s="13">
        <f>-2.7</f>
        <v>-2.7</v>
      </c>
      <c r="H60" s="13">
        <v>-23.5</v>
      </c>
      <c r="I60" s="13">
        <f>V60-F60-G60-H60</f>
        <v>-28.799999999999997</v>
      </c>
      <c r="J60" s="13">
        <f>-29-K60</f>
        <v>22.799999999999997</v>
      </c>
      <c r="K60" s="13">
        <f>-51.8</f>
        <v>-51.8</v>
      </c>
      <c r="L60" s="13">
        <v>-5.9</v>
      </c>
      <c r="M60" s="62">
        <f>AVERAGE(I60:L60)</f>
        <v>-15.924999999999999</v>
      </c>
      <c r="N60" s="62">
        <f>AVERAGE(J60:M60)</f>
        <v>-12.706249999999999</v>
      </c>
      <c r="O60" s="62">
        <f>AVERAGE(K60:N60)</f>
        <v>-21.582812499999999</v>
      </c>
      <c r="P60" s="62">
        <f>AVERAGE(L60:O60)</f>
        <v>-14.028515625000001</v>
      </c>
      <c r="Q60" s="62">
        <f>AVERAGE(M60:P60)</f>
        <v>-16.060644531249999</v>
      </c>
      <c r="T60" s="13">
        <v>22.6</v>
      </c>
      <c r="U60" s="13">
        <v>49.3</v>
      </c>
      <c r="V60" s="13">
        <v>42.2</v>
      </c>
      <c r="W60" s="62">
        <f>SUM(J60:M60)</f>
        <v>-50.824999999999996</v>
      </c>
      <c r="X60" s="62">
        <f>SUM(N60:Q60)</f>
        <v>-64.378222656249989</v>
      </c>
      <c r="Y60" s="62">
        <f>AVERAGE(U60:X60)</f>
        <v>-5.9258056640624961</v>
      </c>
      <c r="Z60" s="62">
        <f t="shared" ref="Z60:AG60" si="66">AVERAGE(V60:Y60)</f>
        <v>-19.732257080078121</v>
      </c>
      <c r="AA60" s="62">
        <f t="shared" si="66"/>
        <v>-35.215321350097646</v>
      </c>
      <c r="AB60" s="62">
        <f t="shared" si="66"/>
        <v>-31.312901687622059</v>
      </c>
      <c r="AC60" s="62">
        <f t="shared" si="66"/>
        <v>-23.04657144546508</v>
      </c>
      <c r="AD60" s="62">
        <f t="shared" si="66"/>
        <v>-27.326762890815726</v>
      </c>
      <c r="AE60" s="62">
        <f t="shared" si="66"/>
        <v>-29.225389343500126</v>
      </c>
      <c r="AF60" s="62">
        <f t="shared" si="66"/>
        <v>-27.727906341850748</v>
      </c>
      <c r="AG60" s="62">
        <f t="shared" si="66"/>
        <v>-26.831657505407918</v>
      </c>
    </row>
    <row r="61" spans="1:33">
      <c r="A61" s="4" t="s">
        <v>16</v>
      </c>
      <c r="B61" s="13">
        <v>-5.6</v>
      </c>
      <c r="D61" s="13">
        <v>-3.5</v>
      </c>
      <c r="E61" s="13">
        <f>U61-D61-C61-B61</f>
        <v>0</v>
      </c>
      <c r="G61" s="13">
        <v>-2.2999999999999998</v>
      </c>
      <c r="J61" s="13">
        <v>-1.7</v>
      </c>
      <c r="U61" s="13">
        <v>-9.1</v>
      </c>
      <c r="V61" s="13">
        <v>-2.2999999999999998</v>
      </c>
      <c r="W61" s="62">
        <f>SUM(J61:M61)</f>
        <v>-1.7</v>
      </c>
      <c r="X61" s="62"/>
    </row>
    <row r="62" spans="1:33" s="67" customFormat="1">
      <c r="A62" s="61" t="s">
        <v>118</v>
      </c>
      <c r="B62" s="67">
        <f>B56+B57+B59+B60+B61</f>
        <v>171.60000000000011</v>
      </c>
      <c r="C62" s="67">
        <f t="shared" ref="C62:T62" si="67">C56+C57+C59+C60+C61</f>
        <v>133.9</v>
      </c>
      <c r="D62" s="67">
        <f t="shared" si="67"/>
        <v>219.00000000000003</v>
      </c>
      <c r="E62" s="67">
        <f>E56+E57+E59+E60+E61</f>
        <v>114.40000000000006</v>
      </c>
      <c r="F62" s="67">
        <f t="shared" si="67"/>
        <v>32.5</v>
      </c>
      <c r="G62" s="67">
        <f t="shared" si="67"/>
        <v>216.50000000000009</v>
      </c>
      <c r="H62" s="67">
        <f t="shared" si="67"/>
        <v>204.40000000000006</v>
      </c>
      <c r="I62" s="67">
        <f t="shared" si="67"/>
        <v>140.50000000000011</v>
      </c>
      <c r="J62" s="67">
        <f t="shared" si="67"/>
        <v>308.7000000000001</v>
      </c>
      <c r="K62" s="67">
        <f t="shared" si="67"/>
        <v>150.60000000000002</v>
      </c>
      <c r="L62" s="67">
        <f t="shared" si="67"/>
        <v>312.50000000000006</v>
      </c>
      <c r="M62" s="68">
        <f t="shared" si="67"/>
        <v>261.16825000000006</v>
      </c>
      <c r="N62" s="68">
        <f t="shared" si="67"/>
        <v>293.82552164611042</v>
      </c>
      <c r="O62" s="68">
        <f t="shared" si="67"/>
        <v>300.093385139585</v>
      </c>
      <c r="P62" s="68">
        <f t="shared" si="67"/>
        <v>373.28489456523607</v>
      </c>
      <c r="Q62" s="68">
        <f t="shared" si="67"/>
        <v>349.12195228508932</v>
      </c>
      <c r="T62" s="67">
        <f t="shared" si="67"/>
        <v>-164.99999999999969</v>
      </c>
      <c r="U62" s="67">
        <f>U56+U57+U59+U60+U61</f>
        <v>638.90000000000009</v>
      </c>
      <c r="V62" s="67">
        <f t="shared" ref="V62:AG62" si="68">V56+V57+V59+V60+V61</f>
        <v>593.90000000000032</v>
      </c>
      <c r="W62" s="68">
        <f t="shared" si="68"/>
        <v>1022.9682500000001</v>
      </c>
      <c r="X62" s="68">
        <f t="shared" si="68"/>
        <v>1316.3257536360209</v>
      </c>
      <c r="Y62" s="68">
        <f t="shared" si="68"/>
        <v>1535.7869958164301</v>
      </c>
      <c r="Z62" s="68">
        <f t="shared" si="68"/>
        <v>1811.0546126553593</v>
      </c>
      <c r="AA62" s="68">
        <f t="shared" si="68"/>
        <v>1749.4137974681471</v>
      </c>
      <c r="AB62" s="68">
        <f t="shared" si="68"/>
        <v>1714.0499923027044</v>
      </c>
      <c r="AC62" s="68">
        <f t="shared" si="68"/>
        <v>1760.4022733064814</v>
      </c>
      <c r="AD62" s="68">
        <f t="shared" si="68"/>
        <v>1797.752189093434</v>
      </c>
      <c r="AE62" s="68">
        <f t="shared" si="68"/>
        <v>1841.3397996701308</v>
      </c>
      <c r="AF62" s="68">
        <f t="shared" si="68"/>
        <v>1892.5181383845231</v>
      </c>
      <c r="AG62" s="68">
        <f t="shared" si="68"/>
        <v>1947.6570703963143</v>
      </c>
    </row>
    <row r="63" spans="1:33">
      <c r="A63" s="4" t="s">
        <v>17</v>
      </c>
      <c r="B63" s="13">
        <v>-33.9</v>
      </c>
      <c r="C63" s="13">
        <v>-26.8</v>
      </c>
      <c r="D63" s="13">
        <v>-47.8</v>
      </c>
      <c r="E63" s="13">
        <f>U63-D63-C63-B63</f>
        <v>-15.600000000000001</v>
      </c>
      <c r="F63" s="13">
        <f>-48.1-G63</f>
        <v>-4.2000000000000028</v>
      </c>
      <c r="G63" s="13">
        <v>-43.9</v>
      </c>
      <c r="H63" s="13">
        <v>-41.7</v>
      </c>
      <c r="I63" s="13">
        <f>V63-F63-G63-H63</f>
        <v>-28.299999999999997</v>
      </c>
      <c r="J63" s="13">
        <f>-103.4-K63</f>
        <v>-68.800000000000011</v>
      </c>
      <c r="K63" s="13">
        <v>-34.6</v>
      </c>
      <c r="L63" s="13">
        <v>-73.2</v>
      </c>
      <c r="M63" s="62">
        <f>-0.2*M62</f>
        <v>-52.233650000000011</v>
      </c>
      <c r="N63" s="62">
        <f>-0.2*N62</f>
        <v>-58.765104329222083</v>
      </c>
      <c r="O63" s="62">
        <f>-0.2*O62</f>
        <v>-60.018677027917001</v>
      </c>
      <c r="P63" s="62">
        <f>-0.2*P62</f>
        <v>-74.656978913047212</v>
      </c>
      <c r="Q63" s="62">
        <f>-0.2*Q62</f>
        <v>-69.82439045701787</v>
      </c>
      <c r="T63" s="13">
        <v>60.5</v>
      </c>
      <c r="U63" s="13">
        <v>-124.1</v>
      </c>
      <c r="V63" s="13">
        <v>-118.1</v>
      </c>
      <c r="W63" s="62">
        <f>SUM(J63:M63)</f>
        <v>-228.83365000000003</v>
      </c>
      <c r="X63" s="62">
        <f>SUM(N63:Q63)</f>
        <v>-263.26515072720417</v>
      </c>
      <c r="Y63" s="62">
        <f>-0.2*Y62</f>
        <v>-307.15739916328602</v>
      </c>
      <c r="Z63" s="62">
        <f t="shared" ref="Z63:AG63" si="69">-0.2*Z62</f>
        <v>-362.2109225310719</v>
      </c>
      <c r="AA63" s="62">
        <f t="shared" si="69"/>
        <v>-349.88275949362946</v>
      </c>
      <c r="AB63" s="62">
        <f t="shared" si="69"/>
        <v>-342.8099984605409</v>
      </c>
      <c r="AC63" s="62">
        <f t="shared" si="69"/>
        <v>-352.0804546612963</v>
      </c>
      <c r="AD63" s="62">
        <f t="shared" si="69"/>
        <v>-359.55043781868682</v>
      </c>
      <c r="AE63" s="62">
        <f t="shared" si="69"/>
        <v>-368.26795993402618</v>
      </c>
      <c r="AF63" s="62">
        <f t="shared" si="69"/>
        <v>-378.50362767690467</v>
      </c>
      <c r="AG63" s="62">
        <f t="shared" si="69"/>
        <v>-389.5314140792629</v>
      </c>
    </row>
    <row r="64" spans="1:33" s="67" customFormat="1">
      <c r="A64" s="61" t="s">
        <v>83</v>
      </c>
      <c r="B64" s="67">
        <f t="shared" ref="B64:Q64" si="70">B62+B63</f>
        <v>137.7000000000001</v>
      </c>
      <c r="C64" s="67">
        <f t="shared" si="70"/>
        <v>107.10000000000001</v>
      </c>
      <c r="D64" s="67">
        <f t="shared" si="70"/>
        <v>171.20000000000005</v>
      </c>
      <c r="E64" s="67">
        <f t="shared" si="70"/>
        <v>98.800000000000068</v>
      </c>
      <c r="F64" s="67">
        <f t="shared" si="70"/>
        <v>28.299999999999997</v>
      </c>
      <c r="G64" s="67">
        <f t="shared" si="70"/>
        <v>172.60000000000008</v>
      </c>
      <c r="H64" s="67">
        <f t="shared" si="70"/>
        <v>162.70000000000005</v>
      </c>
      <c r="I64" s="67">
        <f t="shared" si="70"/>
        <v>112.20000000000012</v>
      </c>
      <c r="J64" s="67">
        <f t="shared" si="70"/>
        <v>239.90000000000009</v>
      </c>
      <c r="K64" s="67">
        <f t="shared" si="70"/>
        <v>116.00000000000003</v>
      </c>
      <c r="L64" s="67">
        <f t="shared" si="70"/>
        <v>239.30000000000007</v>
      </c>
      <c r="M64" s="68">
        <f t="shared" si="70"/>
        <v>208.93460000000005</v>
      </c>
      <c r="N64" s="68">
        <f t="shared" si="70"/>
        <v>235.06041731688833</v>
      </c>
      <c r="O64" s="68">
        <f t="shared" si="70"/>
        <v>240.074708111668</v>
      </c>
      <c r="P64" s="68">
        <f t="shared" si="70"/>
        <v>298.62791565218885</v>
      </c>
      <c r="Q64" s="68">
        <f t="shared" si="70"/>
        <v>279.29756182807148</v>
      </c>
      <c r="T64" s="67">
        <f t="shared" ref="T64:Y64" si="71">T62+T63</f>
        <v>-104.49999999999969</v>
      </c>
      <c r="U64" s="67">
        <f t="shared" si="71"/>
        <v>514.80000000000007</v>
      </c>
      <c r="V64" s="68">
        <f t="shared" si="71"/>
        <v>475.8000000000003</v>
      </c>
      <c r="W64" s="68">
        <f t="shared" si="71"/>
        <v>794.13460000000009</v>
      </c>
      <c r="X64" s="68">
        <f t="shared" si="71"/>
        <v>1053.0606029088167</v>
      </c>
      <c r="Y64" s="68">
        <f t="shared" si="71"/>
        <v>1228.6295966531441</v>
      </c>
      <c r="Z64" s="68">
        <f t="shared" ref="Z64:AG64" si="72">Z62+Z63</f>
        <v>1448.8436901242874</v>
      </c>
      <c r="AA64" s="68">
        <f t="shared" si="72"/>
        <v>1399.5310379745176</v>
      </c>
      <c r="AB64" s="68">
        <f t="shared" si="72"/>
        <v>1371.2399938421636</v>
      </c>
      <c r="AC64" s="68">
        <f t="shared" si="72"/>
        <v>1408.3218186451852</v>
      </c>
      <c r="AD64" s="68">
        <f t="shared" si="72"/>
        <v>1438.2017512747473</v>
      </c>
      <c r="AE64" s="68">
        <f t="shared" si="72"/>
        <v>1473.0718397361047</v>
      </c>
      <c r="AF64" s="68">
        <f t="shared" si="72"/>
        <v>1514.0145107076185</v>
      </c>
      <c r="AG64" s="68">
        <f t="shared" si="72"/>
        <v>1558.1256563170514</v>
      </c>
    </row>
    <row r="66" spans="1:33">
      <c r="A66" s="4" t="s">
        <v>19</v>
      </c>
      <c r="B66" s="13">
        <v>43.9</v>
      </c>
      <c r="C66" s="13">
        <v>44.1</v>
      </c>
      <c r="D66" s="13">
        <v>44.4</v>
      </c>
      <c r="E66" s="13">
        <f>U66*4-D66-C66-B66</f>
        <v>44.400000000000013</v>
      </c>
      <c r="F66" s="13">
        <f>44.7*2-G66</f>
        <v>44.600000000000009</v>
      </c>
      <c r="G66" s="13">
        <v>44.8</v>
      </c>
      <c r="H66" s="13">
        <v>44.9</v>
      </c>
      <c r="I66" s="13">
        <f>V66*4-SUM(F66:H66)</f>
        <v>45.299999999999983</v>
      </c>
      <c r="J66" s="13">
        <f>45.3*2-K66</f>
        <v>45.199999999999996</v>
      </c>
      <c r="K66" s="13">
        <v>45.4</v>
      </c>
      <c r="L66" s="13">
        <v>45.5</v>
      </c>
      <c r="M66" s="62">
        <f>0.04*(L67-L66)+L66</f>
        <v>45.628</v>
      </c>
      <c r="N66" s="62">
        <f>0.04*(M67-M66)+M66</f>
        <v>45.762079999999997</v>
      </c>
      <c r="O66" s="62">
        <f>0.04*(N67-N66)+N66</f>
        <v>45.901996799999999</v>
      </c>
      <c r="P66" s="62">
        <f>0.04*(O67-O66)+O66</f>
        <v>46.047516928</v>
      </c>
      <c r="Q66" s="62">
        <f>0.04*(P67-P66)+P66</f>
        <v>46.198416250880001</v>
      </c>
      <c r="T66" s="13">
        <v>43.8</v>
      </c>
      <c r="U66" s="13">
        <v>44.2</v>
      </c>
      <c r="V66" s="13">
        <v>44.9</v>
      </c>
      <c r="W66" s="62">
        <f>AVERAGE(J66:M66)</f>
        <v>45.432000000000002</v>
      </c>
      <c r="X66" s="62">
        <f>AVERAGE(N66:Q66)</f>
        <v>45.97750249472</v>
      </c>
      <c r="Y66" s="62">
        <f>X66+(X66-W66)</f>
        <v>46.523004989439997</v>
      </c>
      <c r="Z66" s="62">
        <f>Y66+0.025*Z67</f>
        <v>47.830504989439994</v>
      </c>
      <c r="AA66" s="62">
        <f t="shared" ref="AA66:AG66" si="73">Z66+0.025*AA67</f>
        <v>49.170754989439992</v>
      </c>
      <c r="AB66" s="62">
        <f t="shared" si="73"/>
        <v>50.543754989439989</v>
      </c>
      <c r="AC66" s="62">
        <f t="shared" si="73"/>
        <v>51.949504989439987</v>
      </c>
      <c r="AD66" s="62">
        <f t="shared" si="73"/>
        <v>53.388004989439985</v>
      </c>
      <c r="AE66" s="62">
        <f t="shared" si="73"/>
        <v>54.859254989439982</v>
      </c>
      <c r="AF66" s="62">
        <f t="shared" si="73"/>
        <v>56.36325498943998</v>
      </c>
      <c r="AG66" s="62">
        <f t="shared" si="73"/>
        <v>57.900004989439978</v>
      </c>
    </row>
    <row r="67" spans="1:33">
      <c r="A67" s="4" t="s">
        <v>20</v>
      </c>
      <c r="B67" s="13">
        <v>44.1</v>
      </c>
      <c r="C67" s="13">
        <v>44.4</v>
      </c>
      <c r="D67" s="13">
        <v>44.6</v>
      </c>
      <c r="E67" s="13">
        <f>U67*4-D67-C67-B67</f>
        <v>45.300000000000004</v>
      </c>
      <c r="F67" s="13">
        <f>46.9*2-G67</f>
        <v>46.5</v>
      </c>
      <c r="G67" s="13">
        <v>47.3</v>
      </c>
      <c r="H67" s="13">
        <v>47.6</v>
      </c>
      <c r="I67" s="13">
        <f>V67*4-SUM(F67:H67)</f>
        <v>47.799999999999983</v>
      </c>
      <c r="J67" s="13">
        <f>47.9*2-K67</f>
        <v>47.699999999999996</v>
      </c>
      <c r="K67" s="13">
        <v>48.1</v>
      </c>
      <c r="L67" s="13">
        <v>48.7</v>
      </c>
      <c r="M67" s="62">
        <f>AVERAGE(L67-K67,K67-J67,J67-I67,I67-H67,H67-G67)+L67</f>
        <v>48.980000000000004</v>
      </c>
      <c r="N67" s="62">
        <f>M67+(M67-L67)</f>
        <v>49.260000000000005</v>
      </c>
      <c r="O67" s="62">
        <f>N67+(N67-M67)</f>
        <v>49.540000000000006</v>
      </c>
      <c r="P67" s="62">
        <f>O67+(O67-N67)</f>
        <v>49.820000000000007</v>
      </c>
      <c r="Q67" s="62">
        <f>P67+(P67-O67)</f>
        <v>50.100000000000009</v>
      </c>
      <c r="T67" s="13">
        <v>43.8</v>
      </c>
      <c r="U67" s="13">
        <v>44.6</v>
      </c>
      <c r="V67" s="13">
        <v>47.3</v>
      </c>
      <c r="W67" s="62">
        <f>AVERAGE(J67:M67)</f>
        <v>48.370000000000005</v>
      </c>
      <c r="X67" s="62">
        <f>AVERAGE(N67:Q67)</f>
        <v>49.680000000000007</v>
      </c>
      <c r="Y67" s="62">
        <f>X67+(X67-W67)</f>
        <v>50.990000000000009</v>
      </c>
      <c r="Z67" s="62">
        <f t="shared" ref="Z67:AG67" si="74">Y67+(Y67-X67)</f>
        <v>52.300000000000011</v>
      </c>
      <c r="AA67" s="62">
        <f t="shared" si="74"/>
        <v>53.610000000000014</v>
      </c>
      <c r="AB67" s="62">
        <f t="shared" si="74"/>
        <v>54.920000000000016</v>
      </c>
      <c r="AC67" s="62">
        <f t="shared" si="74"/>
        <v>56.230000000000018</v>
      </c>
      <c r="AD67" s="62">
        <f t="shared" si="74"/>
        <v>57.54000000000002</v>
      </c>
      <c r="AE67" s="62">
        <f t="shared" si="74"/>
        <v>58.850000000000023</v>
      </c>
      <c r="AF67" s="62">
        <f t="shared" si="74"/>
        <v>60.160000000000025</v>
      </c>
      <c r="AG67" s="62">
        <f t="shared" si="74"/>
        <v>61.470000000000027</v>
      </c>
    </row>
    <row r="68" spans="1:33">
      <c r="A68" s="4" t="s">
        <v>119</v>
      </c>
      <c r="B68" s="73">
        <f t="shared" ref="B68:L68" si="75">B64/B66</f>
        <v>3.1366742596810959</v>
      </c>
      <c r="C68" s="73">
        <f t="shared" si="75"/>
        <v>2.4285714285714288</v>
      </c>
      <c r="D68" s="73">
        <f t="shared" si="75"/>
        <v>3.8558558558558569</v>
      </c>
      <c r="E68" s="73">
        <f t="shared" si="75"/>
        <v>2.225225225225226</v>
      </c>
      <c r="F68" s="73">
        <f t="shared" si="75"/>
        <v>0.63452914798206261</v>
      </c>
      <c r="G68" s="73">
        <f t="shared" si="75"/>
        <v>3.8526785714285734</v>
      </c>
      <c r="H68" s="73">
        <f t="shared" si="75"/>
        <v>3.6236080178173729</v>
      </c>
      <c r="I68" s="73">
        <f t="shared" si="75"/>
        <v>2.4768211920529835</v>
      </c>
      <c r="J68" s="73">
        <f t="shared" si="75"/>
        <v>5.3075221238938077</v>
      </c>
      <c r="K68" s="73">
        <f t="shared" si="75"/>
        <v>2.5550660792951549</v>
      </c>
      <c r="L68" s="73">
        <f t="shared" si="75"/>
        <v>5.2593406593406611</v>
      </c>
      <c r="M68" s="73">
        <f>M64/M66</f>
        <v>4.5790874024721671</v>
      </c>
      <c r="N68" s="73">
        <f>N64/N66</f>
        <v>5.1365763382452974</v>
      </c>
      <c r="O68" s="73">
        <f>O64/O66</f>
        <v>5.2301582686631187</v>
      </c>
      <c r="P68" s="73">
        <f>P64/P66</f>
        <v>6.4852121368264894</v>
      </c>
      <c r="Q68" s="73">
        <f>Q64/Q66</f>
        <v>6.045609016364307</v>
      </c>
      <c r="R68" s="73"/>
      <c r="T68" s="73">
        <f>T64/T66</f>
        <v>-2.3858447488584407</v>
      </c>
      <c r="U68" s="73">
        <f>U64/U66</f>
        <v>11.647058823529413</v>
      </c>
      <c r="V68" s="73">
        <f>V64/V66</f>
        <v>10.59688195991092</v>
      </c>
      <c r="W68" s="73">
        <f>W64/W66</f>
        <v>17.479631097024125</v>
      </c>
      <c r="X68" s="73">
        <f>X64/X66</f>
        <v>22.903823517376761</v>
      </c>
      <c r="Y68" s="73">
        <f t="shared" ref="Y68:AG68" si="76">Y64/Y66</f>
        <v>26.409076475864445</v>
      </c>
      <c r="Z68" s="73">
        <f t="shared" si="76"/>
        <v>30.29120621754177</v>
      </c>
      <c r="AA68" s="73">
        <f t="shared" si="76"/>
        <v>28.462671323128628</v>
      </c>
      <c r="AB68" s="73">
        <f t="shared" si="76"/>
        <v>27.129761018520568</v>
      </c>
      <c r="AC68" s="73">
        <f t="shared" si="76"/>
        <v>27.109436729598507</v>
      </c>
      <c r="AD68" s="73">
        <f t="shared" si="76"/>
        <v>26.93866818134935</v>
      </c>
      <c r="AE68" s="73">
        <f t="shared" si="76"/>
        <v>26.851838217993674</v>
      </c>
      <c r="AF68" s="73">
        <f t="shared" si="76"/>
        <v>26.861729525579722</v>
      </c>
      <c r="AG68" s="73">
        <f t="shared" si="76"/>
        <v>26.91063077803237</v>
      </c>
    </row>
    <row r="69" spans="1:33">
      <c r="A69" s="4" t="s">
        <v>120</v>
      </c>
      <c r="B69" s="73">
        <f t="shared" ref="B69:L69" si="77">B64/B67</f>
        <v>3.1224489795918391</v>
      </c>
      <c r="C69" s="73">
        <f t="shared" si="77"/>
        <v>2.4121621621621623</v>
      </c>
      <c r="D69" s="73">
        <f t="shared" si="77"/>
        <v>3.8385650224215255</v>
      </c>
      <c r="E69" s="73">
        <f t="shared" si="77"/>
        <v>2.1810154525386327</v>
      </c>
      <c r="F69" s="73">
        <f t="shared" si="77"/>
        <v>0.60860215053763433</v>
      </c>
      <c r="G69" s="73">
        <f t="shared" si="77"/>
        <v>3.6490486257928136</v>
      </c>
      <c r="H69" s="73">
        <f t="shared" si="77"/>
        <v>3.418067226890757</v>
      </c>
      <c r="I69" s="73">
        <f t="shared" si="77"/>
        <v>2.3472803347280369</v>
      </c>
      <c r="J69" s="73">
        <f t="shared" si="77"/>
        <v>5.0293501048218054</v>
      </c>
      <c r="K69" s="73">
        <f t="shared" si="77"/>
        <v>2.4116424116424122</v>
      </c>
      <c r="L69" s="73">
        <f t="shared" si="77"/>
        <v>4.9137577002053403</v>
      </c>
      <c r="M69" s="73">
        <f>M64/M67</f>
        <v>4.2657125357288699</v>
      </c>
      <c r="N69" s="73">
        <f>N64/N67</f>
        <v>4.7718314518247729</v>
      </c>
      <c r="O69" s="73">
        <f>O64/O67</f>
        <v>4.846078080574646</v>
      </c>
      <c r="P69" s="73">
        <f>P64/P67</f>
        <v>5.9941372069889365</v>
      </c>
      <c r="Q69" s="73">
        <f>Q64/Q67</f>
        <v>5.5748016332948387</v>
      </c>
      <c r="R69" s="73"/>
      <c r="T69" s="73">
        <f>T64/T67</f>
        <v>-2.3858447488584407</v>
      </c>
      <c r="U69" s="73">
        <f>U64/U67</f>
        <v>11.542600896860987</v>
      </c>
      <c r="V69" s="73">
        <f>V64/V67</f>
        <v>10.059196617336159</v>
      </c>
      <c r="W69" s="73">
        <f>W64/W67</f>
        <v>16.417916063675833</v>
      </c>
      <c r="X69" s="73">
        <f>X64/X67</f>
        <v>21.196872039227387</v>
      </c>
      <c r="Y69" s="73">
        <f t="shared" ref="Y69:AG69" si="78">Y64/Y67</f>
        <v>24.095501013005372</v>
      </c>
      <c r="Z69" s="73">
        <f t="shared" si="78"/>
        <v>27.702556216525565</v>
      </c>
      <c r="AA69" s="73">
        <f t="shared" si="78"/>
        <v>26.105783211611961</v>
      </c>
      <c r="AB69" s="73">
        <f t="shared" si="78"/>
        <v>24.967953274620598</v>
      </c>
      <c r="AC69" s="73">
        <f t="shared" si="78"/>
        <v>25.045737482574868</v>
      </c>
      <c r="AD69" s="73">
        <f t="shared" si="78"/>
        <v>24.994816671441548</v>
      </c>
      <c r="AE69" s="73">
        <f t="shared" si="78"/>
        <v>25.03095734470865</v>
      </c>
      <c r="AF69" s="73">
        <f t="shared" si="78"/>
        <v>25.166464606177158</v>
      </c>
      <c r="AG69" s="73">
        <f t="shared" si="78"/>
        <v>25.347741277323095</v>
      </c>
    </row>
    <row r="71" spans="1:33" s="124" customFormat="1">
      <c r="A71" s="122" t="s">
        <v>21</v>
      </c>
    </row>
    <row r="72" spans="1:33">
      <c r="A72" s="4" t="s">
        <v>44</v>
      </c>
      <c r="K72" s="10">
        <v>795.2</v>
      </c>
      <c r="L72" s="10">
        <v>966.8</v>
      </c>
      <c r="M72" s="10">
        <f>L72+M161</f>
        <v>1237.2192764073707</v>
      </c>
      <c r="N72" s="10">
        <f>M72+N161</f>
        <v>1443.8747368056675</v>
      </c>
      <c r="O72" s="10">
        <f>N72+O161</f>
        <v>1662.007807928248</v>
      </c>
      <c r="P72" s="10">
        <f>O72+P161</f>
        <v>1922.5877915534752</v>
      </c>
      <c r="Q72" s="10">
        <f>P72+Q161</f>
        <v>2190.8577010307044</v>
      </c>
      <c r="V72" s="10">
        <v>894.8</v>
      </c>
      <c r="W72" s="10">
        <f>M72</f>
        <v>1237.2192764073707</v>
      </c>
      <c r="X72" s="10">
        <f>Q72</f>
        <v>2190.8577010307044</v>
      </c>
      <c r="Y72" s="10">
        <f t="shared" ref="Y72:AG72" si="79">X72+Y161</f>
        <v>3581.909657018562</v>
      </c>
      <c r="Z72" s="10">
        <f t="shared" si="79"/>
        <v>5093.0912007941542</v>
      </c>
      <c r="AA72" s="10">
        <f t="shared" si="79"/>
        <v>6555.2685137723338</v>
      </c>
      <c r="AB72" s="10">
        <f t="shared" si="79"/>
        <v>7989.2002805202737</v>
      </c>
      <c r="AC72" s="10">
        <f t="shared" si="79"/>
        <v>9464.6069303753229</v>
      </c>
      <c r="AD72" s="10">
        <f t="shared" si="79"/>
        <v>10978.618638701591</v>
      </c>
      <c r="AE72" s="10">
        <f t="shared" si="79"/>
        <v>12536.907420951726</v>
      </c>
      <c r="AF72" s="10">
        <f t="shared" si="79"/>
        <v>14146.127954963453</v>
      </c>
      <c r="AG72" s="10">
        <f t="shared" si="79"/>
        <v>15809.377625898858</v>
      </c>
    </row>
    <row r="73" spans="1:33">
      <c r="A73" s="4" t="s">
        <v>45</v>
      </c>
      <c r="K73" s="13">
        <v>1460</v>
      </c>
      <c r="L73" s="10">
        <v>1648.8</v>
      </c>
      <c r="M73" s="10">
        <f>(L73+L78-M147-M146)*M120</f>
        <v>1558.6704</v>
      </c>
      <c r="N73" s="10">
        <f>(M73+M78-N147-N146)*N120</f>
        <v>1571.1397632000001</v>
      </c>
      <c r="O73" s="10">
        <f>(N73+N78-O147-O146)*O120</f>
        <v>1583.7088813056</v>
      </c>
      <c r="P73" s="10">
        <f>(O73+O78-P147-P146)*P120</f>
        <v>1596.3785523560448</v>
      </c>
      <c r="Q73" s="10">
        <f>(P73+P78-Q147-Q146)*Q120</f>
        <v>1609.1495807748931</v>
      </c>
      <c r="V73" s="10">
        <v>1035.9000000000001</v>
      </c>
      <c r="W73" s="10">
        <f t="shared" ref="W73:W89" si="80">M73</f>
        <v>1558.6704</v>
      </c>
      <c r="X73" s="10">
        <f t="shared" ref="X73:X89" si="81">Q73</f>
        <v>1609.1495807748931</v>
      </c>
      <c r="Y73" s="10">
        <f>(X73+X78-Y147-Y146)*Y120</f>
        <v>1660.6423673596896</v>
      </c>
      <c r="Z73" s="10">
        <f t="shared" ref="Z73:AG73" si="82">(Y73+Y78-Z147-Z146)*Z120</f>
        <v>1713.7829231152</v>
      </c>
      <c r="AA73" s="10">
        <f t="shared" si="82"/>
        <v>1768.6239766548865</v>
      </c>
      <c r="AB73" s="10">
        <f t="shared" si="82"/>
        <v>1825.2199439078429</v>
      </c>
      <c r="AC73" s="10">
        <f t="shared" si="82"/>
        <v>1883.6269821128938</v>
      </c>
      <c r="AD73" s="10">
        <f t="shared" si="82"/>
        <v>1943.9030455405064</v>
      </c>
      <c r="AE73" s="10">
        <f t="shared" si="82"/>
        <v>2006.1079429978026</v>
      </c>
      <c r="AF73" s="10">
        <f t="shared" si="82"/>
        <v>2070.3033971737323</v>
      </c>
      <c r="AG73" s="10">
        <f t="shared" si="82"/>
        <v>2136.5531058832917</v>
      </c>
    </row>
    <row r="74" spans="1:33">
      <c r="A74" s="4" t="s">
        <v>61</v>
      </c>
      <c r="K74" s="10">
        <v>173.4</v>
      </c>
      <c r="L74" s="10">
        <v>231.7</v>
      </c>
      <c r="M74" s="10">
        <f>M112*M34/90</f>
        <v>180.97012500000002</v>
      </c>
      <c r="N74" s="10">
        <f>N112*N34/90</f>
        <v>189.15842166666667</v>
      </c>
      <c r="O74" s="10">
        <f>O112*O34/90</f>
        <v>197.94961666666669</v>
      </c>
      <c r="P74" s="10">
        <f>P112*P34/90</f>
        <v>218.68116666666663</v>
      </c>
      <c r="Q74" s="10">
        <f>Q112*Q34/90</f>
        <v>211.15697971666671</v>
      </c>
      <c r="V74" s="10">
        <v>198.7</v>
      </c>
      <c r="W74" s="10">
        <f t="shared" si="80"/>
        <v>180.97012500000002</v>
      </c>
      <c r="X74" s="10">
        <f t="shared" si="81"/>
        <v>211.15697971666671</v>
      </c>
      <c r="Y74" s="10">
        <f>Y112*Y34/360</f>
        <v>55.649324911680836</v>
      </c>
      <c r="Z74" s="10">
        <f t="shared" ref="Z74:AG74" si="83">Z112*Z34/360</f>
        <v>63.269290017666833</v>
      </c>
      <c r="AA74" s="10">
        <f t="shared" si="83"/>
        <v>63.08733948963441</v>
      </c>
      <c r="AB74" s="10">
        <f t="shared" si="83"/>
        <v>63.108290692531568</v>
      </c>
      <c r="AC74" s="10">
        <f t="shared" si="83"/>
        <v>64.982316071078401</v>
      </c>
      <c r="AD74" s="10">
        <f t="shared" si="83"/>
        <v>66.98494829928606</v>
      </c>
      <c r="AE74" s="10">
        <f t="shared" si="83"/>
        <v>69.12563199421551</v>
      </c>
      <c r="AF74" s="10">
        <f t="shared" si="83"/>
        <v>71.414533845345616</v>
      </c>
      <c r="AG74" s="10">
        <f t="shared" si="83"/>
        <v>73.86259904829717</v>
      </c>
    </row>
    <row r="75" spans="1:33">
      <c r="A75" s="4" t="s">
        <v>62</v>
      </c>
      <c r="K75" s="10">
        <v>89.9</v>
      </c>
      <c r="L75" s="10">
        <v>91</v>
      </c>
      <c r="M75" s="10">
        <f>M115*M47/90</f>
        <v>88.845155555555564</v>
      </c>
      <c r="N75" s="10">
        <f>N115*N47/90</f>
        <v>92.980799999999988</v>
      </c>
      <c r="O75" s="10">
        <f>O115*O47/90</f>
        <v>97.301866666666669</v>
      </c>
      <c r="P75" s="10">
        <f>P115*P47/90</f>
        <v>107.37226666666666</v>
      </c>
      <c r="Q75" s="10">
        <f>Q115*Q47/90</f>
        <v>103.54014044444446</v>
      </c>
      <c r="V75" s="10">
        <v>93.8</v>
      </c>
      <c r="W75" s="10">
        <f t="shared" si="80"/>
        <v>88.845155555555564</v>
      </c>
      <c r="X75" s="10">
        <f t="shared" si="81"/>
        <v>103.54014044444446</v>
      </c>
      <c r="Y75" s="10">
        <f>Y115*Y47/360</f>
        <v>120.5803444611111</v>
      </c>
      <c r="Z75" s="10">
        <f t="shared" ref="Z75:AG75" si="84">Z115*Z47/360</f>
        <v>136.97957714745556</v>
      </c>
      <c r="AA75" s="10">
        <f t="shared" si="84"/>
        <v>136.62464439993082</v>
      </c>
      <c r="AB75" s="10">
        <f t="shared" si="84"/>
        <v>136.70664505025752</v>
      </c>
      <c r="AC75" s="10">
        <f t="shared" si="84"/>
        <v>140.76951169565282</v>
      </c>
      <c r="AD75" s="10">
        <f t="shared" si="84"/>
        <v>145.10983797605721</v>
      </c>
      <c r="AE75" s="10">
        <f t="shared" si="84"/>
        <v>149.74794972016605</v>
      </c>
      <c r="AF75" s="10">
        <f t="shared" si="84"/>
        <v>154.70572494065917</v>
      </c>
      <c r="AG75" s="10">
        <f t="shared" si="84"/>
        <v>160.00671508228788</v>
      </c>
    </row>
    <row r="76" spans="1:33">
      <c r="A76" s="4" t="s">
        <v>63</v>
      </c>
      <c r="K76" s="10">
        <v>165.8</v>
      </c>
      <c r="L76" s="10">
        <v>118.1</v>
      </c>
      <c r="M76" s="10">
        <f>M47*M122</f>
        <v>99.950800000000015</v>
      </c>
      <c r="N76" s="10">
        <f>N47*N122</f>
        <v>104.60339999999999</v>
      </c>
      <c r="O76" s="10">
        <f>O47*O122</f>
        <v>109.4646</v>
      </c>
      <c r="P76" s="10">
        <f>P47*P122</f>
        <v>120.79379999999999</v>
      </c>
      <c r="Q76" s="10">
        <f>Q47*Q122</f>
        <v>116.48265800000001</v>
      </c>
      <c r="V76" s="10">
        <v>100.4</v>
      </c>
      <c r="W76" s="10">
        <f t="shared" si="80"/>
        <v>99.950800000000015</v>
      </c>
      <c r="X76" s="10">
        <f t="shared" si="81"/>
        <v>116.48265800000001</v>
      </c>
      <c r="Y76" s="10">
        <f t="shared" ref="Y76:AG76" si="85">Y47*Y122</f>
        <v>131.79934538493069</v>
      </c>
      <c r="Z76" s="10">
        <f t="shared" si="85"/>
        <v>149.72439065275577</v>
      </c>
      <c r="AA76" s="10">
        <f t="shared" si="85"/>
        <v>149.33643435698878</v>
      </c>
      <c r="AB76" s="10">
        <f t="shared" si="85"/>
        <v>149.42606448769126</v>
      </c>
      <c r="AC76" s="10">
        <f t="shared" si="85"/>
        <v>153.8669471758484</v>
      </c>
      <c r="AD76" s="10">
        <f t="shared" si="85"/>
        <v>158.61110481672162</v>
      </c>
      <c r="AE76" s="10">
        <f t="shared" si="85"/>
        <v>163.68075438877821</v>
      </c>
      <c r="AF76" s="10">
        <f t="shared" si="85"/>
        <v>169.09980947231514</v>
      </c>
      <c r="AG76" s="10">
        <f t="shared" si="85"/>
        <v>174.89401277867549</v>
      </c>
    </row>
    <row r="77" spans="1:33">
      <c r="A77" s="4" t="s">
        <v>64</v>
      </c>
      <c r="K77" s="10">
        <f t="shared" ref="K77:Q77" si="86">K72+K73+K74+K75+K76</f>
        <v>2684.3</v>
      </c>
      <c r="L77" s="10">
        <f t="shared" si="86"/>
        <v>3056.3999999999996</v>
      </c>
      <c r="M77" s="10">
        <f t="shared" si="86"/>
        <v>3165.6557569629263</v>
      </c>
      <c r="N77" s="10">
        <f t="shared" si="86"/>
        <v>3401.7571216723336</v>
      </c>
      <c r="O77" s="10">
        <f t="shared" si="86"/>
        <v>3650.4327725671815</v>
      </c>
      <c r="P77" s="10">
        <f t="shared" si="86"/>
        <v>3965.8135772428536</v>
      </c>
      <c r="Q77" s="10">
        <f t="shared" si="86"/>
        <v>4231.1870599667091</v>
      </c>
      <c r="V77" s="10">
        <f>V72+V73+V74+V75+V76</f>
        <v>2323.6000000000004</v>
      </c>
      <c r="W77" s="10">
        <f t="shared" si="80"/>
        <v>3165.6557569629263</v>
      </c>
      <c r="X77" s="10">
        <f t="shared" si="81"/>
        <v>4231.1870599667091</v>
      </c>
      <c r="Y77" s="10">
        <f t="shared" ref="Y77:AG77" si="87">Y72+Y73+Y74+Y75+Y76</f>
        <v>5550.5810391359746</v>
      </c>
      <c r="Z77" s="10">
        <f t="shared" si="87"/>
        <v>7156.8473817272325</v>
      </c>
      <c r="AA77" s="10">
        <f t="shared" si="87"/>
        <v>8672.940908673776</v>
      </c>
      <c r="AB77" s="10">
        <f t="shared" si="87"/>
        <v>10163.661224658596</v>
      </c>
      <c r="AC77" s="10">
        <f t="shared" si="87"/>
        <v>11707.852687430795</v>
      </c>
      <c r="AD77" s="10">
        <f t="shared" si="87"/>
        <v>13293.227575334164</v>
      </c>
      <c r="AE77" s="10">
        <f t="shared" si="87"/>
        <v>14925.569700052689</v>
      </c>
      <c r="AF77" s="10">
        <f t="shared" si="87"/>
        <v>16611.651420395505</v>
      </c>
      <c r="AG77" s="10">
        <f t="shared" si="87"/>
        <v>18354.694058691413</v>
      </c>
    </row>
    <row r="78" spans="1:33">
      <c r="A78" s="4" t="s">
        <v>45</v>
      </c>
      <c r="K78" s="10">
        <v>1641.9</v>
      </c>
      <c r="L78" s="10">
        <v>1443.8</v>
      </c>
      <c r="M78" s="10">
        <f>M73</f>
        <v>1558.6704</v>
      </c>
      <c r="N78" s="10">
        <f>N73</f>
        <v>1571.1397632000001</v>
      </c>
      <c r="O78" s="10">
        <f>O73</f>
        <v>1583.7088813056</v>
      </c>
      <c r="P78" s="10">
        <f>P73</f>
        <v>1596.3785523560448</v>
      </c>
      <c r="Q78" s="10">
        <f>Q73</f>
        <v>1609.1495807748931</v>
      </c>
      <c r="V78" s="10">
        <v>1649.9</v>
      </c>
      <c r="W78" s="10">
        <f t="shared" si="80"/>
        <v>1558.6704</v>
      </c>
      <c r="X78" s="10">
        <f t="shared" si="81"/>
        <v>1609.1495807748931</v>
      </c>
      <c r="Y78" s="10">
        <f t="shared" ref="Y78:AG78" si="88">Y73</f>
        <v>1660.6423673596896</v>
      </c>
      <c r="Z78" s="10">
        <f t="shared" si="88"/>
        <v>1713.7829231152</v>
      </c>
      <c r="AA78" s="10">
        <f t="shared" si="88"/>
        <v>1768.6239766548865</v>
      </c>
      <c r="AB78" s="10">
        <f t="shared" si="88"/>
        <v>1825.2199439078429</v>
      </c>
      <c r="AC78" s="10">
        <f t="shared" si="88"/>
        <v>1883.6269821128938</v>
      </c>
      <c r="AD78" s="10">
        <f t="shared" si="88"/>
        <v>1943.9030455405064</v>
      </c>
      <c r="AE78" s="10">
        <f t="shared" si="88"/>
        <v>2006.1079429978026</v>
      </c>
      <c r="AF78" s="10">
        <f t="shared" si="88"/>
        <v>2070.3033971737323</v>
      </c>
      <c r="AG78" s="10">
        <f t="shared" si="88"/>
        <v>2136.5531058832917</v>
      </c>
    </row>
    <row r="79" spans="1:33">
      <c r="A79" s="4" t="s">
        <v>65</v>
      </c>
      <c r="K79" s="10">
        <v>44.6</v>
      </c>
      <c r="L79" s="10">
        <v>44.5</v>
      </c>
      <c r="M79" s="10">
        <f>L79</f>
        <v>44.5</v>
      </c>
      <c r="N79" s="10">
        <f>M79</f>
        <v>44.5</v>
      </c>
      <c r="O79" s="10">
        <f>N79</f>
        <v>44.5</v>
      </c>
      <c r="P79" s="10">
        <f>O79</f>
        <v>44.5</v>
      </c>
      <c r="Q79" s="10">
        <f>P79</f>
        <v>44.5</v>
      </c>
      <c r="V79" s="10">
        <v>44.6</v>
      </c>
      <c r="W79" s="10">
        <f t="shared" si="80"/>
        <v>44.5</v>
      </c>
      <c r="X79" s="10">
        <f t="shared" si="81"/>
        <v>44.5</v>
      </c>
      <c r="Y79" s="10">
        <f t="shared" ref="Y79:AG79" si="89">X79</f>
        <v>44.5</v>
      </c>
      <c r="Z79" s="10">
        <f t="shared" si="89"/>
        <v>44.5</v>
      </c>
      <c r="AA79" s="10">
        <f t="shared" si="89"/>
        <v>44.5</v>
      </c>
      <c r="AB79" s="10">
        <f t="shared" si="89"/>
        <v>44.5</v>
      </c>
      <c r="AC79" s="10">
        <f t="shared" si="89"/>
        <v>44.5</v>
      </c>
      <c r="AD79" s="10">
        <f t="shared" si="89"/>
        <v>44.5</v>
      </c>
      <c r="AE79" s="10">
        <f t="shared" si="89"/>
        <v>44.5</v>
      </c>
      <c r="AF79" s="10">
        <f t="shared" si="89"/>
        <v>44.5</v>
      </c>
      <c r="AG79" s="10">
        <f t="shared" si="89"/>
        <v>44.5</v>
      </c>
    </row>
    <row r="80" spans="1:33" hidden="1" outlineLevel="1">
      <c r="A80" s="4" t="s">
        <v>46</v>
      </c>
      <c r="I80" s="10">
        <v>132.6</v>
      </c>
      <c r="J80" s="10"/>
      <c r="K80" s="13">
        <v>134</v>
      </c>
      <c r="L80" s="10">
        <v>136.30000000000001</v>
      </c>
      <c r="M80" s="10"/>
      <c r="N80" s="10"/>
      <c r="O80" s="10"/>
      <c r="P80" s="10"/>
      <c r="Q80" s="10"/>
      <c r="V80" s="10"/>
      <c r="W80" s="10">
        <f t="shared" si="80"/>
        <v>0</v>
      </c>
      <c r="X80" s="10">
        <f t="shared" si="81"/>
        <v>0</v>
      </c>
      <c r="Y80" s="10"/>
    </row>
    <row r="81" spans="1:33" hidden="1" outlineLevel="1">
      <c r="A81" s="4" t="s">
        <v>47</v>
      </c>
      <c r="I81" s="10">
        <v>612.70000000000005</v>
      </c>
      <c r="J81" s="10"/>
      <c r="K81" s="13">
        <v>619.20000000000005</v>
      </c>
      <c r="L81" s="10">
        <v>630.79999999999995</v>
      </c>
      <c r="M81" s="10"/>
      <c r="N81" s="10"/>
      <c r="O81" s="10"/>
      <c r="P81" s="10"/>
      <c r="Q81" s="10"/>
      <c r="V81" s="10"/>
      <c r="W81" s="10">
        <f t="shared" si="80"/>
        <v>0</v>
      </c>
      <c r="X81" s="10">
        <f t="shared" si="81"/>
        <v>0</v>
      </c>
      <c r="Y81" s="10"/>
    </row>
    <row r="82" spans="1:33" hidden="1" outlineLevel="1">
      <c r="A82" s="4" t="s">
        <v>48</v>
      </c>
      <c r="I82" s="10">
        <v>55.1</v>
      </c>
      <c r="J82" s="10"/>
      <c r="K82" s="10">
        <v>76.599999999999994</v>
      </c>
      <c r="L82" s="10">
        <v>94.1</v>
      </c>
      <c r="M82" s="10"/>
      <c r="N82" s="10"/>
      <c r="O82" s="10"/>
      <c r="P82" s="10"/>
      <c r="Q82" s="10"/>
      <c r="V82" s="10"/>
      <c r="W82" s="10">
        <f t="shared" si="80"/>
        <v>0</v>
      </c>
      <c r="X82" s="10">
        <f t="shared" si="81"/>
        <v>0</v>
      </c>
      <c r="Y82" s="10"/>
    </row>
    <row r="83" spans="1:33" hidden="1" outlineLevel="1">
      <c r="A83" s="4" t="s">
        <v>49</v>
      </c>
      <c r="I83" s="10">
        <v>322.89999999999998</v>
      </c>
      <c r="J83" s="10"/>
      <c r="K83" s="10">
        <v>325.89999999999998</v>
      </c>
      <c r="L83" s="10">
        <v>356.2</v>
      </c>
      <c r="M83" s="10"/>
      <c r="N83" s="10"/>
      <c r="O83" s="10"/>
      <c r="P83" s="10"/>
      <c r="Q83" s="10"/>
      <c r="V83" s="10"/>
      <c r="W83" s="10">
        <f t="shared" si="80"/>
        <v>0</v>
      </c>
      <c r="X83" s="10">
        <f t="shared" si="81"/>
        <v>0</v>
      </c>
      <c r="Y83" s="10"/>
    </row>
    <row r="84" spans="1:33" hidden="1" outlineLevel="1">
      <c r="A84" s="4" t="s">
        <v>50</v>
      </c>
      <c r="I84" s="10">
        <f>I80+I81+I82+I83</f>
        <v>1123.3000000000002</v>
      </c>
      <c r="J84" s="10"/>
      <c r="K84" s="10">
        <f>K80+K81+K82+K83</f>
        <v>1155.7</v>
      </c>
      <c r="L84" s="10">
        <f>L80+L81+L82+L83</f>
        <v>1217.3999999999999</v>
      </c>
      <c r="M84" s="10">
        <f>L84+25</f>
        <v>1242.3999999999999</v>
      </c>
      <c r="N84" s="10">
        <f>M84+25</f>
        <v>1267.3999999999999</v>
      </c>
      <c r="O84" s="10">
        <f>N84+25</f>
        <v>1292.3999999999999</v>
      </c>
      <c r="P84" s="10">
        <f>O84+25</f>
        <v>1317.3999999999999</v>
      </c>
      <c r="Q84" s="10">
        <f>P84+25</f>
        <v>1342.3999999999999</v>
      </c>
      <c r="V84" s="10"/>
      <c r="W84" s="10">
        <f t="shared" si="80"/>
        <v>1242.3999999999999</v>
      </c>
      <c r="X84" s="10">
        <f t="shared" si="81"/>
        <v>1342.3999999999999</v>
      </c>
      <c r="Y84" s="10">
        <f>X84+100</f>
        <v>1442.3999999999999</v>
      </c>
      <c r="Z84" s="10">
        <f t="shared" ref="Z84:AG84" si="90">Y84+100</f>
        <v>1542.3999999999999</v>
      </c>
      <c r="AA84" s="10">
        <f t="shared" si="90"/>
        <v>1642.3999999999999</v>
      </c>
      <c r="AB84" s="10">
        <f t="shared" si="90"/>
        <v>1742.3999999999999</v>
      </c>
      <c r="AC84" s="10">
        <f t="shared" si="90"/>
        <v>1842.3999999999999</v>
      </c>
      <c r="AD84" s="10">
        <f t="shared" si="90"/>
        <v>1942.3999999999999</v>
      </c>
      <c r="AE84" s="10">
        <f t="shared" si="90"/>
        <v>2042.3999999999999</v>
      </c>
      <c r="AF84" s="10">
        <f t="shared" si="90"/>
        <v>2142.3999999999996</v>
      </c>
      <c r="AG84" s="10">
        <f t="shared" si="90"/>
        <v>2242.3999999999996</v>
      </c>
    </row>
    <row r="85" spans="1:33" hidden="1" outlineLevel="1">
      <c r="A85" s="4" t="s">
        <v>51</v>
      </c>
      <c r="I85" s="10">
        <v>-342.4</v>
      </c>
      <c r="J85" s="10"/>
      <c r="K85" s="10">
        <v>-364.3</v>
      </c>
      <c r="L85" s="10">
        <v>-376.6</v>
      </c>
      <c r="M85" s="10">
        <f>L85+M113*M84</f>
        <v>-389.15258748151803</v>
      </c>
      <c r="N85" s="10">
        <f>M85+N113*N84</f>
        <v>-401.95776244455402</v>
      </c>
      <c r="O85" s="10">
        <f>N85+O113*O84</f>
        <v>-415.01552488910801</v>
      </c>
      <c r="P85" s="10">
        <f>O85+P113*P84</f>
        <v>-428.32587481517999</v>
      </c>
      <c r="Q85" s="10">
        <f>P85+Q113*Q84</f>
        <v>-441.88881222276996</v>
      </c>
      <c r="V85" s="10"/>
      <c r="W85" s="10">
        <f t="shared" si="80"/>
        <v>-389.15258748151803</v>
      </c>
      <c r="X85" s="10">
        <f t="shared" si="81"/>
        <v>-441.88881222276996</v>
      </c>
      <c r="Y85" s="10">
        <f>X85+Y113*Y84</f>
        <v>-499.58481222276998</v>
      </c>
      <c r="Z85" s="10">
        <f t="shared" ref="Z85:AG85" si="91">Y85+Z113*Z84</f>
        <v>-561.28081222277001</v>
      </c>
      <c r="AA85" s="10">
        <f t="shared" si="91"/>
        <v>-626.97681222277004</v>
      </c>
      <c r="AB85" s="10">
        <f t="shared" si="91"/>
        <v>-696.67281222277006</v>
      </c>
      <c r="AC85" s="10">
        <f t="shared" si="91"/>
        <v>-770.36881222277009</v>
      </c>
      <c r="AD85" s="10">
        <f t="shared" si="91"/>
        <v>-848.06481222277012</v>
      </c>
      <c r="AE85" s="10">
        <f t="shared" si="91"/>
        <v>-929.76081222277014</v>
      </c>
      <c r="AF85" s="10">
        <f t="shared" si="91"/>
        <v>-1015.4568122227702</v>
      </c>
      <c r="AG85" s="10">
        <f t="shared" si="91"/>
        <v>-1105.1528122227701</v>
      </c>
    </row>
    <row r="86" spans="1:33" collapsed="1">
      <c r="A86" s="4" t="s">
        <v>52</v>
      </c>
      <c r="I86" s="10">
        <f>I84+I85</f>
        <v>780.9000000000002</v>
      </c>
      <c r="J86" s="10"/>
      <c r="K86" s="10">
        <f t="shared" ref="K86:Q86" si="92">K84+K85</f>
        <v>791.40000000000009</v>
      </c>
      <c r="L86" s="10">
        <f t="shared" si="92"/>
        <v>840.79999999999984</v>
      </c>
      <c r="M86" s="10">
        <f t="shared" si="92"/>
        <v>853.24741251848184</v>
      </c>
      <c r="N86" s="10">
        <f t="shared" si="92"/>
        <v>865.4422375554459</v>
      </c>
      <c r="O86" s="10">
        <f t="shared" si="92"/>
        <v>877.3844751108918</v>
      </c>
      <c r="P86" s="10">
        <f t="shared" si="92"/>
        <v>889.07412518481988</v>
      </c>
      <c r="Q86" s="10">
        <f t="shared" si="92"/>
        <v>900.51118777722991</v>
      </c>
      <c r="V86" s="10">
        <v>780.9</v>
      </c>
      <c r="W86" s="10">
        <f t="shared" si="80"/>
        <v>853.24741251848184</v>
      </c>
      <c r="X86" s="10">
        <f t="shared" si="81"/>
        <v>900.51118777722991</v>
      </c>
      <c r="Y86" s="10">
        <f t="shared" ref="Y86:AG86" si="93">Y84+Y85</f>
        <v>942.81518777722988</v>
      </c>
      <c r="Z86" s="10">
        <f t="shared" si="93"/>
        <v>981.11918777722985</v>
      </c>
      <c r="AA86" s="10">
        <f t="shared" si="93"/>
        <v>1015.4231877772298</v>
      </c>
      <c r="AB86" s="10">
        <f t="shared" si="93"/>
        <v>1045.7271877772298</v>
      </c>
      <c r="AC86" s="10">
        <f t="shared" si="93"/>
        <v>1072.0311877772297</v>
      </c>
      <c r="AD86" s="10">
        <f t="shared" si="93"/>
        <v>1094.3351877772297</v>
      </c>
      <c r="AE86" s="10">
        <f t="shared" si="93"/>
        <v>1112.6391877772298</v>
      </c>
      <c r="AF86" s="10">
        <f t="shared" si="93"/>
        <v>1126.9431877772295</v>
      </c>
      <c r="AG86" s="10">
        <f t="shared" si="93"/>
        <v>1137.2471877772296</v>
      </c>
    </row>
    <row r="87" spans="1:33">
      <c r="A87" s="4" t="s">
        <v>66</v>
      </c>
      <c r="I87" s="10"/>
      <c r="J87" s="10"/>
      <c r="K87" s="10">
        <v>275.3</v>
      </c>
      <c r="L87" s="10">
        <v>281.3</v>
      </c>
      <c r="M87" s="10">
        <f>L87+(M125*(-M63))</f>
        <v>285.47869200000002</v>
      </c>
      <c r="N87" s="10">
        <f>M87+(N125*(-N63))</f>
        <v>290.17990034633777</v>
      </c>
      <c r="O87" s="10">
        <f>N87+(O125*(-O63))</f>
        <v>294.98139450857116</v>
      </c>
      <c r="P87" s="10">
        <f>O87+(P125*(-P63))</f>
        <v>300.95395282161496</v>
      </c>
      <c r="Q87" s="10">
        <f>P87+(Q125*(-Q63))</f>
        <v>306.53990405817638</v>
      </c>
      <c r="V87" s="10">
        <v>261.89999999999998</v>
      </c>
      <c r="W87" s="10">
        <f t="shared" si="80"/>
        <v>285.47869200000002</v>
      </c>
      <c r="X87" s="10">
        <f t="shared" si="81"/>
        <v>306.53990405817638</v>
      </c>
      <c r="Y87" s="10">
        <f>X87+(Y125*(-Y63))</f>
        <v>331.11249599123926</v>
      </c>
      <c r="Z87" s="10">
        <f t="shared" ref="Z87:AG87" si="94">Y87</f>
        <v>331.11249599123926</v>
      </c>
      <c r="AA87" s="10">
        <f t="shared" si="94"/>
        <v>331.11249599123926</v>
      </c>
      <c r="AB87" s="10">
        <f t="shared" si="94"/>
        <v>331.11249599123926</v>
      </c>
      <c r="AC87" s="10">
        <f t="shared" si="94"/>
        <v>331.11249599123926</v>
      </c>
      <c r="AD87" s="10">
        <f t="shared" si="94"/>
        <v>331.11249599123926</v>
      </c>
      <c r="AE87" s="10">
        <f t="shared" si="94"/>
        <v>331.11249599123926</v>
      </c>
      <c r="AF87" s="10">
        <f t="shared" si="94"/>
        <v>331.11249599123926</v>
      </c>
      <c r="AG87" s="10">
        <f t="shared" si="94"/>
        <v>331.11249599123926</v>
      </c>
    </row>
    <row r="88" spans="1:33">
      <c r="A88" s="4" t="s">
        <v>67</v>
      </c>
      <c r="K88" s="13">
        <v>105.8</v>
      </c>
      <c r="L88" s="10">
        <v>114.8</v>
      </c>
      <c r="M88" s="10">
        <f>M114*M47</f>
        <v>109.94588000000002</v>
      </c>
      <c r="N88" s="10">
        <f>N114*N47</f>
        <v>115.06373999999998</v>
      </c>
      <c r="O88" s="10">
        <f>O114*O47</f>
        <v>120.41105999999999</v>
      </c>
      <c r="P88" s="10">
        <f>P114*P47</f>
        <v>132.87317999999999</v>
      </c>
      <c r="Q88" s="10">
        <f>Q114*Q47</f>
        <v>128.13092380000001</v>
      </c>
      <c r="V88" s="10">
        <v>108.2</v>
      </c>
      <c r="W88" s="10">
        <f t="shared" si="80"/>
        <v>109.94588000000002</v>
      </c>
      <c r="X88" s="10">
        <f t="shared" si="81"/>
        <v>128.13092380000001</v>
      </c>
      <c r="Y88" s="10">
        <f t="shared" ref="Y88:AG88" si="95">Y114*Y47</f>
        <v>153.20796707999997</v>
      </c>
      <c r="Z88" s="10">
        <f t="shared" si="95"/>
        <v>174.04463919912001</v>
      </c>
      <c r="AA88" s="10">
        <f t="shared" si="95"/>
        <v>173.59366582579443</v>
      </c>
      <c r="AB88" s="10">
        <f t="shared" si="95"/>
        <v>173.697854887386</v>
      </c>
      <c r="AC88" s="10">
        <f t="shared" si="95"/>
        <v>178.86008544859416</v>
      </c>
      <c r="AD88" s="10">
        <f t="shared" si="95"/>
        <v>184.37485295781383</v>
      </c>
      <c r="AE88" s="10">
        <f t="shared" si="95"/>
        <v>190.26798317385803</v>
      </c>
      <c r="AF88" s="10">
        <f t="shared" si="95"/>
        <v>196.56727404224927</v>
      </c>
      <c r="AG88" s="10">
        <f t="shared" si="95"/>
        <v>203.30264975161282</v>
      </c>
    </row>
    <row r="89" spans="1:33">
      <c r="A89" s="4" t="s">
        <v>68</v>
      </c>
      <c r="K89" s="10">
        <f t="shared" ref="K89:Q89" si="96">K77+K78+K79+K86+K87+K88</f>
        <v>5543.3000000000011</v>
      </c>
      <c r="L89" s="10">
        <f t="shared" si="96"/>
        <v>5781.6</v>
      </c>
      <c r="M89" s="10">
        <f t="shared" si="96"/>
        <v>6017.4981414814083</v>
      </c>
      <c r="N89" s="10">
        <f t="shared" si="96"/>
        <v>6288.0827627741164</v>
      </c>
      <c r="O89" s="10">
        <f t="shared" si="96"/>
        <v>6571.4185834922446</v>
      </c>
      <c r="P89" s="10">
        <f t="shared" si="96"/>
        <v>6929.5933876053332</v>
      </c>
      <c r="Q89" s="10">
        <f t="shared" si="96"/>
        <v>7220.0186563770085</v>
      </c>
      <c r="V89" s="10">
        <f>V77+V78+V79+V86+V87+V88</f>
        <v>5169.0999999999995</v>
      </c>
      <c r="W89" s="10">
        <f t="shared" si="80"/>
        <v>6017.4981414814083</v>
      </c>
      <c r="X89" s="10">
        <f t="shared" si="81"/>
        <v>7220.0186563770085</v>
      </c>
      <c r="Y89" s="10">
        <f t="shared" ref="Y89:AG89" si="97">Y77+Y78+Y79+Y86+Y87+Y88</f>
        <v>8682.8590573441343</v>
      </c>
      <c r="Z89" s="10">
        <f t="shared" si="97"/>
        <v>10401.406627810024</v>
      </c>
      <c r="AA89" s="10">
        <f t="shared" si="97"/>
        <v>12006.194234922925</v>
      </c>
      <c r="AB89" s="10">
        <f t="shared" si="97"/>
        <v>13583.918707222294</v>
      </c>
      <c r="AC89" s="10">
        <f t="shared" si="97"/>
        <v>15217.983438760752</v>
      </c>
      <c r="AD89" s="10">
        <f t="shared" si="97"/>
        <v>16891.453157600954</v>
      </c>
      <c r="AE89" s="10">
        <f t="shared" si="97"/>
        <v>18610.197309992815</v>
      </c>
      <c r="AF89" s="10">
        <f t="shared" si="97"/>
        <v>20381.077775379952</v>
      </c>
      <c r="AG89" s="10">
        <f t="shared" si="97"/>
        <v>22207.409498094785</v>
      </c>
    </row>
    <row r="90" spans="1:33">
      <c r="L90" s="10"/>
      <c r="V90" s="10"/>
    </row>
    <row r="91" spans="1:33">
      <c r="A91" s="4" t="s">
        <v>69</v>
      </c>
      <c r="I91" s="10"/>
      <c r="K91" s="10">
        <v>196.6</v>
      </c>
      <c r="L91" s="10">
        <v>220.1</v>
      </c>
      <c r="M91" s="10">
        <f>M116*M47/90</f>
        <v>211.00724444444447</v>
      </c>
      <c r="N91" s="10">
        <f>N116*N47/90</f>
        <v>220.82939999999996</v>
      </c>
      <c r="O91" s="10">
        <f>O116*O47/90</f>
        <v>231.09193333333332</v>
      </c>
      <c r="P91" s="10">
        <f>P116*P47/90</f>
        <v>255.0091333333333</v>
      </c>
      <c r="Q91" s="10">
        <f>Q116*Q47/90</f>
        <v>245.90783355555556</v>
      </c>
      <c r="V91" s="10">
        <v>174.6</v>
      </c>
      <c r="W91" s="10">
        <f>M91</f>
        <v>211.00724444444447</v>
      </c>
      <c r="X91" s="10">
        <f>Q91</f>
        <v>245.90783355555556</v>
      </c>
      <c r="Y91" s="10">
        <f>Y116*Y47/360</f>
        <v>276.62549611666668</v>
      </c>
      <c r="Z91" s="10">
        <f t="shared" ref="Z91:AG91" si="98">Z116*Z47/360</f>
        <v>314.24726522063338</v>
      </c>
      <c r="AA91" s="10">
        <f t="shared" si="98"/>
        <v>313.43300774101772</v>
      </c>
      <c r="AB91" s="10">
        <f t="shared" si="98"/>
        <v>313.62112688000252</v>
      </c>
      <c r="AC91" s="10">
        <f t="shared" si="98"/>
        <v>322.94182094885059</v>
      </c>
      <c r="AD91" s="10">
        <f t="shared" si="98"/>
        <v>332.89904006271945</v>
      </c>
      <c r="AE91" s="10">
        <f t="shared" si="98"/>
        <v>343.53941406391033</v>
      </c>
      <c r="AF91" s="10">
        <f t="shared" si="98"/>
        <v>354.91313368739452</v>
      </c>
      <c r="AG91" s="10">
        <f t="shared" si="98"/>
        <v>367.07422871818983</v>
      </c>
    </row>
    <row r="92" spans="1:33">
      <c r="A92" s="4" t="s">
        <v>70</v>
      </c>
      <c r="K92" s="13">
        <v>95.3</v>
      </c>
      <c r="L92" s="10">
        <v>60.1</v>
      </c>
      <c r="M92" s="10">
        <f>M117*M55/90</f>
        <v>75.237750000000005</v>
      </c>
      <c r="N92" s="10">
        <f>N117*N55/90</f>
        <v>73.519042916666649</v>
      </c>
      <c r="O92" s="10">
        <f>O117*O55/90</f>
        <v>77.58973219375001</v>
      </c>
      <c r="P92" s="10">
        <f>P117*P55/90</f>
        <v>74.031280569822911</v>
      </c>
      <c r="Q92" s="10">
        <f>Q117*Q55/90</f>
        <v>76.596340448461092</v>
      </c>
      <c r="V92" s="10">
        <v>102.4</v>
      </c>
      <c r="W92" s="10">
        <f t="shared" ref="W92:W97" si="99">M92</f>
        <v>75.237750000000005</v>
      </c>
      <c r="X92" s="10">
        <f t="shared" ref="X92:X97" si="100">Q92</f>
        <v>76.596340448461092</v>
      </c>
      <c r="Y92" s="10">
        <f>Y117*Y55/360</f>
        <v>79.917039774658733</v>
      </c>
      <c r="Z92" s="10">
        <f t="shared" ref="Z92:AG92" si="101">Z117*Z55/360</f>
        <v>83.584724952800286</v>
      </c>
      <c r="AA92" s="10">
        <f t="shared" si="101"/>
        <v>87.42266771742527</v>
      </c>
      <c r="AB92" s="10">
        <f t="shared" si="101"/>
        <v>91.438855880960915</v>
      </c>
      <c r="AC92" s="10">
        <f t="shared" si="101"/>
        <v>95.641655643779899</v>
      </c>
      <c r="AD92" s="10">
        <f t="shared" si="101"/>
        <v>100.03982967349071</v>
      </c>
      <c r="AE92" s="10">
        <f t="shared" si="101"/>
        <v>104.64255605458789</v>
      </c>
      <c r="AF92" s="10">
        <f t="shared" si="101"/>
        <v>109.45944815063686</v>
      </c>
      <c r="AG92" s="10">
        <f t="shared" si="101"/>
        <v>114.50057542322104</v>
      </c>
    </row>
    <row r="93" spans="1:33">
      <c r="A93" s="4" t="s">
        <v>71</v>
      </c>
      <c r="K93" s="10">
        <v>39.6</v>
      </c>
      <c r="L93" s="10">
        <v>35.700000000000003</v>
      </c>
      <c r="M93" s="10">
        <f>M123*M47</f>
        <v>39.980320000000006</v>
      </c>
      <c r="N93" s="10">
        <f>N123*N47</f>
        <v>41.841359999999995</v>
      </c>
      <c r="O93" s="10">
        <f>O123*O47</f>
        <v>43.78584</v>
      </c>
      <c r="P93" s="10">
        <f>P123*P47</f>
        <v>48.317519999999995</v>
      </c>
      <c r="Q93" s="10">
        <f>Q123*Q47</f>
        <v>46.59306320000001</v>
      </c>
      <c r="V93" s="10">
        <v>28.4</v>
      </c>
      <c r="W93" s="10">
        <f t="shared" si="99"/>
        <v>39.980320000000006</v>
      </c>
      <c r="X93" s="10">
        <f t="shared" si="100"/>
        <v>46.59306320000001</v>
      </c>
      <c r="Y93" s="10">
        <f t="shared" ref="Y93:AG93" si="102">Y123*Y47</f>
        <v>52.719738153972273</v>
      </c>
      <c r="Z93" s="10">
        <f t="shared" si="102"/>
        <v>59.889756261102313</v>
      </c>
      <c r="AA93" s="10">
        <f t="shared" si="102"/>
        <v>59.734573742795519</v>
      </c>
      <c r="AB93" s="10">
        <f t="shared" si="102"/>
        <v>59.770425795076513</v>
      </c>
      <c r="AC93" s="10">
        <f t="shared" si="102"/>
        <v>61.546778870339359</v>
      </c>
      <c r="AD93" s="10">
        <f t="shared" si="102"/>
        <v>63.444441926688647</v>
      </c>
      <c r="AE93" s="10">
        <f t="shared" si="102"/>
        <v>65.472301755511282</v>
      </c>
      <c r="AF93" s="10">
        <f t="shared" si="102"/>
        <v>67.639923788926069</v>
      </c>
      <c r="AG93" s="10">
        <f t="shared" si="102"/>
        <v>69.957605111470201</v>
      </c>
    </row>
    <row r="94" spans="1:33">
      <c r="A94" s="4" t="s">
        <v>72</v>
      </c>
      <c r="K94" s="10">
        <f t="shared" ref="K94:Q94" si="103">K91+K92+K93</f>
        <v>331.5</v>
      </c>
      <c r="L94" s="10">
        <f t="shared" si="103"/>
        <v>315.89999999999998</v>
      </c>
      <c r="M94" s="10">
        <f t="shared" si="103"/>
        <v>326.22531444444451</v>
      </c>
      <c r="N94" s="10">
        <f t="shared" si="103"/>
        <v>336.18980291666662</v>
      </c>
      <c r="O94" s="10">
        <f t="shared" si="103"/>
        <v>352.46750552708335</v>
      </c>
      <c r="P94" s="10">
        <f t="shared" si="103"/>
        <v>377.35793390315621</v>
      </c>
      <c r="Q94" s="10">
        <f t="shared" si="103"/>
        <v>369.09723720401666</v>
      </c>
      <c r="V94" s="10">
        <f>V91+V92+V93</f>
        <v>305.39999999999998</v>
      </c>
      <c r="W94" s="10">
        <f t="shared" si="99"/>
        <v>326.22531444444451</v>
      </c>
      <c r="X94" s="10">
        <f t="shared" si="100"/>
        <v>369.09723720401666</v>
      </c>
      <c r="Y94" s="10">
        <f t="shared" ref="Y94:AG94" si="104">Y91+Y92+Y93</f>
        <v>409.26227404529772</v>
      </c>
      <c r="Z94" s="10">
        <f t="shared" si="104"/>
        <v>457.72174643453599</v>
      </c>
      <c r="AA94" s="10">
        <f t="shared" si="104"/>
        <v>460.59024920123852</v>
      </c>
      <c r="AB94" s="10">
        <f t="shared" si="104"/>
        <v>464.83040855603991</v>
      </c>
      <c r="AC94" s="10">
        <f t="shared" si="104"/>
        <v>480.1302554629699</v>
      </c>
      <c r="AD94" s="10">
        <f t="shared" si="104"/>
        <v>496.38331166289879</v>
      </c>
      <c r="AE94" s="10">
        <f t="shared" si="104"/>
        <v>513.65427187400951</v>
      </c>
      <c r="AF94" s="10">
        <f t="shared" si="104"/>
        <v>532.01250562695736</v>
      </c>
      <c r="AG94" s="10">
        <f t="shared" si="104"/>
        <v>551.53240925288105</v>
      </c>
    </row>
    <row r="95" spans="1:33">
      <c r="A95" s="4" t="s">
        <v>73</v>
      </c>
      <c r="K95" s="10">
        <v>800</v>
      </c>
      <c r="L95" s="10">
        <v>800</v>
      </c>
      <c r="M95" s="13">
        <v>800</v>
      </c>
      <c r="N95" s="13">
        <v>800</v>
      </c>
      <c r="O95" s="13">
        <v>800</v>
      </c>
      <c r="P95" s="13">
        <v>800</v>
      </c>
      <c r="Q95" s="13">
        <v>800</v>
      </c>
      <c r="V95" s="10">
        <v>800</v>
      </c>
      <c r="W95" s="10">
        <f t="shared" si="99"/>
        <v>800</v>
      </c>
      <c r="X95" s="10">
        <f t="shared" si="100"/>
        <v>800</v>
      </c>
      <c r="Y95" s="13">
        <v>800</v>
      </c>
      <c r="Z95" s="13">
        <v>800</v>
      </c>
      <c r="AA95" s="13">
        <v>800</v>
      </c>
      <c r="AB95" s="13">
        <v>800</v>
      </c>
      <c r="AC95" s="13">
        <v>800</v>
      </c>
      <c r="AD95" s="13">
        <v>800</v>
      </c>
      <c r="AE95" s="13">
        <v>800</v>
      </c>
      <c r="AF95" s="13">
        <v>800</v>
      </c>
      <c r="AG95" s="13">
        <v>800</v>
      </c>
    </row>
    <row r="96" spans="1:33">
      <c r="A96" s="4" t="s">
        <v>74</v>
      </c>
      <c r="K96" s="13">
        <v>93.4</v>
      </c>
      <c r="L96" s="10">
        <v>103.5</v>
      </c>
      <c r="M96" s="10">
        <f>M124*M47</f>
        <v>99.950800000000015</v>
      </c>
      <c r="N96" s="10">
        <f>N124*N47</f>
        <v>104.60339999999999</v>
      </c>
      <c r="O96" s="10">
        <f>O124*O47</f>
        <v>109.4646</v>
      </c>
      <c r="P96" s="10">
        <f>P124*P47</f>
        <v>120.79379999999999</v>
      </c>
      <c r="Q96" s="10">
        <f>Q124*Q47</f>
        <v>116.48265800000001</v>
      </c>
      <c r="V96" s="10">
        <v>104.8</v>
      </c>
      <c r="W96" s="10">
        <f t="shared" si="99"/>
        <v>99.950800000000015</v>
      </c>
      <c r="X96" s="10">
        <f t="shared" si="100"/>
        <v>116.48265800000001</v>
      </c>
      <c r="Y96" s="10">
        <f t="shared" ref="Y96:AG96" si="105">Y124*Y47</f>
        <v>131.79934538493069</v>
      </c>
      <c r="Z96" s="10">
        <f t="shared" si="105"/>
        <v>149.72439065275577</v>
      </c>
      <c r="AA96" s="10">
        <f t="shared" si="105"/>
        <v>149.33643435698878</v>
      </c>
      <c r="AB96" s="10">
        <f t="shared" si="105"/>
        <v>149.42606448769126</v>
      </c>
      <c r="AC96" s="10">
        <f t="shared" si="105"/>
        <v>153.8669471758484</v>
      </c>
      <c r="AD96" s="10">
        <f t="shared" si="105"/>
        <v>158.61110481672162</v>
      </c>
      <c r="AE96" s="10">
        <f t="shared" si="105"/>
        <v>163.68075438877821</v>
      </c>
      <c r="AF96" s="10">
        <f t="shared" si="105"/>
        <v>169.09980947231514</v>
      </c>
      <c r="AG96" s="10">
        <f t="shared" si="105"/>
        <v>174.89401277867549</v>
      </c>
    </row>
    <row r="97" spans="1:33">
      <c r="A97" s="4" t="s">
        <v>75</v>
      </c>
      <c r="K97" s="10">
        <f t="shared" ref="K97:Q97" si="106">K94+K95+K96</f>
        <v>1224.9000000000001</v>
      </c>
      <c r="L97" s="10">
        <f t="shared" si="106"/>
        <v>1219.4000000000001</v>
      </c>
      <c r="M97" s="10">
        <f t="shared" si="106"/>
        <v>1226.1761144444445</v>
      </c>
      <c r="N97" s="10">
        <f t="shared" si="106"/>
        <v>1240.7932029166666</v>
      </c>
      <c r="O97" s="10">
        <f t="shared" si="106"/>
        <v>1261.9321055270834</v>
      </c>
      <c r="P97" s="10">
        <f t="shared" si="106"/>
        <v>1298.1517339031561</v>
      </c>
      <c r="Q97" s="10">
        <f t="shared" si="106"/>
        <v>1285.5798952040168</v>
      </c>
      <c r="V97" s="10">
        <f>V94+V95+V96</f>
        <v>1210.2</v>
      </c>
      <c r="W97" s="10">
        <f t="shared" si="99"/>
        <v>1226.1761144444445</v>
      </c>
      <c r="X97" s="10">
        <f t="shared" si="100"/>
        <v>1285.5798952040168</v>
      </c>
      <c r="Y97" s="10">
        <f t="shared" ref="Y97:AG97" si="107">Y94+Y95+Y96</f>
        <v>1341.0616194302283</v>
      </c>
      <c r="Z97" s="10">
        <f t="shared" si="107"/>
        <v>1407.4461370872918</v>
      </c>
      <c r="AA97" s="10">
        <f t="shared" si="107"/>
        <v>1409.9266835582273</v>
      </c>
      <c r="AB97" s="10">
        <f t="shared" si="107"/>
        <v>1414.2564730437311</v>
      </c>
      <c r="AC97" s="10">
        <f t="shared" si="107"/>
        <v>1433.9972026388182</v>
      </c>
      <c r="AD97" s="10">
        <f t="shared" si="107"/>
        <v>1454.9944164796204</v>
      </c>
      <c r="AE97" s="10">
        <f t="shared" si="107"/>
        <v>1477.3350262627878</v>
      </c>
      <c r="AF97" s="10">
        <f t="shared" si="107"/>
        <v>1501.1123150992726</v>
      </c>
      <c r="AG97" s="10">
        <f t="shared" si="107"/>
        <v>1526.4264220315565</v>
      </c>
    </row>
    <row r="98" spans="1:33">
      <c r="L98" s="10"/>
      <c r="V98" s="10"/>
    </row>
    <row r="99" spans="1:33">
      <c r="A99" s="4" t="s">
        <v>82</v>
      </c>
      <c r="L99" s="10"/>
      <c r="V99" s="10"/>
    </row>
    <row r="100" spans="1:33">
      <c r="A100" s="4" t="s">
        <v>76</v>
      </c>
      <c r="K100" s="10">
        <v>0.7</v>
      </c>
      <c r="L100" s="10">
        <v>0.7</v>
      </c>
      <c r="M100" s="10">
        <f>L100</f>
        <v>0.7</v>
      </c>
      <c r="N100" s="10">
        <f>M100</f>
        <v>0.7</v>
      </c>
      <c r="O100" s="10">
        <f>N100</f>
        <v>0.7</v>
      </c>
      <c r="P100" s="10">
        <f>O100</f>
        <v>0.7</v>
      </c>
      <c r="Q100" s="10">
        <f>P100</f>
        <v>0.7</v>
      </c>
      <c r="V100" s="10">
        <v>0.7</v>
      </c>
      <c r="W100" s="10">
        <f t="shared" ref="W100:W105" si="108">M100</f>
        <v>0.7</v>
      </c>
      <c r="X100" s="10">
        <f t="shared" ref="X100:X105" si="109">Q100</f>
        <v>0.7</v>
      </c>
      <c r="Y100" s="10">
        <f t="shared" ref="Y100:AG100" si="110">X100</f>
        <v>0.7</v>
      </c>
      <c r="Z100" s="10">
        <f t="shared" si="110"/>
        <v>0.7</v>
      </c>
      <c r="AA100" s="10">
        <f t="shared" si="110"/>
        <v>0.7</v>
      </c>
      <c r="AB100" s="10">
        <f t="shared" si="110"/>
        <v>0.7</v>
      </c>
      <c r="AC100" s="10">
        <f t="shared" si="110"/>
        <v>0.7</v>
      </c>
      <c r="AD100" s="10">
        <f t="shared" si="110"/>
        <v>0.7</v>
      </c>
      <c r="AE100" s="10">
        <f t="shared" si="110"/>
        <v>0.7</v>
      </c>
      <c r="AF100" s="10">
        <f t="shared" si="110"/>
        <v>0.7</v>
      </c>
      <c r="AG100" s="10">
        <f t="shared" si="110"/>
        <v>0.7</v>
      </c>
    </row>
    <row r="101" spans="1:33">
      <c r="A101" s="4" t="s">
        <v>77</v>
      </c>
      <c r="K101" s="10">
        <v>2291.5</v>
      </c>
      <c r="L101" s="10">
        <v>2314.6</v>
      </c>
      <c r="M101" s="10">
        <f>L101+M131</f>
        <v>2349.5827799999997</v>
      </c>
      <c r="N101" s="10">
        <f>M101+N131</f>
        <v>2386.1939699999998</v>
      </c>
      <c r="O101" s="10">
        <f>N101+O131</f>
        <v>2424.5065799999998</v>
      </c>
      <c r="P101" s="10">
        <f>O101+P131</f>
        <v>2466.7844099999998</v>
      </c>
      <c r="Q101" s="10">
        <f>P101+Q131</f>
        <v>2507.5533402999999</v>
      </c>
      <c r="V101" s="10">
        <v>2245.4</v>
      </c>
      <c r="W101" s="10">
        <f t="shared" si="108"/>
        <v>2349.5827799999997</v>
      </c>
      <c r="X101" s="10">
        <f t="shared" si="109"/>
        <v>2507.5533402999999</v>
      </c>
      <c r="Y101" s="10">
        <f>X101+Y131</f>
        <v>2762.8999521000001</v>
      </c>
      <c r="Z101" s="10">
        <f t="shared" ref="Z101:AG101" si="111">Y101+Z131</f>
        <v>3052.9743507652001</v>
      </c>
      <c r="AA101" s="10">
        <f t="shared" si="111"/>
        <v>3342.297127141524</v>
      </c>
      <c r="AB101" s="10">
        <f t="shared" si="111"/>
        <v>3631.7935519538341</v>
      </c>
      <c r="AC101" s="10">
        <f t="shared" si="111"/>
        <v>3929.8936943681579</v>
      </c>
      <c r="AD101" s="10">
        <f t="shared" si="111"/>
        <v>4237.1851159645139</v>
      </c>
      <c r="AE101" s="10">
        <f t="shared" si="111"/>
        <v>4554.2984212542769</v>
      </c>
      <c r="AF101" s="10">
        <f t="shared" si="111"/>
        <v>4881.9105446580261</v>
      </c>
      <c r="AG101" s="10">
        <f t="shared" si="111"/>
        <v>5220.7482942440474</v>
      </c>
    </row>
    <row r="102" spans="1:33">
      <c r="A102" s="4" t="s">
        <v>78</v>
      </c>
      <c r="K102" s="10">
        <v>-65.5</v>
      </c>
      <c r="L102" s="10">
        <v>-84.1</v>
      </c>
      <c r="M102" s="10">
        <f>-M121*M47+L102</f>
        <v>-99.092619999999997</v>
      </c>
      <c r="N102" s="10">
        <f>-N121*N47+M102</f>
        <v>-114.78313</v>
      </c>
      <c r="O102" s="10">
        <f>-O121*O47+N102</f>
        <v>-131.20282</v>
      </c>
      <c r="P102" s="10">
        <f>-P121*P47+O102</f>
        <v>-149.32189</v>
      </c>
      <c r="Q102" s="10">
        <f>-Q121*Q47+P102</f>
        <v>-166.79428870000001</v>
      </c>
      <c r="V102" s="10">
        <v>-23</v>
      </c>
      <c r="W102" s="10">
        <f t="shared" si="108"/>
        <v>-99.092619999999997</v>
      </c>
      <c r="X102" s="10">
        <f t="shared" si="109"/>
        <v>-166.79428870000001</v>
      </c>
      <c r="Y102" s="10">
        <f t="shared" ref="Y102:AG102" si="112">-Y121*Y47+X102</f>
        <v>-243.39827224000004</v>
      </c>
      <c r="Z102" s="10">
        <f t="shared" si="112"/>
        <v>-330.42059183956007</v>
      </c>
      <c r="AA102" s="10">
        <f t="shared" si="112"/>
        <v>-417.2174247524573</v>
      </c>
      <c r="AB102" s="10">
        <f t="shared" si="112"/>
        <v>-504.06635219615032</v>
      </c>
      <c r="AC102" s="10">
        <f t="shared" si="112"/>
        <v>-593.49639492044741</v>
      </c>
      <c r="AD102" s="10">
        <f t="shared" si="112"/>
        <v>-685.68382139935431</v>
      </c>
      <c r="AE102" s="10">
        <f t="shared" si="112"/>
        <v>-780.81781298628334</v>
      </c>
      <c r="AF102" s="10">
        <f t="shared" si="112"/>
        <v>-879.10145000740795</v>
      </c>
      <c r="AG102" s="10">
        <f t="shared" si="112"/>
        <v>-980.75277488321444</v>
      </c>
    </row>
    <row r="103" spans="1:33">
      <c r="A103" s="4" t="s">
        <v>79</v>
      </c>
      <c r="K103" s="10">
        <v>-2579.1999999999998</v>
      </c>
      <c r="L103" s="10">
        <v>-2579.1999999999998</v>
      </c>
      <c r="M103" s="10">
        <v>-2579.1999999999998</v>
      </c>
      <c r="N103" s="10">
        <v>-2579.1999999999998</v>
      </c>
      <c r="O103" s="10">
        <v>-2579.1999999999998</v>
      </c>
      <c r="P103" s="10">
        <v>-2579.1999999999998</v>
      </c>
      <c r="Q103" s="10">
        <v>-2579.1999999999998</v>
      </c>
      <c r="V103" s="10">
        <v>-2579.1999999999998</v>
      </c>
      <c r="W103" s="10">
        <f t="shared" si="108"/>
        <v>-2579.1999999999998</v>
      </c>
      <c r="X103" s="10">
        <f t="shared" si="109"/>
        <v>-2579.1999999999998</v>
      </c>
      <c r="Y103" s="10">
        <v>-2579.1999999999998</v>
      </c>
      <c r="Z103" s="10">
        <v>-2579.1999999999998</v>
      </c>
      <c r="AA103" s="10">
        <v>-2579.1999999999998</v>
      </c>
      <c r="AB103" s="10">
        <v>-2579.1999999999998</v>
      </c>
      <c r="AC103" s="10">
        <v>-2579.1999999999998</v>
      </c>
      <c r="AD103" s="10">
        <v>-2579.1999999999998</v>
      </c>
      <c r="AE103" s="10">
        <v>-2579.1999999999998</v>
      </c>
      <c r="AF103" s="10">
        <v>-2579.1999999999998</v>
      </c>
      <c r="AG103" s="10">
        <v>-2579.1999999999998</v>
      </c>
    </row>
    <row r="104" spans="1:33">
      <c r="A104" s="4" t="s">
        <v>80</v>
      </c>
      <c r="K104" s="10">
        <v>4670.8999999999996</v>
      </c>
      <c r="L104" s="10">
        <f t="shared" ref="L104:Q104" si="113">K104+L64</f>
        <v>4910.2</v>
      </c>
      <c r="M104" s="10">
        <f t="shared" si="113"/>
        <v>5119.1345999999994</v>
      </c>
      <c r="N104" s="10">
        <f t="shared" si="113"/>
        <v>5354.195017316888</v>
      </c>
      <c r="O104" s="10">
        <f t="shared" si="113"/>
        <v>5594.2697254285558</v>
      </c>
      <c r="P104" s="10">
        <f t="shared" si="113"/>
        <v>5892.8976410807445</v>
      </c>
      <c r="Q104" s="10">
        <f t="shared" si="113"/>
        <v>6172.1952029088161</v>
      </c>
      <c r="V104" s="10">
        <v>4315</v>
      </c>
      <c r="W104" s="10">
        <f t="shared" si="108"/>
        <v>5119.1345999999994</v>
      </c>
      <c r="X104" s="10">
        <f t="shared" si="109"/>
        <v>6172.1952029088161</v>
      </c>
      <c r="Y104" s="10">
        <f t="shared" ref="Y104:AG104" si="114">X104+Y64</f>
        <v>7400.8247995619604</v>
      </c>
      <c r="Z104" s="10">
        <f t="shared" si="114"/>
        <v>8849.668489686248</v>
      </c>
      <c r="AA104" s="10">
        <f t="shared" si="114"/>
        <v>10249.199527660765</v>
      </c>
      <c r="AB104" s="10">
        <f t="shared" si="114"/>
        <v>11620.439521502929</v>
      </c>
      <c r="AC104" s="10">
        <f t="shared" si="114"/>
        <v>13028.761340148114</v>
      </c>
      <c r="AD104" s="10">
        <f t="shared" si="114"/>
        <v>14466.963091422862</v>
      </c>
      <c r="AE104" s="10">
        <f t="shared" si="114"/>
        <v>15940.034931158967</v>
      </c>
      <c r="AF104" s="10">
        <f t="shared" si="114"/>
        <v>17454.049441866584</v>
      </c>
      <c r="AG104" s="10">
        <f t="shared" si="114"/>
        <v>19012.175098183634</v>
      </c>
    </row>
    <row r="105" spans="1:33">
      <c r="A105" s="4" t="s">
        <v>81</v>
      </c>
      <c r="K105" s="10">
        <f t="shared" ref="K105:Q105" si="115">K100+K101+K103+K102+K104</f>
        <v>4318.3999999999996</v>
      </c>
      <c r="L105" s="10">
        <f t="shared" si="115"/>
        <v>4562.2</v>
      </c>
      <c r="M105" s="10">
        <f t="shared" si="115"/>
        <v>4791.1247599999988</v>
      </c>
      <c r="N105" s="10">
        <f t="shared" si="115"/>
        <v>5047.1058573168875</v>
      </c>
      <c r="O105" s="10">
        <f t="shared" si="115"/>
        <v>5309.0734854285556</v>
      </c>
      <c r="P105" s="10">
        <f t="shared" si="115"/>
        <v>5631.8601610807445</v>
      </c>
      <c r="Q105" s="10">
        <f t="shared" si="115"/>
        <v>5934.4542545088161</v>
      </c>
      <c r="V105" s="10">
        <f>V100+V101+V103+V102+V104</f>
        <v>3958.9</v>
      </c>
      <c r="W105" s="10">
        <f t="shared" si="108"/>
        <v>4791.1247599999988</v>
      </c>
      <c r="X105" s="10">
        <f t="shared" si="109"/>
        <v>5934.4542545088161</v>
      </c>
      <c r="Y105" s="10">
        <f t="shared" ref="Y105:AG105" si="116">Y100+Y101+Y103+Y102+Y104</f>
        <v>7341.8264794219604</v>
      </c>
      <c r="Z105" s="10">
        <f t="shared" si="116"/>
        <v>8993.7222486118881</v>
      </c>
      <c r="AA105" s="10">
        <f t="shared" si="116"/>
        <v>10595.779230049831</v>
      </c>
      <c r="AB105" s="10">
        <f t="shared" si="116"/>
        <v>12169.666721260613</v>
      </c>
      <c r="AC105" s="10">
        <f t="shared" si="116"/>
        <v>13786.658639595824</v>
      </c>
      <c r="AD105" s="10">
        <f t="shared" si="116"/>
        <v>15439.964385988022</v>
      </c>
      <c r="AE105" s="10">
        <f t="shared" si="116"/>
        <v>17135.01553942696</v>
      </c>
      <c r="AF105" s="10">
        <f t="shared" si="116"/>
        <v>18878.358536517204</v>
      </c>
      <c r="AG105" s="10">
        <f t="shared" si="116"/>
        <v>20673.670617544467</v>
      </c>
    </row>
    <row r="106" spans="1:33">
      <c r="L106" s="10"/>
      <c r="V106" s="10"/>
    </row>
    <row r="107" spans="1:33">
      <c r="A107" s="4" t="s">
        <v>133</v>
      </c>
      <c r="K107" s="10">
        <f t="shared" ref="K107:Q107" si="117">K105+K97</f>
        <v>5543.2999999999993</v>
      </c>
      <c r="L107" s="10">
        <f t="shared" si="117"/>
        <v>5781.6</v>
      </c>
      <c r="M107" s="10">
        <f t="shared" si="117"/>
        <v>6017.3008744444433</v>
      </c>
      <c r="N107" s="10">
        <f t="shared" si="117"/>
        <v>6287.8990602335543</v>
      </c>
      <c r="O107" s="10">
        <f t="shared" si="117"/>
        <v>6571.0055909556395</v>
      </c>
      <c r="P107" s="10">
        <f t="shared" si="117"/>
        <v>6930.0118949839007</v>
      </c>
      <c r="Q107" s="10">
        <f t="shared" si="117"/>
        <v>7220.0341497128329</v>
      </c>
      <c r="V107" s="10">
        <f>V105+V97</f>
        <v>5169.1000000000004</v>
      </c>
      <c r="W107" s="10">
        <f>W105+W97</f>
        <v>6017.3008744444433</v>
      </c>
      <c r="X107" s="10">
        <f>X105+X97</f>
        <v>7220.0341497128329</v>
      </c>
      <c r="Y107" s="10">
        <f>Y105+Y97</f>
        <v>8682.8880988521887</v>
      </c>
      <c r="Z107" s="10">
        <f t="shared" ref="Z107:AG107" si="118">Z105+Z97</f>
        <v>10401.16838569918</v>
      </c>
      <c r="AA107" s="10">
        <f t="shared" si="118"/>
        <v>12005.705913608059</v>
      </c>
      <c r="AB107" s="10">
        <f t="shared" si="118"/>
        <v>13583.923194304345</v>
      </c>
      <c r="AC107" s="10">
        <f t="shared" si="118"/>
        <v>15220.655842234642</v>
      </c>
      <c r="AD107" s="10">
        <f t="shared" si="118"/>
        <v>16894.958802467641</v>
      </c>
      <c r="AE107" s="10">
        <f t="shared" si="118"/>
        <v>18612.350565689747</v>
      </c>
      <c r="AF107" s="10">
        <f t="shared" si="118"/>
        <v>20379.470851616476</v>
      </c>
      <c r="AG107" s="10">
        <f t="shared" si="118"/>
        <v>22200.097039576023</v>
      </c>
    </row>
    <row r="108" spans="1:33">
      <c r="A108" s="4" t="s">
        <v>134</v>
      </c>
      <c r="K108" s="10">
        <f t="shared" ref="K108:Q108" si="119">K107-K89</f>
        <v>0</v>
      </c>
      <c r="L108" s="10">
        <f t="shared" si="119"/>
        <v>0</v>
      </c>
      <c r="M108" s="10">
        <f t="shared" si="119"/>
        <v>-0.19726703696505865</v>
      </c>
      <c r="N108" s="10">
        <f t="shared" si="119"/>
        <v>-0.18370254056208069</v>
      </c>
      <c r="O108" s="10">
        <f t="shared" si="119"/>
        <v>-0.41299253660508839</v>
      </c>
      <c r="P108" s="10">
        <f t="shared" si="119"/>
        <v>0.4185073785674831</v>
      </c>
      <c r="Q108" s="10">
        <f t="shared" si="119"/>
        <v>1.5493335824430687E-2</v>
      </c>
      <c r="V108" s="10">
        <f t="shared" ref="V108:AG108" si="120">V107-V89</f>
        <v>0</v>
      </c>
      <c r="W108" s="10">
        <f t="shared" si="120"/>
        <v>-0.19726703696505865</v>
      </c>
      <c r="X108" s="10">
        <f t="shared" si="120"/>
        <v>1.5493335824430687E-2</v>
      </c>
      <c r="Y108" s="10">
        <f t="shared" si="120"/>
        <v>2.9041508054433507E-2</v>
      </c>
      <c r="Z108" s="10">
        <f t="shared" si="120"/>
        <v>-0.23824211084320268</v>
      </c>
      <c r="AA108" s="10">
        <f t="shared" si="120"/>
        <v>-0.48832131486597063</v>
      </c>
      <c r="AB108" s="10">
        <f t="shared" si="120"/>
        <v>4.4870820511277998E-3</v>
      </c>
      <c r="AC108" s="10">
        <f t="shared" si="120"/>
        <v>2.6724034738908813</v>
      </c>
      <c r="AD108" s="10">
        <f t="shared" si="120"/>
        <v>3.5056448666873621</v>
      </c>
      <c r="AE108" s="10">
        <f t="shared" si="120"/>
        <v>2.1532556969323196</v>
      </c>
      <c r="AF108" s="10">
        <f t="shared" si="120"/>
        <v>-1.6069237634765159</v>
      </c>
      <c r="AG108" s="10">
        <f t="shared" si="120"/>
        <v>-7.3124585187615594</v>
      </c>
    </row>
    <row r="109" spans="1:33">
      <c r="L109" s="10"/>
      <c r="V109" s="10"/>
    </row>
    <row r="110" spans="1:33">
      <c r="A110" s="61" t="s">
        <v>173</v>
      </c>
      <c r="L110" s="10"/>
      <c r="V110" s="10"/>
    </row>
    <row r="111" spans="1:33">
      <c r="V111" s="10"/>
    </row>
    <row r="112" spans="1:33">
      <c r="A112" s="4" t="s">
        <v>175</v>
      </c>
      <c r="K112" s="10">
        <f>K74/K47*90</f>
        <v>33.424716213321915</v>
      </c>
      <c r="L112" s="10">
        <f>L74/L47*90</f>
        <v>40.412790697674417</v>
      </c>
      <c r="M112" s="13">
        <v>35</v>
      </c>
      <c r="N112" s="13">
        <v>35</v>
      </c>
      <c r="O112" s="13">
        <v>35</v>
      </c>
      <c r="P112" s="13">
        <v>35</v>
      </c>
      <c r="Q112" s="13">
        <v>35</v>
      </c>
      <c r="V112" s="10">
        <f>V74/V47*90</f>
        <v>10.609908039157517</v>
      </c>
      <c r="W112" s="10">
        <f>W74/W47*90</f>
        <v>8.4191556555154321</v>
      </c>
      <c r="X112" s="10">
        <f>X74/X47*90</f>
        <v>8.4211195408097854</v>
      </c>
      <c r="Y112" s="10">
        <f>X112</f>
        <v>8.4211195408097854</v>
      </c>
      <c r="Z112" s="10">
        <f t="shared" ref="Z112:AG112" si="121">Y112</f>
        <v>8.4211195408097854</v>
      </c>
      <c r="AA112" s="10">
        <f t="shared" si="121"/>
        <v>8.4211195408097854</v>
      </c>
      <c r="AB112" s="10">
        <f t="shared" si="121"/>
        <v>8.4211195408097854</v>
      </c>
      <c r="AC112" s="10">
        <f t="shared" si="121"/>
        <v>8.4211195408097854</v>
      </c>
      <c r="AD112" s="10">
        <f t="shared" si="121"/>
        <v>8.4211195408097854</v>
      </c>
      <c r="AE112" s="10">
        <f t="shared" si="121"/>
        <v>8.4211195408097854</v>
      </c>
      <c r="AF112" s="10">
        <f t="shared" si="121"/>
        <v>8.4211195408097854</v>
      </c>
      <c r="AG112" s="10">
        <f t="shared" si="121"/>
        <v>8.4211195408097854</v>
      </c>
    </row>
    <row r="113" spans="1:33">
      <c r="A113" s="4" t="s">
        <v>174</v>
      </c>
      <c r="L113" s="21">
        <f>(L85-K85)/L84</f>
        <v>-1.0103499260719576E-2</v>
      </c>
      <c r="M113" s="74">
        <f>L113</f>
        <v>-1.0103499260719576E-2</v>
      </c>
      <c r="N113" s="74">
        <f>M113</f>
        <v>-1.0103499260719576E-2</v>
      </c>
      <c r="O113" s="74">
        <f>N113</f>
        <v>-1.0103499260719576E-2</v>
      </c>
      <c r="P113" s="74">
        <f>O113</f>
        <v>-1.0103499260719576E-2</v>
      </c>
      <c r="Q113" s="74">
        <f>P113</f>
        <v>-1.0103499260719576E-2</v>
      </c>
      <c r="V113" s="21"/>
      <c r="W113" s="21"/>
      <c r="X113" s="21">
        <f>(X85-W85)/X84</f>
        <v>-3.9285030349561934E-2</v>
      </c>
      <c r="Y113" s="21">
        <v>-0.04</v>
      </c>
      <c r="Z113" s="21">
        <v>-0.04</v>
      </c>
      <c r="AA113" s="21">
        <v>-0.04</v>
      </c>
      <c r="AB113" s="21">
        <v>-0.04</v>
      </c>
      <c r="AC113" s="21">
        <v>-0.04</v>
      </c>
      <c r="AD113" s="21">
        <v>-0.04</v>
      </c>
      <c r="AE113" s="21">
        <v>-0.04</v>
      </c>
      <c r="AF113" s="21">
        <v>-0.04</v>
      </c>
      <c r="AG113" s="21">
        <v>-0.04</v>
      </c>
    </row>
    <row r="114" spans="1:33">
      <c r="A114" s="4" t="s">
        <v>184</v>
      </c>
      <c r="K114" s="21">
        <f>K88/K47</f>
        <v>0.22660098522167488</v>
      </c>
      <c r="L114" s="21">
        <f>L88/L47</f>
        <v>0.22248062015503875</v>
      </c>
      <c r="M114" s="74">
        <v>0.22</v>
      </c>
      <c r="N114" s="74">
        <v>0.22</v>
      </c>
      <c r="O114" s="74">
        <v>0.22</v>
      </c>
      <c r="P114" s="74">
        <v>0.22</v>
      </c>
      <c r="Q114" s="74">
        <v>0.22</v>
      </c>
      <c r="V114" s="21">
        <f>V88/V47</f>
        <v>6.4194601008602775E-2</v>
      </c>
      <c r="W114" s="21">
        <f>W88/W47</f>
        <v>5.6832675645135784E-2</v>
      </c>
      <c r="X114" s="21">
        <f>X88/X47</f>
        <v>5.6777444157739061E-2</v>
      </c>
      <c r="Y114" s="21">
        <v>0.06</v>
      </c>
      <c r="Z114" s="21">
        <v>0.06</v>
      </c>
      <c r="AA114" s="21">
        <v>0.06</v>
      </c>
      <c r="AB114" s="21">
        <v>0.06</v>
      </c>
      <c r="AC114" s="21">
        <v>0.06</v>
      </c>
      <c r="AD114" s="21">
        <v>0.06</v>
      </c>
      <c r="AE114" s="21">
        <v>0.06</v>
      </c>
      <c r="AF114" s="21">
        <v>0.06</v>
      </c>
      <c r="AG114" s="21">
        <v>0.06</v>
      </c>
    </row>
    <row r="115" spans="1:33">
      <c r="A115" s="4" t="s">
        <v>176</v>
      </c>
      <c r="K115" s="10">
        <f>K75/K47*90</f>
        <v>17.329192546583855</v>
      </c>
      <c r="L115" s="10">
        <f>L75/L47*90</f>
        <v>15.872093023255815</v>
      </c>
      <c r="M115" s="13">
        <v>16</v>
      </c>
      <c r="N115" s="13">
        <v>16</v>
      </c>
      <c r="O115" s="13">
        <v>16</v>
      </c>
      <c r="P115" s="13">
        <v>16</v>
      </c>
      <c r="Q115" s="13">
        <v>16</v>
      </c>
      <c r="V115" s="10">
        <f>V75/V47*90</f>
        <v>5.0086027884900615</v>
      </c>
      <c r="W115" s="10">
        <f>W75/W47*360</f>
        <v>16.53314200585768</v>
      </c>
      <c r="X115" s="10">
        <f>X75/X47*360</f>
        <v>16.517074664069547</v>
      </c>
      <c r="Y115" s="10">
        <v>17</v>
      </c>
      <c r="Z115" s="10">
        <v>17</v>
      </c>
      <c r="AA115" s="10">
        <v>17</v>
      </c>
      <c r="AB115" s="10">
        <v>17</v>
      </c>
      <c r="AC115" s="10">
        <v>17</v>
      </c>
      <c r="AD115" s="10">
        <v>17</v>
      </c>
      <c r="AE115" s="10">
        <v>17</v>
      </c>
      <c r="AF115" s="10">
        <v>17</v>
      </c>
      <c r="AG115" s="10">
        <v>17</v>
      </c>
    </row>
    <row r="116" spans="1:33">
      <c r="A116" s="4" t="s">
        <v>177</v>
      </c>
      <c r="K116" s="10">
        <f>K91/K47*90</f>
        <v>37.896765902762901</v>
      </c>
      <c r="L116" s="10">
        <f>L91/L47*90</f>
        <v>38.389534883720927</v>
      </c>
      <c r="M116" s="13">
        <v>38</v>
      </c>
      <c r="N116" s="13">
        <v>38</v>
      </c>
      <c r="O116" s="13">
        <v>38</v>
      </c>
      <c r="P116" s="13">
        <v>38</v>
      </c>
      <c r="Q116" s="13">
        <v>38</v>
      </c>
      <c r="V116" s="10">
        <f>V91/V47*90</f>
        <v>9.323049540195786</v>
      </c>
      <c r="W116" s="10">
        <f>W91/W47*360</f>
        <v>39.266212263911996</v>
      </c>
      <c r="X116" s="10">
        <f>X91/X47*360</f>
        <v>39.228052327165173</v>
      </c>
      <c r="Y116" s="10">
        <v>39</v>
      </c>
      <c r="Z116" s="10">
        <v>39</v>
      </c>
      <c r="AA116" s="10">
        <v>39</v>
      </c>
      <c r="AB116" s="10">
        <v>39</v>
      </c>
      <c r="AC116" s="10">
        <v>39</v>
      </c>
      <c r="AD116" s="10">
        <v>39</v>
      </c>
      <c r="AE116" s="10">
        <v>39</v>
      </c>
      <c r="AF116" s="10">
        <v>39</v>
      </c>
      <c r="AG116" s="10">
        <v>39</v>
      </c>
    </row>
    <row r="117" spans="1:33">
      <c r="A117" s="4" t="s">
        <v>178</v>
      </c>
      <c r="K117" s="10">
        <f>K92/K55*90</f>
        <v>36.435853865760407</v>
      </c>
      <c r="L117" s="10">
        <f>L92/L55*90</f>
        <v>32.881458966565347</v>
      </c>
      <c r="M117" s="13">
        <v>35</v>
      </c>
      <c r="N117" s="13">
        <v>35</v>
      </c>
      <c r="O117" s="13">
        <v>35</v>
      </c>
      <c r="P117" s="13">
        <v>35</v>
      </c>
      <c r="Q117" s="13">
        <v>35</v>
      </c>
      <c r="V117" s="10">
        <f>V92/V55*90</f>
        <v>9.151027703306525</v>
      </c>
      <c r="W117" s="10">
        <f>W92/W55*360</f>
        <v>36.534584353125339</v>
      </c>
      <c r="X117" s="10">
        <f>X92/X55*360</f>
        <v>35.539258108626129</v>
      </c>
      <c r="Y117" s="10">
        <v>36</v>
      </c>
      <c r="Z117" s="10">
        <v>36</v>
      </c>
      <c r="AA117" s="10">
        <v>36</v>
      </c>
      <c r="AB117" s="10">
        <v>36</v>
      </c>
      <c r="AC117" s="10">
        <v>36</v>
      </c>
      <c r="AD117" s="10">
        <v>36</v>
      </c>
      <c r="AE117" s="10">
        <v>36</v>
      </c>
      <c r="AF117" s="10">
        <v>36</v>
      </c>
      <c r="AG117" s="10">
        <v>36</v>
      </c>
    </row>
    <row r="118" spans="1:33">
      <c r="A118" s="4" t="s">
        <v>179</v>
      </c>
      <c r="K118" s="21"/>
      <c r="L118" s="21">
        <f>L147/(K78+K73)</f>
        <v>7.8177890970050609E-2</v>
      </c>
      <c r="M118" s="74">
        <v>0.08</v>
      </c>
      <c r="N118" s="74">
        <v>0.08</v>
      </c>
      <c r="O118" s="74">
        <v>0.08</v>
      </c>
      <c r="P118" s="74">
        <v>0.08</v>
      </c>
      <c r="Q118" s="74">
        <v>0.08</v>
      </c>
      <c r="V118" s="21"/>
      <c r="W118" s="21">
        <f>W147/(V78+V73)</f>
        <v>0.37244321989723728</v>
      </c>
      <c r="X118" s="21">
        <f>X147/(W78+W73)</f>
        <v>0.32386052096000001</v>
      </c>
      <c r="Y118" s="21">
        <v>0.32</v>
      </c>
      <c r="Z118" s="21">
        <v>0.32</v>
      </c>
      <c r="AA118" s="21">
        <v>0.32</v>
      </c>
      <c r="AB118" s="21">
        <v>0.32</v>
      </c>
      <c r="AC118" s="21">
        <v>0.32</v>
      </c>
      <c r="AD118" s="21">
        <v>0.32</v>
      </c>
      <c r="AE118" s="21">
        <v>0.32</v>
      </c>
      <c r="AF118" s="21">
        <v>0.32</v>
      </c>
      <c r="AG118" s="21">
        <v>0.32</v>
      </c>
    </row>
    <row r="119" spans="1:33">
      <c r="A119" s="4" t="s">
        <v>180</v>
      </c>
      <c r="K119" s="21">
        <f>-K146/K147</f>
        <v>1.4015852047556143</v>
      </c>
      <c r="L119" s="21">
        <f>-L146/L147</f>
        <v>1.1134020618556697</v>
      </c>
      <c r="M119" s="74">
        <v>1.1000000000000001</v>
      </c>
      <c r="N119" s="74">
        <v>1.1000000000000001</v>
      </c>
      <c r="O119" s="74">
        <v>1.1000000000000001</v>
      </c>
      <c r="P119" s="74">
        <v>1.1000000000000001</v>
      </c>
      <c r="Q119" s="74">
        <v>1.1000000000000001</v>
      </c>
      <c r="V119" s="21">
        <f>-V146/V147</f>
        <v>1.3833296839646743</v>
      </c>
      <c r="W119" s="21">
        <f>-W146/W147</f>
        <v>1.5497714703871206</v>
      </c>
      <c r="X119" s="21">
        <f>-X146/X147</f>
        <v>1.1000000000000003</v>
      </c>
      <c r="Y119" s="21">
        <v>1.1000000000000001</v>
      </c>
      <c r="Z119" s="21">
        <v>1.1000000000000001</v>
      </c>
      <c r="AA119" s="21">
        <v>1.1000000000000001</v>
      </c>
      <c r="AB119" s="21">
        <v>1.1000000000000001</v>
      </c>
      <c r="AC119" s="21">
        <v>1.1000000000000001</v>
      </c>
      <c r="AD119" s="21">
        <v>1.1000000000000001</v>
      </c>
      <c r="AE119" s="21">
        <v>1.1000000000000001</v>
      </c>
      <c r="AF119" s="21">
        <v>1.1000000000000001</v>
      </c>
      <c r="AG119" s="21">
        <v>1.1000000000000001</v>
      </c>
    </row>
    <row r="120" spans="1:33">
      <c r="A120" s="4" t="s">
        <v>181</v>
      </c>
      <c r="K120" s="21">
        <f>K73/(K78+K73)</f>
        <v>0.47067926109803665</v>
      </c>
      <c r="L120" s="21">
        <f>L73/(L78+L73)</f>
        <v>0.53314363318890257</v>
      </c>
      <c r="M120" s="21">
        <v>0.5</v>
      </c>
      <c r="N120" s="21">
        <v>0.5</v>
      </c>
      <c r="O120" s="21">
        <v>0.5</v>
      </c>
      <c r="P120" s="21">
        <v>0.5</v>
      </c>
      <c r="Q120" s="21">
        <v>0.5</v>
      </c>
      <c r="V120" s="21">
        <f>V73/(V78+V73)</f>
        <v>0.38569513738923228</v>
      </c>
      <c r="W120" s="21">
        <f>W73/(W78+W73)</f>
        <v>0.5</v>
      </c>
      <c r="X120" s="21">
        <f>X73/(X78+X73)</f>
        <v>0.5</v>
      </c>
      <c r="Y120" s="21">
        <v>0.5</v>
      </c>
      <c r="Z120" s="21">
        <v>0.5</v>
      </c>
      <c r="AA120" s="21">
        <v>0.5</v>
      </c>
      <c r="AB120" s="21">
        <v>0.5</v>
      </c>
      <c r="AC120" s="21">
        <v>0.5</v>
      </c>
      <c r="AD120" s="21">
        <v>0.5</v>
      </c>
      <c r="AE120" s="21">
        <v>0.5</v>
      </c>
      <c r="AF120" s="21">
        <v>0.5</v>
      </c>
      <c r="AG120" s="21">
        <v>0.5</v>
      </c>
    </row>
    <row r="121" spans="1:33">
      <c r="A121" s="4" t="s">
        <v>182</v>
      </c>
      <c r="K121" s="21"/>
      <c r="L121" s="21">
        <f>-(L102-K102)/L47</f>
        <v>3.6046511627906966E-2</v>
      </c>
      <c r="M121" s="21">
        <v>0.03</v>
      </c>
      <c r="N121" s="21">
        <v>0.03</v>
      </c>
      <c r="O121" s="21">
        <v>0.03</v>
      </c>
      <c r="P121" s="21">
        <v>0.03</v>
      </c>
      <c r="Q121" s="21">
        <v>0.03</v>
      </c>
      <c r="V121" s="21">
        <f>-(V102-U102)/V47</f>
        <v>1.3645802432512606E-2</v>
      </c>
      <c r="W121" s="21">
        <f>-(W102-V102)/W47</f>
        <v>3.9333417418174935E-2</v>
      </c>
      <c r="X121" s="21">
        <f>-(X102-W102)/X47</f>
        <v>3.0000000000000009E-2</v>
      </c>
      <c r="Y121" s="21">
        <f>X121</f>
        <v>3.0000000000000009E-2</v>
      </c>
      <c r="Z121" s="21">
        <f t="shared" ref="Z121:AG121" si="122">Y121</f>
        <v>3.0000000000000009E-2</v>
      </c>
      <c r="AA121" s="21">
        <f t="shared" si="122"/>
        <v>3.0000000000000009E-2</v>
      </c>
      <c r="AB121" s="21">
        <f t="shared" si="122"/>
        <v>3.0000000000000009E-2</v>
      </c>
      <c r="AC121" s="21">
        <f t="shared" si="122"/>
        <v>3.0000000000000009E-2</v>
      </c>
      <c r="AD121" s="21">
        <f t="shared" si="122"/>
        <v>3.0000000000000009E-2</v>
      </c>
      <c r="AE121" s="21">
        <f t="shared" si="122"/>
        <v>3.0000000000000009E-2</v>
      </c>
      <c r="AF121" s="21">
        <f t="shared" si="122"/>
        <v>3.0000000000000009E-2</v>
      </c>
      <c r="AG121" s="21">
        <f t="shared" si="122"/>
        <v>3.0000000000000009E-2</v>
      </c>
    </row>
    <row r="122" spans="1:33">
      <c r="A122" s="4" t="s">
        <v>183</v>
      </c>
      <c r="K122" s="21">
        <f>K76/K47</f>
        <v>0.35510816020561153</v>
      </c>
      <c r="L122" s="21">
        <f>L76/L47</f>
        <v>0.22887596899224805</v>
      </c>
      <c r="M122" s="21">
        <v>0.2</v>
      </c>
      <c r="N122" s="21">
        <v>0.2</v>
      </c>
      <c r="O122" s="21">
        <v>0.2</v>
      </c>
      <c r="P122" s="21">
        <v>0.2</v>
      </c>
      <c r="Q122" s="21">
        <v>0.2</v>
      </c>
      <c r="V122" s="21">
        <f>V76/V47</f>
        <v>5.9566894096707207E-2</v>
      </c>
      <c r="W122" s="21">
        <f>W76/W47</f>
        <v>5.1666068768305255E-2</v>
      </c>
      <c r="X122" s="21">
        <f>X76/X47</f>
        <v>5.1615858325217333E-2</v>
      </c>
      <c r="Y122" s="21">
        <f>X122</f>
        <v>5.1615858325217333E-2</v>
      </c>
      <c r="Z122" s="21">
        <f t="shared" ref="Z122:AG122" si="123">Y122</f>
        <v>5.1615858325217333E-2</v>
      </c>
      <c r="AA122" s="21">
        <f t="shared" si="123"/>
        <v>5.1615858325217333E-2</v>
      </c>
      <c r="AB122" s="21">
        <f t="shared" si="123"/>
        <v>5.1615858325217333E-2</v>
      </c>
      <c r="AC122" s="21">
        <f t="shared" si="123"/>
        <v>5.1615858325217333E-2</v>
      </c>
      <c r="AD122" s="21">
        <f t="shared" si="123"/>
        <v>5.1615858325217333E-2</v>
      </c>
      <c r="AE122" s="21">
        <f t="shared" si="123"/>
        <v>5.1615858325217333E-2</v>
      </c>
      <c r="AF122" s="21">
        <f t="shared" si="123"/>
        <v>5.1615858325217333E-2</v>
      </c>
      <c r="AG122" s="21">
        <f t="shared" si="123"/>
        <v>5.1615858325217333E-2</v>
      </c>
    </row>
    <row r="123" spans="1:33">
      <c r="A123" s="4" t="s">
        <v>186</v>
      </c>
      <c r="K123" s="21">
        <f>K93/K47</f>
        <v>8.4814735489398163E-2</v>
      </c>
      <c r="L123" s="21">
        <f>L93/L47</f>
        <v>6.9186046511627908E-2</v>
      </c>
      <c r="M123" s="21">
        <v>0.08</v>
      </c>
      <c r="N123" s="21">
        <v>0.08</v>
      </c>
      <c r="O123" s="21">
        <v>0.08</v>
      </c>
      <c r="P123" s="21">
        <v>0.08</v>
      </c>
      <c r="Q123" s="21">
        <v>0.08</v>
      </c>
      <c r="V123" s="21">
        <f>V93/V47</f>
        <v>1.6849599525363392E-2</v>
      </c>
      <c r="W123" s="21">
        <f>W93/W47</f>
        <v>2.0666427507322102E-2</v>
      </c>
      <c r="X123" s="21">
        <f>X93/X47</f>
        <v>2.0646343330086935E-2</v>
      </c>
      <c r="Y123" s="21">
        <f>X123</f>
        <v>2.0646343330086935E-2</v>
      </c>
      <c r="Z123" s="21">
        <f t="shared" ref="Z123:AG123" si="124">Y123</f>
        <v>2.0646343330086935E-2</v>
      </c>
      <c r="AA123" s="21">
        <f t="shared" si="124"/>
        <v>2.0646343330086935E-2</v>
      </c>
      <c r="AB123" s="21">
        <f t="shared" si="124"/>
        <v>2.0646343330086935E-2</v>
      </c>
      <c r="AC123" s="21">
        <f t="shared" si="124"/>
        <v>2.0646343330086935E-2</v>
      </c>
      <c r="AD123" s="21">
        <f t="shared" si="124"/>
        <v>2.0646343330086935E-2</v>
      </c>
      <c r="AE123" s="21">
        <f t="shared" si="124"/>
        <v>2.0646343330086935E-2</v>
      </c>
      <c r="AF123" s="21">
        <f t="shared" si="124"/>
        <v>2.0646343330086935E-2</v>
      </c>
      <c r="AG123" s="21">
        <f t="shared" si="124"/>
        <v>2.0646343330086935E-2</v>
      </c>
    </row>
    <row r="124" spans="1:33">
      <c r="A124" s="4" t="s">
        <v>185</v>
      </c>
      <c r="K124" s="21">
        <f>K96/K47</f>
        <v>0.20004283572499468</v>
      </c>
      <c r="L124" s="21">
        <f>L96/L47</f>
        <v>0.2005813953488372</v>
      </c>
      <c r="M124" s="21">
        <v>0.2</v>
      </c>
      <c r="N124" s="21">
        <v>0.2</v>
      </c>
      <c r="O124" s="21">
        <v>0.2</v>
      </c>
      <c r="P124" s="21">
        <v>0.2</v>
      </c>
      <c r="Q124" s="21">
        <v>0.2</v>
      </c>
      <c r="V124" s="21">
        <f>V96/V47</f>
        <v>6.2177395431622651E-2</v>
      </c>
      <c r="W124" s="21">
        <f>W96/W47</f>
        <v>5.1666068768305255E-2</v>
      </c>
      <c r="X124" s="21">
        <f>X96/X47</f>
        <v>5.1615858325217333E-2</v>
      </c>
      <c r="Y124" s="21">
        <f>X124</f>
        <v>5.1615858325217333E-2</v>
      </c>
      <c r="Z124" s="21">
        <f t="shared" ref="Z124:AG124" si="125">Y124</f>
        <v>5.1615858325217333E-2</v>
      </c>
      <c r="AA124" s="21">
        <f t="shared" si="125"/>
        <v>5.1615858325217333E-2</v>
      </c>
      <c r="AB124" s="21">
        <f t="shared" si="125"/>
        <v>5.1615858325217333E-2</v>
      </c>
      <c r="AC124" s="21">
        <f t="shared" si="125"/>
        <v>5.1615858325217333E-2</v>
      </c>
      <c r="AD124" s="21">
        <f t="shared" si="125"/>
        <v>5.1615858325217333E-2</v>
      </c>
      <c r="AE124" s="21">
        <f t="shared" si="125"/>
        <v>5.1615858325217333E-2</v>
      </c>
      <c r="AF124" s="21">
        <f t="shared" si="125"/>
        <v>5.1615858325217333E-2</v>
      </c>
      <c r="AG124" s="21">
        <f t="shared" si="125"/>
        <v>5.1615858325217333E-2</v>
      </c>
    </row>
    <row r="125" spans="1:33">
      <c r="A125" s="4" t="s">
        <v>187</v>
      </c>
      <c r="K125" s="21"/>
      <c r="L125" s="21">
        <f>-(L87-K87)/L63</f>
        <v>8.1967213114754092E-2</v>
      </c>
      <c r="M125" s="21">
        <v>0.08</v>
      </c>
      <c r="N125" s="21">
        <v>0.08</v>
      </c>
      <c r="O125" s="21">
        <v>0.08</v>
      </c>
      <c r="P125" s="21">
        <v>0.08</v>
      </c>
      <c r="Q125" s="21">
        <v>0.08</v>
      </c>
      <c r="V125" s="21"/>
      <c r="W125" s="21">
        <f>-(W87-V87)/W63</f>
        <v>0.10303856972084326</v>
      </c>
      <c r="X125" s="21">
        <v>0.08</v>
      </c>
      <c r="Y125" s="21">
        <v>0.08</v>
      </c>
      <c r="Z125" s="21">
        <v>0.08</v>
      </c>
      <c r="AA125" s="21">
        <v>0.08</v>
      </c>
      <c r="AB125" s="21">
        <v>0.08</v>
      </c>
      <c r="AC125" s="21">
        <v>0.08</v>
      </c>
      <c r="AD125" s="21">
        <v>0.08</v>
      </c>
      <c r="AE125" s="21">
        <v>0.08</v>
      </c>
      <c r="AF125" s="21">
        <v>0.08</v>
      </c>
      <c r="AG125" s="21">
        <v>0.08</v>
      </c>
    </row>
    <row r="126" spans="1:33">
      <c r="A126" s="4" t="s">
        <v>188</v>
      </c>
      <c r="K126" s="21">
        <f>K131/K47</f>
        <v>0.14028699935746414</v>
      </c>
      <c r="L126" s="21">
        <f>L131/L47</f>
        <v>-4.6511627906976718E-3</v>
      </c>
      <c r="M126" s="21">
        <v>7.0000000000000007E-2</v>
      </c>
      <c r="N126" s="21">
        <v>7.0000000000000007E-2</v>
      </c>
      <c r="O126" s="21">
        <v>7.0000000000000007E-2</v>
      </c>
      <c r="P126" s="21">
        <v>7.0000000000000007E-2</v>
      </c>
      <c r="Q126" s="21">
        <v>7.0000000000000007E-2</v>
      </c>
      <c r="V126" s="21">
        <f>V131/V47</f>
        <v>8.2171462474043305E-2</v>
      </c>
      <c r="W126" s="21">
        <f>W131/W47</f>
        <v>3.9793554483358959E-2</v>
      </c>
      <c r="X126" s="21">
        <f>X131/X47</f>
        <v>7.0000000000000007E-2</v>
      </c>
      <c r="Y126" s="21">
        <v>0.1</v>
      </c>
      <c r="Z126" s="21">
        <v>0.1</v>
      </c>
      <c r="AA126" s="21">
        <v>0.1</v>
      </c>
      <c r="AB126" s="21">
        <v>0.1</v>
      </c>
      <c r="AC126" s="21">
        <v>0.1</v>
      </c>
      <c r="AD126" s="21">
        <v>0.1</v>
      </c>
      <c r="AE126" s="21">
        <v>0.1</v>
      </c>
      <c r="AF126" s="21">
        <v>0.1</v>
      </c>
      <c r="AG126" s="21">
        <v>0.1</v>
      </c>
    </row>
    <row r="128" spans="1:33" s="124" customFormat="1">
      <c r="A128" s="122" t="s">
        <v>113</v>
      </c>
    </row>
    <row r="129" spans="1:33">
      <c r="A129" s="4" t="s">
        <v>83</v>
      </c>
      <c r="J129" s="10">
        <f t="shared" ref="J129:Q129" si="126">J64</f>
        <v>239.90000000000009</v>
      </c>
      <c r="K129" s="10">
        <f t="shared" si="126"/>
        <v>116.00000000000003</v>
      </c>
      <c r="L129" s="10">
        <f t="shared" si="126"/>
        <v>239.30000000000007</v>
      </c>
      <c r="M129" s="10">
        <f t="shared" si="126"/>
        <v>208.93460000000005</v>
      </c>
      <c r="N129" s="10">
        <f t="shared" si="126"/>
        <v>235.06041731688833</v>
      </c>
      <c r="O129" s="10">
        <f t="shared" si="126"/>
        <v>240.074708111668</v>
      </c>
      <c r="P129" s="10">
        <f t="shared" si="126"/>
        <v>298.62791565218885</v>
      </c>
      <c r="Q129" s="10">
        <f t="shared" si="126"/>
        <v>279.29756182807148</v>
      </c>
      <c r="V129" s="10">
        <f>V64</f>
        <v>475.8000000000003</v>
      </c>
      <c r="W129" s="10">
        <f>SUM(J129:M129)</f>
        <v>804.13460000000021</v>
      </c>
      <c r="X129" s="10">
        <f>SUM(N129:Q129)</f>
        <v>1053.0606029088167</v>
      </c>
      <c r="Y129" s="10">
        <f>Y64</f>
        <v>1228.6295966531441</v>
      </c>
      <c r="Z129" s="10">
        <f t="shared" ref="Z129:AG129" si="127">Z64</f>
        <v>1448.8436901242874</v>
      </c>
      <c r="AA129" s="10">
        <f t="shared" si="127"/>
        <v>1399.5310379745176</v>
      </c>
      <c r="AB129" s="10">
        <f t="shared" si="127"/>
        <v>1371.2399938421636</v>
      </c>
      <c r="AC129" s="10">
        <f t="shared" si="127"/>
        <v>1408.3218186451852</v>
      </c>
      <c r="AD129" s="10">
        <f t="shared" si="127"/>
        <v>1438.2017512747473</v>
      </c>
      <c r="AE129" s="10">
        <f t="shared" si="127"/>
        <v>1473.0718397361047</v>
      </c>
      <c r="AF129" s="10">
        <f t="shared" si="127"/>
        <v>1514.0145107076185</v>
      </c>
      <c r="AG129" s="10">
        <f t="shared" si="127"/>
        <v>1558.1256563170514</v>
      </c>
    </row>
    <row r="130" spans="1:33">
      <c r="A130" s="4" t="s">
        <v>84</v>
      </c>
      <c r="J130" s="10">
        <v>12.5</v>
      </c>
      <c r="K130" s="10">
        <f>25.2-J130</f>
        <v>12.7</v>
      </c>
      <c r="L130" s="10">
        <f>38.1-K130-J130</f>
        <v>12.900000000000002</v>
      </c>
      <c r="M130" s="10">
        <f>M85-L85</f>
        <v>-12.552587481518003</v>
      </c>
      <c r="N130" s="10">
        <f>N85-M85</f>
        <v>-12.805174963035995</v>
      </c>
      <c r="O130" s="10">
        <f>O85-N85</f>
        <v>-13.057762444553987</v>
      </c>
      <c r="P130" s="10">
        <f>P85-O85</f>
        <v>-13.310349926071979</v>
      </c>
      <c r="Q130" s="10">
        <f>Q85-P85</f>
        <v>-13.56293740758997</v>
      </c>
      <c r="V130" s="10">
        <v>49.9</v>
      </c>
      <c r="W130" s="10">
        <f>SUM(J130:M130)</f>
        <v>25.547412518481998</v>
      </c>
      <c r="X130" s="10">
        <f>SUM(N130:Q130)</f>
        <v>-52.736224741251931</v>
      </c>
      <c r="Y130" s="10">
        <f>Y85-X85</f>
        <v>-57.696000000000026</v>
      </c>
      <c r="Z130" s="10">
        <f t="shared" ref="Z130:AG130" si="128">Z85-Y85</f>
        <v>-61.696000000000026</v>
      </c>
      <c r="AA130" s="10">
        <f t="shared" si="128"/>
        <v>-65.696000000000026</v>
      </c>
      <c r="AB130" s="10">
        <f t="shared" si="128"/>
        <v>-69.696000000000026</v>
      </c>
      <c r="AC130" s="10">
        <f t="shared" si="128"/>
        <v>-73.696000000000026</v>
      </c>
      <c r="AD130" s="10">
        <f t="shared" si="128"/>
        <v>-77.696000000000026</v>
      </c>
      <c r="AE130" s="10">
        <f t="shared" si="128"/>
        <v>-81.696000000000026</v>
      </c>
      <c r="AF130" s="10">
        <f t="shared" si="128"/>
        <v>-85.696000000000026</v>
      </c>
      <c r="AG130" s="10">
        <f t="shared" si="128"/>
        <v>-89.695999999999913</v>
      </c>
    </row>
    <row r="131" spans="1:33">
      <c r="A131" s="4" t="s">
        <v>85</v>
      </c>
      <c r="J131" s="10">
        <v>-21.1</v>
      </c>
      <c r="K131" s="10">
        <f>44.4-J131</f>
        <v>65.5</v>
      </c>
      <c r="L131" s="10">
        <f>42-K131-J131</f>
        <v>-2.3999999999999986</v>
      </c>
      <c r="M131" s="10">
        <f>M126*M47</f>
        <v>34.982780000000005</v>
      </c>
      <c r="N131" s="10">
        <f>N126*N47</f>
        <v>36.611190000000001</v>
      </c>
      <c r="O131" s="10">
        <f>O126*O47</f>
        <v>38.312609999999999</v>
      </c>
      <c r="P131" s="10">
        <f>P126*P47</f>
        <v>42.277830000000002</v>
      </c>
      <c r="Q131" s="10">
        <f>Q126*Q47</f>
        <v>40.768930300000008</v>
      </c>
      <c r="V131" s="10">
        <v>138.5</v>
      </c>
      <c r="W131" s="10">
        <f>SUM(J131:M131)</f>
        <v>76.982780000000005</v>
      </c>
      <c r="X131" s="10">
        <f>SUM(N131:Q131)</f>
        <v>157.97056029999999</v>
      </c>
      <c r="Y131" s="10">
        <f t="shared" ref="Y131:AG131" si="129">Y126*Y47</f>
        <v>255.34661180000001</v>
      </c>
      <c r="Z131" s="10">
        <f t="shared" si="129"/>
        <v>290.07439866520002</v>
      </c>
      <c r="AA131" s="10">
        <f t="shared" si="129"/>
        <v>289.32277637632404</v>
      </c>
      <c r="AB131" s="10">
        <f t="shared" si="129"/>
        <v>289.49642481231007</v>
      </c>
      <c r="AC131" s="10">
        <f t="shared" si="129"/>
        <v>298.10014241432367</v>
      </c>
      <c r="AD131" s="10">
        <f t="shared" si="129"/>
        <v>307.29142159635643</v>
      </c>
      <c r="AE131" s="10">
        <f t="shared" si="129"/>
        <v>317.11330528976345</v>
      </c>
      <c r="AF131" s="10">
        <f t="shared" si="129"/>
        <v>327.6121234037488</v>
      </c>
      <c r="AG131" s="10">
        <f t="shared" si="129"/>
        <v>338.8377495860214</v>
      </c>
    </row>
    <row r="132" spans="1:33">
      <c r="A132" s="4" t="s">
        <v>86</v>
      </c>
      <c r="J132" s="10">
        <v>1.7</v>
      </c>
      <c r="K132" s="10"/>
      <c r="L132" s="10"/>
      <c r="M132" s="10"/>
      <c r="N132" s="10"/>
      <c r="O132" s="10"/>
      <c r="P132" s="10"/>
      <c r="Q132" s="10"/>
      <c r="V132" s="10">
        <v>2.2999999999999998</v>
      </c>
      <c r="W132" s="10">
        <f>SUM(J132:M132)</f>
        <v>1.7</v>
      </c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>
      <c r="A133" s="4" t="s">
        <v>87</v>
      </c>
      <c r="J133" s="10"/>
      <c r="K133" s="10"/>
      <c r="L133" s="10"/>
      <c r="M133" s="10"/>
      <c r="N133" s="10"/>
      <c r="O133" s="10"/>
      <c r="P133" s="10"/>
      <c r="Q133" s="10"/>
      <c r="V133" s="10">
        <v>113.4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>
      <c r="A134" s="4" t="s">
        <v>88</v>
      </c>
      <c r="J134" s="10"/>
      <c r="K134" s="10"/>
      <c r="L134" s="10">
        <v>7</v>
      </c>
      <c r="M134" s="10"/>
      <c r="N134" s="10"/>
      <c r="O134" s="10"/>
      <c r="P134" s="10"/>
      <c r="Q134" s="10"/>
      <c r="V134" s="10">
        <v>19.2</v>
      </c>
      <c r="W134" s="10">
        <f>SUM(J134:M134)</f>
        <v>7</v>
      </c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>
      <c r="A135" s="4" t="s">
        <v>89</v>
      </c>
      <c r="J135" s="10"/>
      <c r="K135" s="10"/>
      <c r="L135" s="10"/>
      <c r="M135" s="10"/>
      <c r="N135" s="10"/>
      <c r="O135" s="10"/>
      <c r="P135" s="10"/>
      <c r="Q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>
      <c r="A136" s="4" t="s">
        <v>90</v>
      </c>
      <c r="J136" s="10"/>
      <c r="K136" s="10"/>
      <c r="L136" s="10">
        <v>-0.9</v>
      </c>
      <c r="M136" s="10"/>
      <c r="N136" s="10"/>
      <c r="O136" s="10"/>
      <c r="P136" s="10"/>
      <c r="Q136" s="10"/>
      <c r="V136" s="10">
        <v>-92.6</v>
      </c>
      <c r="W136" s="10">
        <f>SUM(J136:M136)</f>
        <v>-0.9</v>
      </c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>
      <c r="A137" s="4" t="s">
        <v>63</v>
      </c>
      <c r="J137" s="10">
        <v>-12.2</v>
      </c>
      <c r="K137" s="10">
        <f>34.6-J137</f>
        <v>46.8</v>
      </c>
      <c r="L137" s="10">
        <f>44.6-K137-J137</f>
        <v>10.000000000000004</v>
      </c>
      <c r="M137" s="10">
        <v>22</v>
      </c>
      <c r="N137" s="10">
        <v>10</v>
      </c>
      <c r="O137" s="10">
        <v>16</v>
      </c>
      <c r="P137" s="10">
        <v>14</v>
      </c>
      <c r="Q137" s="10">
        <v>1</v>
      </c>
      <c r="V137" s="10">
        <v>65.900000000000006</v>
      </c>
      <c r="W137" s="10">
        <f>SUM(J137:M137)</f>
        <v>66.599999999999994</v>
      </c>
      <c r="X137" s="10">
        <f>SUM(N137:Q137)</f>
        <v>41</v>
      </c>
      <c r="Y137" s="10">
        <v>-13</v>
      </c>
      <c r="Z137" s="10">
        <v>-40</v>
      </c>
      <c r="AA137" s="10">
        <v>-111</v>
      </c>
      <c r="AB137" s="10">
        <v>-157</v>
      </c>
      <c r="AC137" s="10">
        <v>291</v>
      </c>
      <c r="AD137" s="10">
        <v>947</v>
      </c>
      <c r="AE137" s="10">
        <v>1152</v>
      </c>
      <c r="AF137" s="10">
        <v>1307</v>
      </c>
      <c r="AG137" s="10">
        <v>969</v>
      </c>
    </row>
    <row r="138" spans="1:33">
      <c r="A138" s="4" t="s">
        <v>91</v>
      </c>
      <c r="J138" s="10"/>
      <c r="K138" s="10"/>
      <c r="L138" s="10"/>
      <c r="M138" s="10"/>
      <c r="N138" s="10"/>
      <c r="O138" s="10"/>
      <c r="P138" s="10"/>
      <c r="Q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>
      <c r="A139" s="4" t="s">
        <v>61</v>
      </c>
      <c r="J139" s="10">
        <v>28.1</v>
      </c>
      <c r="K139" s="10">
        <f>25.3-J139</f>
        <v>-2.8000000000000007</v>
      </c>
      <c r="L139" s="10">
        <f>-33-K139-J139</f>
        <v>-58.3</v>
      </c>
      <c r="M139" s="10">
        <f t="shared" ref="M139:Q140" si="130">-M74+L74</f>
        <v>50.729874999999964</v>
      </c>
      <c r="N139" s="10">
        <f t="shared" si="130"/>
        <v>-8.1882966666666448</v>
      </c>
      <c r="O139" s="10">
        <f t="shared" si="130"/>
        <v>-8.7911950000000161</v>
      </c>
      <c r="P139" s="10">
        <f t="shared" si="130"/>
        <v>-20.731549999999942</v>
      </c>
      <c r="Q139" s="10">
        <f t="shared" si="130"/>
        <v>7.5241869499999154</v>
      </c>
      <c r="V139" s="10">
        <v>-41.3</v>
      </c>
      <c r="W139" s="10">
        <f>SUM(J139:M139)</f>
        <v>17.729874999999964</v>
      </c>
      <c r="X139" s="10">
        <f>SUM(N139:Q139)</f>
        <v>-30.186854716666687</v>
      </c>
      <c r="Y139" s="10">
        <f>-Y74+X74</f>
        <v>155.50765480498586</v>
      </c>
      <c r="Z139" s="10">
        <f t="shared" ref="Z139:AG139" si="131">-Z74+Y74</f>
        <v>-7.6199651059859974</v>
      </c>
      <c r="AA139" s="10">
        <f t="shared" si="131"/>
        <v>0.18195052803242362</v>
      </c>
      <c r="AB139" s="10">
        <f t="shared" si="131"/>
        <v>-2.0951202897158794E-2</v>
      </c>
      <c r="AC139" s="10">
        <f t="shared" si="131"/>
        <v>-1.8740253785468326</v>
      </c>
      <c r="AD139" s="10">
        <f t="shared" si="131"/>
        <v>-2.0026322282076592</v>
      </c>
      <c r="AE139" s="10">
        <f t="shared" si="131"/>
        <v>-2.1406836949294501</v>
      </c>
      <c r="AF139" s="10">
        <f t="shared" si="131"/>
        <v>-2.288901851130106</v>
      </c>
      <c r="AG139" s="10">
        <f t="shared" si="131"/>
        <v>-2.4480652029515539</v>
      </c>
    </row>
    <row r="140" spans="1:33">
      <c r="A140" s="4" t="s">
        <v>93</v>
      </c>
      <c r="J140" s="10">
        <v>5.7</v>
      </c>
      <c r="K140" s="10">
        <f>1.1-J140</f>
        <v>-4.5999999999999996</v>
      </c>
      <c r="L140" s="10">
        <f>0.5-K140-J140</f>
        <v>-0.60000000000000053</v>
      </c>
      <c r="M140" s="10">
        <f t="shared" si="130"/>
        <v>2.1548444444444357</v>
      </c>
      <c r="N140" s="10">
        <f t="shared" si="130"/>
        <v>-4.1356444444444236</v>
      </c>
      <c r="O140" s="10">
        <f t="shared" si="130"/>
        <v>-4.321066666666681</v>
      </c>
      <c r="P140" s="10">
        <f t="shared" si="130"/>
        <v>-10.070399999999992</v>
      </c>
      <c r="Q140" s="10">
        <f t="shared" si="130"/>
        <v>3.8321262222222003</v>
      </c>
      <c r="V140" s="10">
        <v>-7.5</v>
      </c>
      <c r="W140" s="10">
        <f>SUM(J140:M140)</f>
        <v>2.6548444444444357</v>
      </c>
      <c r="X140" s="10">
        <f>SUM(N140:Q140)</f>
        <v>-14.694984888888897</v>
      </c>
      <c r="Y140" s="10">
        <f>-Y75+X75</f>
        <v>-17.040204016666635</v>
      </c>
      <c r="Z140" s="10">
        <f t="shared" ref="Z140:AG140" si="132">-Z75+Y75</f>
        <v>-16.399232686344462</v>
      </c>
      <c r="AA140" s="10">
        <f t="shared" si="132"/>
        <v>0.35493274752474235</v>
      </c>
      <c r="AB140" s="10">
        <f t="shared" si="132"/>
        <v>-8.2000650326705227E-2</v>
      </c>
      <c r="AC140" s="10">
        <f t="shared" si="132"/>
        <v>-4.0628666453953031</v>
      </c>
      <c r="AD140" s="10">
        <f t="shared" si="132"/>
        <v>-4.3403262804043834</v>
      </c>
      <c r="AE140" s="10">
        <f t="shared" si="132"/>
        <v>-4.6381117441088406</v>
      </c>
      <c r="AF140" s="10">
        <f t="shared" si="132"/>
        <v>-4.9577752204931187</v>
      </c>
      <c r="AG140" s="10">
        <f t="shared" si="132"/>
        <v>-5.3009901416287164</v>
      </c>
    </row>
    <row r="141" spans="1:33">
      <c r="A141" s="4" t="s">
        <v>92</v>
      </c>
      <c r="J141" s="10">
        <v>-10.8</v>
      </c>
      <c r="K141" s="10">
        <f>13.1-J141</f>
        <v>23.9</v>
      </c>
      <c r="L141" s="10">
        <f>35.4-K141-J141</f>
        <v>22.3</v>
      </c>
      <c r="M141" s="10">
        <f>M91-L91</f>
        <v>-9.0927555555555273</v>
      </c>
      <c r="N141" s="10">
        <f>N91-M91</f>
        <v>9.8221555555554971</v>
      </c>
      <c r="O141" s="10">
        <f>O91-N91</f>
        <v>10.262533333333351</v>
      </c>
      <c r="P141" s="10">
        <f>P91-O91</f>
        <v>23.91719999999998</v>
      </c>
      <c r="Q141" s="10">
        <f>Q91-P91</f>
        <v>-9.10129977777774</v>
      </c>
      <c r="V141" s="10">
        <v>-12.5</v>
      </c>
      <c r="W141" s="10">
        <f>SUM(J141:M141)</f>
        <v>26.307244444444471</v>
      </c>
      <c r="X141" s="10">
        <f>SUM(N141:Q141)</f>
        <v>34.900589111111088</v>
      </c>
      <c r="Y141" s="10">
        <f>Y91-X91</f>
        <v>30.717662561111126</v>
      </c>
      <c r="Z141" s="10">
        <f t="shared" ref="Z141:AG141" si="133">Z91-Y91</f>
        <v>37.621769103966699</v>
      </c>
      <c r="AA141" s="10">
        <f t="shared" si="133"/>
        <v>-0.81425747961566231</v>
      </c>
      <c r="AB141" s="10">
        <f t="shared" si="133"/>
        <v>0.1881191389848027</v>
      </c>
      <c r="AC141" s="10">
        <f t="shared" si="133"/>
        <v>9.3206940688480699</v>
      </c>
      <c r="AD141" s="10">
        <f t="shared" si="133"/>
        <v>9.9572191138688595</v>
      </c>
      <c r="AE141" s="10">
        <f t="shared" si="133"/>
        <v>10.640374001190878</v>
      </c>
      <c r="AF141" s="10">
        <f t="shared" si="133"/>
        <v>11.373719623484192</v>
      </c>
      <c r="AG141" s="10">
        <f t="shared" si="133"/>
        <v>12.161095030795309</v>
      </c>
    </row>
    <row r="142" spans="1:33">
      <c r="A142" s="4" t="s">
        <v>94</v>
      </c>
      <c r="J142" s="10">
        <v>44.9</v>
      </c>
      <c r="K142" s="10">
        <f>-85.6-J142</f>
        <v>-130.5</v>
      </c>
      <c r="L142" s="10">
        <f>-56.3-K142-J142</f>
        <v>29.300000000000004</v>
      </c>
      <c r="M142" s="10">
        <f>-M88+L88+-M76+L76</f>
        <v>23.00331999999996</v>
      </c>
      <c r="N142" s="10">
        <f>-N88+M88+-N76+M76</f>
        <v>-9.7704599999999431</v>
      </c>
      <c r="O142" s="10">
        <f>-O88+N88+-O76+N76</f>
        <v>-10.208520000000021</v>
      </c>
      <c r="P142" s="10">
        <f>-P88+O88+-P76+O76</f>
        <v>-23.791319999999999</v>
      </c>
      <c r="Q142" s="10">
        <f>-Q88+P88+-Q76+P76</f>
        <v>9.0533981999999611</v>
      </c>
      <c r="V142" s="10">
        <v>-112.9</v>
      </c>
      <c r="W142" s="10">
        <f>SUM(J142:M142)</f>
        <v>-33.29668000000003</v>
      </c>
      <c r="X142" s="10">
        <f>SUM(N142:Q142)</f>
        <v>-34.716901800000002</v>
      </c>
      <c r="Y142" s="10">
        <f>-Y88+X88+-Y76+X76</f>
        <v>-40.393730664930644</v>
      </c>
      <c r="Z142" s="10">
        <f t="shared" ref="Z142:AG142" si="134">-Z88+Y88+-Z76+Y76</f>
        <v>-38.761717386945122</v>
      </c>
      <c r="AA142" s="10">
        <f t="shared" si="134"/>
        <v>0.83892966909257893</v>
      </c>
      <c r="AB142" s="10">
        <f t="shared" si="134"/>
        <v>-0.19381919229405753</v>
      </c>
      <c r="AC142" s="10">
        <f t="shared" si="134"/>
        <v>-9.6031132493652933</v>
      </c>
      <c r="AD142" s="10">
        <f t="shared" si="134"/>
        <v>-10.258925150092892</v>
      </c>
      <c r="AE142" s="10">
        <f t="shared" si="134"/>
        <v>-10.962779788100789</v>
      </c>
      <c r="AF142" s="10">
        <f t="shared" si="134"/>
        <v>-11.718345951928171</v>
      </c>
      <c r="AG142" s="10">
        <f t="shared" si="134"/>
        <v>-12.529579015723897</v>
      </c>
    </row>
    <row r="143" spans="1:33">
      <c r="A143" s="61" t="s">
        <v>95</v>
      </c>
      <c r="J143" s="19">
        <f t="shared" ref="J143:Q143" si="135">J137+J138+J139+J140+J141+J142+J129+J130+J131+J132+J133+J134+J135+J136</f>
        <v>288.70000000000005</v>
      </c>
      <c r="K143" s="19">
        <f t="shared" si="135"/>
        <v>127.00000000000003</v>
      </c>
      <c r="L143" s="19">
        <f t="shared" si="135"/>
        <v>258.60000000000014</v>
      </c>
      <c r="M143" s="19">
        <f t="shared" si="135"/>
        <v>320.16007640737087</v>
      </c>
      <c r="N143" s="19">
        <f t="shared" si="135"/>
        <v>256.59418679829685</v>
      </c>
      <c r="O143" s="19">
        <f t="shared" si="135"/>
        <v>268.27130733378067</v>
      </c>
      <c r="P143" s="19">
        <f t="shared" si="135"/>
        <v>310.91932572611694</v>
      </c>
      <c r="Q143" s="19">
        <f t="shared" si="135"/>
        <v>318.81196631492588</v>
      </c>
      <c r="R143" s="67"/>
      <c r="V143" s="19">
        <f>V137+V138+V139+V140+V141+V142+V129+V130+V131+V132+V133+V134+V135+V136</f>
        <v>598.20000000000027</v>
      </c>
      <c r="W143" s="19">
        <f>W137+W138+W139+W140+W141+W142+W129+W130+W131+W132+W133+W134+W135+W136</f>
        <v>994.46007640737116</v>
      </c>
      <c r="X143" s="19">
        <f>X137+X138+X139+X140+X141+X142+X129+X130+X131+X132+X133+X134+X135+X136</f>
        <v>1154.5967861731201</v>
      </c>
      <c r="Y143" s="19">
        <f>Y137+Y138+Y139+Y140+Y141+Y142+Y129+Y130+Y131+Y132+Y133+Y134+Y135+Y136</f>
        <v>1542.0715911376437</v>
      </c>
      <c r="Z143" s="19">
        <f t="shared" ref="Z143:AG143" si="136">Z137+Z138+Z139+Z140+Z141+Z142+Z129+Z130+Z131+Z132+Z133+Z134+Z135+Z136</f>
        <v>1612.0629427141785</v>
      </c>
      <c r="AA143" s="19">
        <f t="shared" si="136"/>
        <v>1512.719369815876</v>
      </c>
      <c r="AB143" s="19">
        <f t="shared" si="136"/>
        <v>1433.9317667479404</v>
      </c>
      <c r="AC143" s="19">
        <f t="shared" si="136"/>
        <v>1917.5066498550495</v>
      </c>
      <c r="AD143" s="19">
        <f t="shared" si="136"/>
        <v>2608.1525083262677</v>
      </c>
      <c r="AE143" s="19">
        <f t="shared" si="136"/>
        <v>2853.3879437999199</v>
      </c>
      <c r="AF143" s="19">
        <f t="shared" si="136"/>
        <v>3055.3393307113001</v>
      </c>
      <c r="AG143" s="19">
        <f t="shared" si="136"/>
        <v>2768.1498665735639</v>
      </c>
    </row>
    <row r="144" spans="1:33">
      <c r="J144" s="10"/>
      <c r="K144" s="10"/>
      <c r="L144" s="10"/>
      <c r="M144" s="10"/>
      <c r="N144" s="10"/>
      <c r="O144" s="10"/>
      <c r="P144" s="10"/>
      <c r="Q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>
      <c r="A145" s="4" t="s">
        <v>96</v>
      </c>
      <c r="J145" s="10">
        <v>-13.5</v>
      </c>
      <c r="K145" s="10">
        <f>-30.5-J145</f>
        <v>-17</v>
      </c>
      <c r="L145" s="10">
        <f>-99.3-K145-J145</f>
        <v>-68.8</v>
      </c>
      <c r="M145" s="10">
        <f>L84-M84</f>
        <v>-25</v>
      </c>
      <c r="N145" s="10">
        <f>M84-N84</f>
        <v>-25</v>
      </c>
      <c r="O145" s="10">
        <f>N84-O84</f>
        <v>-25</v>
      </c>
      <c r="P145" s="10">
        <f>O84-P84</f>
        <v>-25</v>
      </c>
      <c r="Q145" s="10">
        <f>P84-Q84</f>
        <v>-25</v>
      </c>
      <c r="V145" s="10">
        <v>-120.8</v>
      </c>
      <c r="W145" s="10">
        <f>SUM(J145:M145)</f>
        <v>-124.3</v>
      </c>
      <c r="X145" s="10">
        <f>SUM(N145:Q145)</f>
        <v>-100</v>
      </c>
      <c r="Y145" s="10">
        <f t="shared" ref="Y145:AG145" si="137">X84-Y84</f>
        <v>-100</v>
      </c>
      <c r="Z145" s="10">
        <f t="shared" si="137"/>
        <v>-100</v>
      </c>
      <c r="AA145" s="10">
        <f t="shared" si="137"/>
        <v>-100</v>
      </c>
      <c r="AB145" s="10">
        <f t="shared" si="137"/>
        <v>-100</v>
      </c>
      <c r="AC145" s="10">
        <f t="shared" si="137"/>
        <v>-100</v>
      </c>
      <c r="AD145" s="10">
        <f t="shared" si="137"/>
        <v>-100</v>
      </c>
      <c r="AE145" s="10">
        <f t="shared" si="137"/>
        <v>-100</v>
      </c>
      <c r="AF145" s="10">
        <f t="shared" si="137"/>
        <v>-99.999999999999773</v>
      </c>
      <c r="AG145" s="10">
        <f t="shared" si="137"/>
        <v>-100</v>
      </c>
    </row>
    <row r="146" spans="1:33">
      <c r="A146" s="4" t="s">
        <v>97</v>
      </c>
      <c r="J146" s="10">
        <v>-477.6</v>
      </c>
      <c r="K146" s="10">
        <f>-1008.1-J146</f>
        <v>-530.5</v>
      </c>
      <c r="L146" s="10">
        <f>-1278.1-K146-J146</f>
        <v>-269.99999999999989</v>
      </c>
      <c r="M146" s="10">
        <f>-M119*M147</f>
        <v>-272.14879999999999</v>
      </c>
      <c r="N146" s="10">
        <f>-N119*N147</f>
        <v>-274.32599040000002</v>
      </c>
      <c r="O146" s="10">
        <f>-O119*O147</f>
        <v>-276.52059832320003</v>
      </c>
      <c r="P146" s="10">
        <f>-P119*P147</f>
        <v>-278.73276310978565</v>
      </c>
      <c r="Q146" s="10">
        <f>-Q119*Q147</f>
        <v>-280.96262521466389</v>
      </c>
      <c r="V146" s="10">
        <v>-1895.3</v>
      </c>
      <c r="W146" s="10">
        <f>SUM(J146:M146)</f>
        <v>-1550.2487999999998</v>
      </c>
      <c r="X146" s="10">
        <f>SUM(N146:Q146)</f>
        <v>-1110.5419770476497</v>
      </c>
      <c r="Y146" s="10">
        <f t="shared" ref="Y146:AG146" si="138">-Y119*Y147</f>
        <v>-1132.8413048655248</v>
      </c>
      <c r="Z146" s="10">
        <f t="shared" si="138"/>
        <v>-1169.0922266212217</v>
      </c>
      <c r="AA146" s="10">
        <f t="shared" si="138"/>
        <v>-1206.5031778731009</v>
      </c>
      <c r="AB146" s="10">
        <f t="shared" si="138"/>
        <v>-1245.1112795650401</v>
      </c>
      <c r="AC146" s="10">
        <f t="shared" si="138"/>
        <v>-1284.9548405111213</v>
      </c>
      <c r="AD146" s="10">
        <f t="shared" si="138"/>
        <v>-1326.0733954074772</v>
      </c>
      <c r="AE146" s="10">
        <f t="shared" si="138"/>
        <v>-1368.5077440605166</v>
      </c>
      <c r="AF146" s="10">
        <f t="shared" si="138"/>
        <v>-1412.2999918704531</v>
      </c>
      <c r="AG146" s="10">
        <f t="shared" si="138"/>
        <v>-1457.4935916103077</v>
      </c>
    </row>
    <row r="147" spans="1:33">
      <c r="A147" s="4" t="s">
        <v>98</v>
      </c>
      <c r="J147" s="10">
        <v>131.9</v>
      </c>
      <c r="K147" s="10">
        <f>510.4-J147</f>
        <v>378.5</v>
      </c>
      <c r="L147" s="10">
        <f>752.9-K147-J147</f>
        <v>242.49999999999997</v>
      </c>
      <c r="M147" s="10">
        <f>M118*(L78+L73)</f>
        <v>247.40799999999999</v>
      </c>
      <c r="N147" s="10">
        <f>N118*(M78+M73)</f>
        <v>249.38726399999999</v>
      </c>
      <c r="O147" s="10">
        <f>O118*(N78+N73)</f>
        <v>251.38236211200001</v>
      </c>
      <c r="P147" s="10">
        <f>P118*(O78+O73)</f>
        <v>253.39342100889601</v>
      </c>
      <c r="Q147" s="10">
        <f>Q118*(P78+P73)</f>
        <v>255.42056837696717</v>
      </c>
      <c r="V147" s="10">
        <v>1370.1</v>
      </c>
      <c r="W147" s="10">
        <f>SUM(J147:M147)</f>
        <v>1000.308</v>
      </c>
      <c r="X147" s="10">
        <f>SUM(N147:Q147)</f>
        <v>1009.5836154978631</v>
      </c>
      <c r="Y147" s="10">
        <f>Y118*(X78+X73)</f>
        <v>1029.8557316959316</v>
      </c>
      <c r="Z147" s="10">
        <f t="shared" ref="Z147:AG147" si="139">Z118*(Y78+Y73)</f>
        <v>1062.8111151102014</v>
      </c>
      <c r="AA147" s="10">
        <f t="shared" si="139"/>
        <v>1096.821070793728</v>
      </c>
      <c r="AB147" s="10">
        <f t="shared" si="139"/>
        <v>1131.9193450591274</v>
      </c>
      <c r="AC147" s="10">
        <f t="shared" si="139"/>
        <v>1168.1407641010194</v>
      </c>
      <c r="AD147" s="10">
        <f t="shared" si="139"/>
        <v>1205.521268552252</v>
      </c>
      <c r="AE147" s="10">
        <f t="shared" si="139"/>
        <v>1244.0979491459241</v>
      </c>
      <c r="AF147" s="10">
        <f t="shared" si="139"/>
        <v>1283.9090835185937</v>
      </c>
      <c r="AG147" s="10">
        <f t="shared" si="139"/>
        <v>1324.9941741911887</v>
      </c>
    </row>
    <row r="148" spans="1:33">
      <c r="A148" s="4" t="s">
        <v>99</v>
      </c>
      <c r="V148" s="10">
        <v>47.6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>
      <c r="A149" s="4" t="s">
        <v>100</v>
      </c>
      <c r="J149" s="10"/>
      <c r="K149" s="10"/>
      <c r="L149" s="10">
        <v>3.8</v>
      </c>
      <c r="V149" s="10">
        <v>111.5</v>
      </c>
      <c r="W149" s="10">
        <f>SUM(J149:M149)</f>
        <v>3.8</v>
      </c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>
      <c r="A150" s="4" t="s">
        <v>101</v>
      </c>
      <c r="J150" s="10"/>
      <c r="K150" s="10"/>
      <c r="L150" s="10">
        <v>-1.5</v>
      </c>
      <c r="V150" s="10"/>
      <c r="W150" s="10">
        <f>SUM(J150:M150)</f>
        <v>-1.5</v>
      </c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>
      <c r="A151" s="61" t="s">
        <v>102</v>
      </c>
      <c r="J151" s="19">
        <f t="shared" ref="J151:Q151" si="140">J145+J146+J147+J148+J149+J150</f>
        <v>-359.20000000000005</v>
      </c>
      <c r="K151" s="19">
        <f t="shared" si="140"/>
        <v>-169</v>
      </c>
      <c r="L151" s="19">
        <f t="shared" si="140"/>
        <v>-93.999999999999929</v>
      </c>
      <c r="M151" s="19">
        <f t="shared" si="140"/>
        <v>-49.740800000000007</v>
      </c>
      <c r="N151" s="19">
        <f t="shared" si="140"/>
        <v>-49.938726400000036</v>
      </c>
      <c r="O151" s="19">
        <f t="shared" si="140"/>
        <v>-50.138236211200024</v>
      </c>
      <c r="P151" s="19">
        <f t="shared" si="140"/>
        <v>-50.339342100889638</v>
      </c>
      <c r="Q151" s="19">
        <f t="shared" si="140"/>
        <v>-50.54205683769672</v>
      </c>
      <c r="R151" s="67"/>
      <c r="V151" s="19">
        <f>V145+V146+V147+V148+V149+V150</f>
        <v>-486.9</v>
      </c>
      <c r="W151" s="10">
        <f>SUM(J151:M151)</f>
        <v>-671.94079999999997</v>
      </c>
      <c r="X151" s="10">
        <f>SUM(N151:Q151)</f>
        <v>-200.95836154978642</v>
      </c>
      <c r="Y151" s="10">
        <f t="shared" ref="Y151:AG151" si="141">SUM(O151:R151)</f>
        <v>-151.01963514978638</v>
      </c>
      <c r="Z151" s="10">
        <f t="shared" si="141"/>
        <v>-100.88139893858636</v>
      </c>
      <c r="AA151" s="10">
        <f t="shared" si="141"/>
        <v>-50.54205683769672</v>
      </c>
      <c r="AB151" s="10">
        <f t="shared" si="141"/>
        <v>0</v>
      </c>
      <c r="AC151" s="10">
        <f t="shared" si="141"/>
        <v>-486.9</v>
      </c>
      <c r="AD151" s="10">
        <f t="shared" si="141"/>
        <v>-1158.8407999999999</v>
      </c>
      <c r="AE151" s="10">
        <f t="shared" si="141"/>
        <v>-1359.7991615497863</v>
      </c>
      <c r="AF151" s="10">
        <f t="shared" si="141"/>
        <v>-1510.8187966995727</v>
      </c>
      <c r="AG151" s="10">
        <f t="shared" si="141"/>
        <v>-1124.800195638159</v>
      </c>
    </row>
    <row r="152" spans="1:33">
      <c r="J152" s="10"/>
      <c r="K152" s="10"/>
      <c r="L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>
      <c r="A153" s="4" t="s">
        <v>103</v>
      </c>
      <c r="J153" s="10">
        <v>800</v>
      </c>
      <c r="K153" s="10"/>
      <c r="L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>
      <c r="A154" s="4" t="s">
        <v>104</v>
      </c>
      <c r="J154" s="10">
        <v>-800</v>
      </c>
      <c r="K154" s="10"/>
      <c r="L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>
      <c r="A155" s="4" t="s">
        <v>105</v>
      </c>
      <c r="J155" s="10">
        <v>-7.5</v>
      </c>
      <c r="K155" s="10"/>
      <c r="L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>
      <c r="A156" s="4" t="s">
        <v>106</v>
      </c>
      <c r="J156" s="10">
        <v>4.3</v>
      </c>
      <c r="K156" s="10">
        <f>28.2-J156</f>
        <v>23.9</v>
      </c>
      <c r="L156" s="10">
        <f>32.9-K156-J156</f>
        <v>4.7</v>
      </c>
      <c r="M156" s="10"/>
      <c r="V156" s="10">
        <v>50</v>
      </c>
      <c r="W156" s="10">
        <f>SUM(J156:M156)</f>
        <v>32.9</v>
      </c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>
      <c r="A157" s="4" t="s">
        <v>107</v>
      </c>
      <c r="J157" s="10">
        <v>3.3</v>
      </c>
      <c r="K157" s="10"/>
      <c r="L157" s="10">
        <f>5.9-K157-J157</f>
        <v>2.6000000000000005</v>
      </c>
      <c r="V157" s="10">
        <v>5.6</v>
      </c>
      <c r="W157" s="10">
        <f>SUM(J157:M157)</f>
        <v>5.9</v>
      </c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>
      <c r="A158" s="4" t="s">
        <v>108</v>
      </c>
      <c r="J158" s="10">
        <v>-11.1</v>
      </c>
      <c r="K158" s="10"/>
      <c r="L158" s="10">
        <f>-11.4-J158</f>
        <v>-0.30000000000000071</v>
      </c>
      <c r="V158" s="10">
        <v>-10.8</v>
      </c>
      <c r="W158" s="10">
        <f>SUM(J158:M158)</f>
        <v>-11.4</v>
      </c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s="67" customFormat="1">
      <c r="A159" s="61" t="s">
        <v>109</v>
      </c>
      <c r="J159" s="19">
        <f t="shared" ref="J159:Q159" si="142">J153+J154+J155+J156+J157+J158</f>
        <v>-11</v>
      </c>
      <c r="K159" s="19">
        <f t="shared" si="142"/>
        <v>23.9</v>
      </c>
      <c r="L159" s="19">
        <f t="shared" si="142"/>
        <v>7</v>
      </c>
      <c r="M159" s="19">
        <f t="shared" si="142"/>
        <v>0</v>
      </c>
      <c r="N159" s="19">
        <f t="shared" si="142"/>
        <v>0</v>
      </c>
      <c r="O159" s="19">
        <f t="shared" si="142"/>
        <v>0</v>
      </c>
      <c r="P159" s="19">
        <f t="shared" si="142"/>
        <v>0</v>
      </c>
      <c r="Q159" s="19">
        <f t="shared" si="142"/>
        <v>0</v>
      </c>
      <c r="V159" s="19">
        <f>V153+V154+V155+V156+V157+V158</f>
        <v>44.8</v>
      </c>
      <c r="W159" s="10">
        <f>SUM(J159:M159)</f>
        <v>19.899999999999999</v>
      </c>
      <c r="X159" s="10">
        <f>SUM(N159:Q159)</f>
        <v>0</v>
      </c>
      <c r="Y159" s="10">
        <f t="shared" ref="Y159:AG159" si="143">SUM(O159:R159)</f>
        <v>0</v>
      </c>
      <c r="Z159" s="10">
        <f t="shared" si="143"/>
        <v>0</v>
      </c>
      <c r="AA159" s="10">
        <f t="shared" si="143"/>
        <v>0</v>
      </c>
      <c r="AB159" s="10">
        <f t="shared" si="143"/>
        <v>0</v>
      </c>
      <c r="AC159" s="10">
        <f t="shared" si="143"/>
        <v>44.8</v>
      </c>
      <c r="AD159" s="10">
        <f t="shared" si="143"/>
        <v>64.699999999999989</v>
      </c>
      <c r="AE159" s="10">
        <f t="shared" si="143"/>
        <v>64.699999999999989</v>
      </c>
      <c r="AF159" s="10">
        <f t="shared" si="143"/>
        <v>64.699999999999989</v>
      </c>
      <c r="AG159" s="10">
        <f t="shared" si="143"/>
        <v>19.899999999999999</v>
      </c>
    </row>
    <row r="160" spans="1:33"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s="67" customFormat="1">
      <c r="A161" s="61" t="s">
        <v>110</v>
      </c>
      <c r="J161" s="19">
        <f t="shared" ref="J161:Q161" si="144">J143+J151+J159</f>
        <v>-81.5</v>
      </c>
      <c r="K161" s="19">
        <f t="shared" si="144"/>
        <v>-18.099999999999973</v>
      </c>
      <c r="L161" s="19">
        <f t="shared" si="144"/>
        <v>171.60000000000019</v>
      </c>
      <c r="M161" s="19">
        <f t="shared" si="144"/>
        <v>270.41927640737083</v>
      </c>
      <c r="N161" s="19">
        <f t="shared" si="144"/>
        <v>206.65546039829681</v>
      </c>
      <c r="O161" s="19">
        <f t="shared" si="144"/>
        <v>218.13307112258065</v>
      </c>
      <c r="P161" s="19">
        <f t="shared" si="144"/>
        <v>260.57998362522733</v>
      </c>
      <c r="Q161" s="19">
        <f t="shared" si="144"/>
        <v>268.26990947722913</v>
      </c>
      <c r="V161" s="19">
        <f>V143+V151+V159</f>
        <v>156.10000000000031</v>
      </c>
      <c r="W161" s="19">
        <f>W143+W151+W159</f>
        <v>342.41927640737117</v>
      </c>
      <c r="X161" s="19">
        <f t="shared" ref="X161:AG161" si="145">X143+X151+X159</f>
        <v>953.63842462333366</v>
      </c>
      <c r="Y161" s="19">
        <f t="shared" si="145"/>
        <v>1391.0519559878574</v>
      </c>
      <c r="Z161" s="19">
        <f t="shared" si="145"/>
        <v>1511.1815437755922</v>
      </c>
      <c r="AA161" s="19">
        <f t="shared" si="145"/>
        <v>1462.1773129781793</v>
      </c>
      <c r="AB161" s="19">
        <f t="shared" si="145"/>
        <v>1433.9317667479404</v>
      </c>
      <c r="AC161" s="19">
        <f t="shared" si="145"/>
        <v>1475.4066498550494</v>
      </c>
      <c r="AD161" s="19">
        <f t="shared" si="145"/>
        <v>1514.0117083262678</v>
      </c>
      <c r="AE161" s="19">
        <f t="shared" si="145"/>
        <v>1558.2887822501336</v>
      </c>
      <c r="AF161" s="19">
        <f t="shared" si="145"/>
        <v>1609.2205340117275</v>
      </c>
      <c r="AG161" s="19">
        <f t="shared" si="145"/>
        <v>1663.249670935405</v>
      </c>
    </row>
    <row r="162" spans="1:33">
      <c r="A162" s="4" t="s">
        <v>111</v>
      </c>
      <c r="J162" s="10">
        <v>894.8</v>
      </c>
      <c r="K162" s="10">
        <f t="shared" ref="K162:Q162" si="146">J163</f>
        <v>813.3</v>
      </c>
      <c r="L162" s="10">
        <f t="shared" si="146"/>
        <v>795.19999999999993</v>
      </c>
      <c r="M162" s="10">
        <f t="shared" si="146"/>
        <v>966.80000000000018</v>
      </c>
      <c r="N162" s="10">
        <f t="shared" si="146"/>
        <v>1237.2192764073711</v>
      </c>
      <c r="O162" s="10">
        <f t="shared" si="146"/>
        <v>1443.8747368056679</v>
      </c>
      <c r="P162" s="10">
        <f t="shared" si="146"/>
        <v>1662.0078079282484</v>
      </c>
      <c r="Q162" s="10">
        <f t="shared" si="146"/>
        <v>1922.5877915534757</v>
      </c>
      <c r="V162" s="10">
        <v>738.7</v>
      </c>
      <c r="W162" s="10">
        <f>V163</f>
        <v>894.80000000000041</v>
      </c>
      <c r="X162" s="10">
        <f>W163</f>
        <v>1237.2192764073716</v>
      </c>
      <c r="Y162" s="10">
        <f t="shared" ref="Y162:AG162" si="147">X163</f>
        <v>2190.8577010307054</v>
      </c>
      <c r="Z162" s="10">
        <f t="shared" si="147"/>
        <v>3581.9096570185629</v>
      </c>
      <c r="AA162" s="10">
        <f t="shared" si="147"/>
        <v>5093.0912007941552</v>
      </c>
      <c r="AB162" s="10">
        <f t="shared" si="147"/>
        <v>6555.2685137723347</v>
      </c>
      <c r="AC162" s="10">
        <f t="shared" si="147"/>
        <v>7989.2002805202756</v>
      </c>
      <c r="AD162" s="10">
        <f t="shared" si="147"/>
        <v>9464.6069303753247</v>
      </c>
      <c r="AE162" s="10">
        <f t="shared" si="147"/>
        <v>10978.618638701593</v>
      </c>
      <c r="AF162" s="10">
        <f t="shared" si="147"/>
        <v>12536.907420951728</v>
      </c>
      <c r="AG162" s="10">
        <f t="shared" si="147"/>
        <v>14146.127954963455</v>
      </c>
    </row>
    <row r="163" spans="1:33">
      <c r="A163" s="4" t="s">
        <v>112</v>
      </c>
      <c r="J163" s="10">
        <f t="shared" ref="J163:Q163" si="148">J162+J161</f>
        <v>813.3</v>
      </c>
      <c r="K163" s="10">
        <f t="shared" si="148"/>
        <v>795.19999999999993</v>
      </c>
      <c r="L163" s="10">
        <f t="shared" si="148"/>
        <v>966.80000000000018</v>
      </c>
      <c r="M163" s="10">
        <f t="shared" si="148"/>
        <v>1237.2192764073711</v>
      </c>
      <c r="N163" s="10">
        <f t="shared" si="148"/>
        <v>1443.8747368056679</v>
      </c>
      <c r="O163" s="10">
        <f t="shared" si="148"/>
        <v>1662.0078079282484</v>
      </c>
      <c r="P163" s="10">
        <f t="shared" si="148"/>
        <v>1922.5877915534757</v>
      </c>
      <c r="Q163" s="10">
        <f t="shared" si="148"/>
        <v>2190.8577010307049</v>
      </c>
      <c r="V163" s="10">
        <f>V161+V162</f>
        <v>894.80000000000041</v>
      </c>
      <c r="W163" s="10">
        <f>W161+W162</f>
        <v>1237.2192764073716</v>
      </c>
      <c r="X163" s="10">
        <f>X161+X162</f>
        <v>2190.8577010307054</v>
      </c>
      <c r="Y163" s="10">
        <f t="shared" ref="Y163:AG163" si="149">Y161+Y162</f>
        <v>3581.9096570185629</v>
      </c>
      <c r="Z163" s="10">
        <f t="shared" si="149"/>
        <v>5093.0912007941552</v>
      </c>
      <c r="AA163" s="10">
        <f t="shared" si="149"/>
        <v>6555.2685137723347</v>
      </c>
      <c r="AB163" s="10">
        <f t="shared" si="149"/>
        <v>7989.2002805202756</v>
      </c>
      <c r="AC163" s="10">
        <f t="shared" si="149"/>
        <v>9464.6069303753247</v>
      </c>
      <c r="AD163" s="10">
        <f t="shared" si="149"/>
        <v>10978.618638701593</v>
      </c>
      <c r="AE163" s="10">
        <f t="shared" si="149"/>
        <v>12536.907420951728</v>
      </c>
      <c r="AF163" s="10">
        <f t="shared" si="149"/>
        <v>14146.127954963455</v>
      </c>
      <c r="AG163" s="10">
        <f t="shared" si="149"/>
        <v>15809.37762589886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4441-A34E-A44A-8975-C431DFBE5393}">
  <dimension ref="A1:S51"/>
  <sheetViews>
    <sheetView topLeftCell="A11" zoomScale="90" workbookViewId="0">
      <selection activeCell="L29" sqref="L29"/>
    </sheetView>
  </sheetViews>
  <sheetFormatPr baseColWidth="10" defaultRowHeight="17"/>
  <cols>
    <col min="1" max="1" width="10.83203125" style="4"/>
    <col min="2" max="2" width="20.1640625" style="4" customWidth="1"/>
    <col min="3" max="4" width="10.83203125" style="4"/>
    <col min="5" max="5" width="12" style="4" customWidth="1"/>
    <col min="6" max="16384" width="10.83203125" style="4"/>
  </cols>
  <sheetData>
    <row r="1" spans="1:19" ht="26">
      <c r="A1" s="3" t="s">
        <v>121</v>
      </c>
    </row>
    <row r="2" spans="1:19">
      <c r="A2" s="4" t="s">
        <v>122</v>
      </c>
    </row>
    <row r="6" spans="1:19">
      <c r="B6" s="5" t="s">
        <v>169</v>
      </c>
      <c r="C6" s="6"/>
    </row>
    <row r="7" spans="1:19">
      <c r="B7" s="7" t="s">
        <v>171</v>
      </c>
      <c r="C7" s="8">
        <v>0.04</v>
      </c>
      <c r="F7" s="5" t="s">
        <v>147</v>
      </c>
      <c r="G7" s="9" t="s">
        <v>146</v>
      </c>
      <c r="H7" s="9" t="s">
        <v>148</v>
      </c>
      <c r="I7" s="9" t="s">
        <v>149</v>
      </c>
      <c r="J7" s="9" t="s">
        <v>150</v>
      </c>
      <c r="K7" s="9" t="s">
        <v>151</v>
      </c>
      <c r="L7" s="9" t="s">
        <v>152</v>
      </c>
      <c r="M7" s="9" t="s">
        <v>153</v>
      </c>
      <c r="N7" s="9" t="s">
        <v>154</v>
      </c>
      <c r="O7" s="9" t="s">
        <v>155</v>
      </c>
      <c r="P7" s="6" t="s">
        <v>156</v>
      </c>
    </row>
    <row r="8" spans="1:19">
      <c r="B8" s="7" t="s">
        <v>161</v>
      </c>
      <c r="C8" s="8">
        <v>0.06</v>
      </c>
      <c r="E8" s="4" t="s">
        <v>145</v>
      </c>
      <c r="F8" s="10">
        <f>Model!M47</f>
        <v>499.75400000000008</v>
      </c>
      <c r="G8" s="10">
        <f>Model!X47</f>
        <v>2256.7222899999997</v>
      </c>
      <c r="H8" s="10">
        <f>Model!Y47</f>
        <v>2553.4661179999998</v>
      </c>
      <c r="I8" s="10">
        <f>Model!Z47</f>
        <v>2900.7439866520003</v>
      </c>
      <c r="J8" s="10">
        <f>Model!AA47</f>
        <v>2893.2277637632405</v>
      </c>
      <c r="K8" s="10">
        <f>Model!AB47</f>
        <v>2894.9642481231003</v>
      </c>
      <c r="L8" s="10">
        <f>Model!AC47</f>
        <v>2981.0014241432364</v>
      </c>
      <c r="M8" s="10">
        <f>Model!AD47</f>
        <v>3072.9142159635639</v>
      </c>
      <c r="N8" s="10">
        <f>Model!AE47</f>
        <v>3171.1330528976341</v>
      </c>
      <c r="O8" s="10">
        <f>Model!AF47</f>
        <v>3276.1212340374877</v>
      </c>
      <c r="P8" s="10">
        <f>Model!AG47</f>
        <v>3388.3774958602139</v>
      </c>
    </row>
    <row r="9" spans="1:19">
      <c r="B9" s="11" t="s">
        <v>160</v>
      </c>
      <c r="C9" s="12">
        <f>C7+C8</f>
        <v>0.1</v>
      </c>
      <c r="F9" s="10"/>
      <c r="G9" s="10"/>
      <c r="H9" s="13"/>
      <c r="I9" s="13"/>
      <c r="J9" s="13"/>
      <c r="K9" s="13"/>
      <c r="L9" s="13"/>
      <c r="M9" s="13"/>
      <c r="N9" s="13"/>
      <c r="O9" s="13"/>
      <c r="P9" s="13"/>
    </row>
    <row r="10" spans="1:19" s="14" customFormat="1">
      <c r="B10" s="15" t="s">
        <v>170</v>
      </c>
      <c r="C10" s="16">
        <v>-0.02</v>
      </c>
      <c r="E10" s="14" t="s">
        <v>117</v>
      </c>
      <c r="F10" s="10">
        <f>Model!L56</f>
        <v>314.3</v>
      </c>
      <c r="G10" s="10">
        <f>Model!X56</f>
        <v>1324.8251706547694</v>
      </c>
      <c r="H10" s="10">
        <f>Model!Y56</f>
        <v>1579.8193400334126</v>
      </c>
      <c r="I10" s="10">
        <f>Model!Z56</f>
        <v>1868.8934082883575</v>
      </c>
      <c r="J10" s="10">
        <f>Model!AA56</f>
        <v>1822.7356573711647</v>
      </c>
      <c r="K10" s="10">
        <f>Model!AB56</f>
        <v>1783.4694325432465</v>
      </c>
      <c r="L10" s="10">
        <f>Model!AC56</f>
        <v>1821.5553833048666</v>
      </c>
      <c r="M10" s="10">
        <f>Model!AD56</f>
        <v>1863.1854905371697</v>
      </c>
      <c r="N10" s="10">
        <f>Model!AE56</f>
        <v>1908.671727566551</v>
      </c>
      <c r="O10" s="10">
        <f>Model!AF56</f>
        <v>1958.3525832792939</v>
      </c>
      <c r="P10" s="10">
        <f>Model!AG56</f>
        <v>2012.5952664546423</v>
      </c>
    </row>
    <row r="11" spans="1:19">
      <c r="B11" s="7" t="s">
        <v>163</v>
      </c>
      <c r="C11" s="17">
        <f>(P12*(1-P16))/(C9-C10)</f>
        <v>4527.3735277034857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S11" s="14"/>
    </row>
    <row r="12" spans="1:19" s="14" customFormat="1">
      <c r="B12" s="7" t="s">
        <v>162</v>
      </c>
      <c r="C12" s="17">
        <f>SUM(F18:P18)</f>
        <v>8136.3035692150552</v>
      </c>
      <c r="E12" s="18" t="s">
        <v>83</v>
      </c>
      <c r="F12" s="19">
        <f>Model!M64</f>
        <v>208.93460000000005</v>
      </c>
      <c r="G12" s="19">
        <f>Model!W64*(1+G13)</f>
        <v>1053.0606029088167</v>
      </c>
      <c r="H12" s="19">
        <f>G12*(1+H13)</f>
        <v>1228.6295966531441</v>
      </c>
      <c r="I12" s="19">
        <f t="shared" ref="I12:P12" si="0">H12*(1+I13)</f>
        <v>1448.8436901242874</v>
      </c>
      <c r="J12" s="19">
        <f t="shared" si="0"/>
        <v>1399.5310379745176</v>
      </c>
      <c r="K12" s="19">
        <f t="shared" si="0"/>
        <v>1371.2399938421636</v>
      </c>
      <c r="L12" s="19">
        <f t="shared" si="0"/>
        <v>1408.3218186451852</v>
      </c>
      <c r="M12" s="19">
        <f t="shared" si="0"/>
        <v>1438.2017512747473</v>
      </c>
      <c r="N12" s="19">
        <f t="shared" si="0"/>
        <v>1473.0718397361045</v>
      </c>
      <c r="O12" s="19">
        <f t="shared" si="0"/>
        <v>1514.0145107076182</v>
      </c>
      <c r="P12" s="19">
        <f t="shared" si="0"/>
        <v>1558.1256563170512</v>
      </c>
    </row>
    <row r="13" spans="1:19">
      <c r="B13" s="11" t="s">
        <v>167</v>
      </c>
      <c r="C13" s="20">
        <f>C11+C12</f>
        <v>12663.677096918542</v>
      </c>
      <c r="E13" s="4" t="s">
        <v>157</v>
      </c>
      <c r="F13" s="13"/>
      <c r="G13" s="21">
        <f>Model!X64/Model!W64-1</f>
        <v>0.32604800610477946</v>
      </c>
      <c r="H13" s="21">
        <f>Model!Y64/Model!X64-1</f>
        <v>0.16672259246938115</v>
      </c>
      <c r="I13" s="21">
        <f>Model!Z64/Model!Y64-1</f>
        <v>0.17923554346323645</v>
      </c>
      <c r="J13" s="21">
        <f>Model!AA64/Model!Z64-1</f>
        <v>-3.4035867696355471E-2</v>
      </c>
      <c r="K13" s="21">
        <f>Model!AB64/Model!AA64-1</f>
        <v>-2.0214660028761156E-2</v>
      </c>
      <c r="L13" s="21">
        <f>Model!AC64/Model!AB64-1</f>
        <v>2.7042549057455512E-2</v>
      </c>
      <c r="M13" s="21">
        <f>Model!AD64/Model!AC64-1</f>
        <v>2.1216693680359722E-2</v>
      </c>
      <c r="N13" s="21">
        <f>Model!AE64/Model!AD64-1</f>
        <v>2.4245616743582943E-2</v>
      </c>
      <c r="O13" s="21">
        <f>Model!AF64/Model!AE64-1</f>
        <v>2.779407620666241E-2</v>
      </c>
      <c r="P13" s="21">
        <f>Model!AG64/Model!AF64-1</f>
        <v>2.9135219839350412E-2</v>
      </c>
      <c r="S13" s="121"/>
    </row>
    <row r="14" spans="1:19">
      <c r="B14" s="15" t="s">
        <v>164</v>
      </c>
      <c r="C14" s="22">
        <f>Model!L72+Model!L73</f>
        <v>2615.6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9">
      <c r="B15" s="7" t="s">
        <v>165</v>
      </c>
      <c r="C15" s="23">
        <v>800</v>
      </c>
      <c r="E15" s="4" t="s">
        <v>158</v>
      </c>
      <c r="F15" s="13">
        <v>0</v>
      </c>
      <c r="G15" s="13">
        <v>1</v>
      </c>
      <c r="H15" s="13">
        <v>2</v>
      </c>
      <c r="I15" s="13">
        <v>3</v>
      </c>
      <c r="J15" s="13">
        <v>4</v>
      </c>
      <c r="K15" s="13">
        <v>5</v>
      </c>
      <c r="L15" s="13">
        <v>6</v>
      </c>
      <c r="M15" s="13">
        <v>7</v>
      </c>
      <c r="N15" s="13">
        <v>8</v>
      </c>
      <c r="O15" s="13">
        <v>9</v>
      </c>
      <c r="P15" s="13">
        <v>10</v>
      </c>
    </row>
    <row r="16" spans="1:19">
      <c r="B16" s="7" t="s">
        <v>166</v>
      </c>
      <c r="C16" s="17">
        <f>C13+C14-C15</f>
        <v>14479.277096918542</v>
      </c>
      <c r="E16" s="4" t="s">
        <v>159</v>
      </c>
      <c r="F16" s="21">
        <f t="shared" ref="F16:P16" si="1">1-(1-$C$9)^F15</f>
        <v>0</v>
      </c>
      <c r="G16" s="21">
        <f t="shared" si="1"/>
        <v>9.9999999999999978E-2</v>
      </c>
      <c r="H16" s="21">
        <f t="shared" si="1"/>
        <v>0.18999999999999995</v>
      </c>
      <c r="I16" s="21">
        <f t="shared" si="1"/>
        <v>0.27099999999999991</v>
      </c>
      <c r="J16" s="21">
        <f t="shared" si="1"/>
        <v>0.34389999999999987</v>
      </c>
      <c r="K16" s="21">
        <f t="shared" si="1"/>
        <v>0.40950999999999982</v>
      </c>
      <c r="L16" s="21">
        <f t="shared" si="1"/>
        <v>0.46855899999999984</v>
      </c>
      <c r="M16" s="21">
        <f t="shared" si="1"/>
        <v>0.52170309999999986</v>
      </c>
      <c r="N16" s="21">
        <f t="shared" si="1"/>
        <v>0.56953278999999979</v>
      </c>
      <c r="O16" s="21">
        <f t="shared" si="1"/>
        <v>0.61257951099999985</v>
      </c>
      <c r="P16" s="21">
        <f t="shared" si="1"/>
        <v>0.65132155989999985</v>
      </c>
    </row>
    <row r="17" spans="2:16">
      <c r="B17" s="15" t="s">
        <v>20</v>
      </c>
      <c r="C17" s="24">
        <f>Model!L67</f>
        <v>48.7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2:16">
      <c r="B18" s="25" t="s">
        <v>168</v>
      </c>
      <c r="C18" s="26">
        <f>C16/C17</f>
        <v>297.31575147676676</v>
      </c>
      <c r="E18" s="4" t="s">
        <v>162</v>
      </c>
      <c r="F18" s="10">
        <f>F12*(1-F16)</f>
        <v>208.93460000000005</v>
      </c>
      <c r="G18" s="10">
        <f t="shared" ref="G18:O18" si="2">G12*(1-G16)</f>
        <v>947.75454261793504</v>
      </c>
      <c r="H18" s="10">
        <f t="shared" si="2"/>
        <v>995.18997328904675</v>
      </c>
      <c r="I18" s="10">
        <f t="shared" si="2"/>
        <v>1056.2070501006056</v>
      </c>
      <c r="J18" s="10">
        <f t="shared" si="2"/>
        <v>918.23231401508122</v>
      </c>
      <c r="K18" s="10">
        <f t="shared" si="2"/>
        <v>809.70350396385948</v>
      </c>
      <c r="L18" s="10">
        <f t="shared" si="2"/>
        <v>748.43995562261614</v>
      </c>
      <c r="M18" s="10">
        <f t="shared" si="2"/>
        <v>687.88743920928289</v>
      </c>
      <c r="N18" s="10">
        <f t="shared" si="2"/>
        <v>634.10912498076834</v>
      </c>
      <c r="O18" s="10">
        <f t="shared" si="2"/>
        <v>586.56024209144141</v>
      </c>
      <c r="P18" s="10">
        <f>P12*(1-P16)</f>
        <v>543.28482332441831</v>
      </c>
    </row>
    <row r="19" spans="2:16"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1" spans="2:16">
      <c r="B21" s="4" t="s">
        <v>189</v>
      </c>
    </row>
    <row r="23" spans="2:16">
      <c r="B23" s="27" t="s">
        <v>170</v>
      </c>
      <c r="C23" s="28"/>
      <c r="D23" s="28"/>
      <c r="E23" s="28"/>
      <c r="F23" s="28" t="s">
        <v>160</v>
      </c>
      <c r="G23" s="28"/>
      <c r="H23" s="28"/>
      <c r="I23" s="28"/>
      <c r="J23" s="28"/>
      <c r="K23" s="24"/>
    </row>
    <row r="24" spans="2:16">
      <c r="B24" s="29">
        <f>C18</f>
        <v>297.31575147676676</v>
      </c>
      <c r="C24" s="30">
        <f>D24-0.01</f>
        <v>7.0000000000000021E-2</v>
      </c>
      <c r="D24" s="30">
        <f>E24-0.01</f>
        <v>8.0000000000000016E-2</v>
      </c>
      <c r="E24" s="30">
        <f>F24-0.01</f>
        <v>9.0000000000000011E-2</v>
      </c>
      <c r="F24" s="31">
        <v>0.1</v>
      </c>
      <c r="G24" s="30">
        <f>F24+0.01</f>
        <v>0.11</v>
      </c>
      <c r="H24" s="30">
        <f>G24+0.01</f>
        <v>0.12</v>
      </c>
      <c r="I24" s="30">
        <f>H24+0.01</f>
        <v>0.13</v>
      </c>
      <c r="J24" s="30">
        <f>I24+0.01</f>
        <v>0.14000000000000001</v>
      </c>
      <c r="K24" s="32">
        <f>J24+0.01</f>
        <v>0.15000000000000002</v>
      </c>
      <c r="L24" s="33"/>
    </row>
    <row r="25" spans="2:16">
      <c r="B25" s="34">
        <f>B26-0.01</f>
        <v>-0.04</v>
      </c>
      <c r="C25" s="35">
        <f t="dataTable" ref="C25:K31" dt2D="1" dtr="1" r1="C9" r2="C10" ca="1"/>
        <v>374.35620701760655</v>
      </c>
      <c r="D25" s="35">
        <v>339.05617835641772</v>
      </c>
      <c r="E25" s="35">
        <v>309.34651329597654</v>
      </c>
      <c r="F25" s="35">
        <v>284.03510164484101</v>
      </c>
      <c r="G25" s="35">
        <v>262.24604616382982</v>
      </c>
      <c r="H25" s="35">
        <v>243.32104083371129</v>
      </c>
      <c r="I25" s="35">
        <v>226.7555405380399</v>
      </c>
      <c r="J25" s="35">
        <v>212.15619321934577</v>
      </c>
      <c r="K25" s="36">
        <v>199.21170191068339</v>
      </c>
    </row>
    <row r="26" spans="2:16">
      <c r="B26" s="34">
        <f>B27-0.01</f>
        <v>-0.03</v>
      </c>
      <c r="C26" s="35">
        <v>388.43321373815115</v>
      </c>
      <c r="D26" s="35">
        <v>349.58495371784119</v>
      </c>
      <c r="E26" s="35">
        <v>317.33313000506951</v>
      </c>
      <c r="F26" s="35">
        <v>290.16463233649904</v>
      </c>
      <c r="G26" s="35">
        <v>266.99670988055743</v>
      </c>
      <c r="H26" s="35">
        <v>247.03373347599046</v>
      </c>
      <c r="I26" s="35">
        <v>229.67765443526145</v>
      </c>
      <c r="J26" s="35">
        <v>214.47005068904093</v>
      </c>
      <c r="K26" s="36">
        <v>201.05347731370833</v>
      </c>
    </row>
    <row r="27" spans="2:16">
      <c r="B27" s="37">
        <v>-0.02</v>
      </c>
      <c r="C27" s="35">
        <v>405.63844417437235</v>
      </c>
      <c r="D27" s="35">
        <v>362.21948415154924</v>
      </c>
      <c r="E27" s="35">
        <v>326.77185884308852</v>
      </c>
      <c r="F27" s="38">
        <v>297.31575147676676</v>
      </c>
      <c r="G27" s="35">
        <v>272.47824493832002</v>
      </c>
      <c r="H27" s="35">
        <v>251.27681078145238</v>
      </c>
      <c r="I27" s="35">
        <v>232.98938351877919</v>
      </c>
      <c r="J27" s="35">
        <v>217.073140342448</v>
      </c>
      <c r="K27" s="36">
        <v>203.1119321759127</v>
      </c>
    </row>
    <row r="28" spans="2:16">
      <c r="B28" s="34">
        <f>B27+0.01</f>
        <v>-0.01</v>
      </c>
      <c r="C28" s="35">
        <v>427.14498221964885</v>
      </c>
      <c r="D28" s="35">
        <v>377.66168801497031</v>
      </c>
      <c r="E28" s="35">
        <v>338.09833344871134</v>
      </c>
      <c r="F28" s="35">
        <v>305.76707409708314</v>
      </c>
      <c r="G28" s="35">
        <v>278.87336917237639</v>
      </c>
      <c r="H28" s="35">
        <v>256.17266921083149</v>
      </c>
      <c r="I28" s="35">
        <v>236.77421675708521</v>
      </c>
      <c r="J28" s="35">
        <v>220.02330861630935</v>
      </c>
      <c r="K28" s="36">
        <v>205.42769389589256</v>
      </c>
    </row>
    <row r="29" spans="2:16">
      <c r="B29" s="34">
        <f>B28+0.01</f>
        <v>0</v>
      </c>
      <c r="C29" s="35">
        <v>454.79624542071866</v>
      </c>
      <c r="D29" s="35">
        <v>396.96444284424672</v>
      </c>
      <c r="E29" s="35">
        <v>351.94180241113924</v>
      </c>
      <c r="F29" s="35">
        <v>315.90866124146277</v>
      </c>
      <c r="G29" s="35">
        <v>286.43124326717026</v>
      </c>
      <c r="H29" s="35">
        <v>261.88450404510718</v>
      </c>
      <c r="I29" s="35">
        <v>241.14133203205361</v>
      </c>
      <c r="J29" s="35">
        <v>223.39492950072224</v>
      </c>
      <c r="K29" s="36">
        <v>208.05222384520312</v>
      </c>
    </row>
    <row r="30" spans="2:16">
      <c r="B30" s="34">
        <f>B29+0.01</f>
        <v>0.01</v>
      </c>
      <c r="C30" s="35">
        <v>491.66459635547847</v>
      </c>
      <c r="D30" s="35">
        <v>421.78227048188768</v>
      </c>
      <c r="E30" s="35">
        <v>369.24613861417407</v>
      </c>
      <c r="F30" s="35">
        <v>328.30393441792677</v>
      </c>
      <c r="G30" s="35">
        <v>295.50069218092295</v>
      </c>
      <c r="H30" s="35">
        <v>268.63485430379654</v>
      </c>
      <c r="I30" s="35">
        <v>246.23629985285015</v>
      </c>
      <c r="J30" s="35">
        <v>227.28526129042953</v>
      </c>
      <c r="K30" s="36">
        <v>211.05168664441521</v>
      </c>
    </row>
    <row r="31" spans="2:16">
      <c r="B31" s="39">
        <f>B30+0.01</f>
        <v>0.02</v>
      </c>
      <c r="C31" s="40">
        <v>543.28028766414207</v>
      </c>
      <c r="D31" s="40">
        <v>454.87270733207566</v>
      </c>
      <c r="E31" s="40">
        <v>391.49457087521893</v>
      </c>
      <c r="F31" s="40">
        <v>343.79802588850686</v>
      </c>
      <c r="G31" s="40">
        <v>306.58557418662065</v>
      </c>
      <c r="H31" s="40">
        <v>276.73527461422384</v>
      </c>
      <c r="I31" s="40">
        <v>252.25762545924607</v>
      </c>
      <c r="J31" s="40">
        <v>231.82398171175464</v>
      </c>
      <c r="K31" s="41">
        <v>214.51260525889063</v>
      </c>
    </row>
    <row r="32" spans="2:16">
      <c r="E32" s="42"/>
    </row>
    <row r="33" spans="2:13">
      <c r="B33" s="43" t="s">
        <v>170</v>
      </c>
      <c r="C33" s="9"/>
      <c r="D33" s="9"/>
      <c r="E33" s="9"/>
      <c r="F33" s="9" t="s">
        <v>190</v>
      </c>
      <c r="G33" s="9"/>
      <c r="H33" s="9"/>
      <c r="I33" s="9"/>
      <c r="J33" s="9"/>
      <c r="K33" s="6"/>
    </row>
    <row r="34" spans="2:13">
      <c r="B34" s="29">
        <f>C18</f>
        <v>297.31575147676676</v>
      </c>
      <c r="C34" s="44">
        <f>D34-10%</f>
        <v>2.6048006104779448E-2</v>
      </c>
      <c r="D34" s="44">
        <f>E34-10%</f>
        <v>0.12604800610477945</v>
      </c>
      <c r="E34" s="44">
        <f>F34-10%</f>
        <v>0.22604800610477946</v>
      </c>
      <c r="F34" s="45">
        <v>0.32604800610477946</v>
      </c>
      <c r="G34" s="44">
        <f>F34+0.02</f>
        <v>0.34604800610477948</v>
      </c>
      <c r="H34" s="44">
        <f>G34+0.02</f>
        <v>0.3660480061047795</v>
      </c>
      <c r="I34" s="44">
        <f>H34+0.02</f>
        <v>0.38604800610477952</v>
      </c>
      <c r="J34" s="44">
        <f>I34+0.02</f>
        <v>0.40604800610477954</v>
      </c>
      <c r="K34" s="46">
        <f>J34+0.02</f>
        <v>0.42604800610477955</v>
      </c>
    </row>
    <row r="35" spans="2:13">
      <c r="B35" s="34">
        <f>B36-0.01</f>
        <v>-0.04</v>
      </c>
      <c r="C35" s="35">
        <f t="dataTable" ref="C35:K41" dt2D="1" dtr="1" r1="G13" r2="C10"/>
        <v>229.18108093807797</v>
      </c>
      <c r="D35" s="35">
        <v>247.46575450699902</v>
      </c>
      <c r="E35" s="35">
        <v>265.75042807592001</v>
      </c>
      <c r="F35" s="35">
        <v>284.03510164484101</v>
      </c>
      <c r="G35" s="35">
        <v>287.69203635862522</v>
      </c>
      <c r="H35" s="35">
        <v>291.34897107240937</v>
      </c>
      <c r="I35" s="35">
        <v>295.00590578619369</v>
      </c>
      <c r="J35" s="35">
        <v>298.66284049997785</v>
      </c>
      <c r="K35" s="36">
        <v>302.31977521376211</v>
      </c>
      <c r="M35" s="82"/>
    </row>
    <row r="36" spans="2:13">
      <c r="B36" s="34">
        <f>B37-0.01</f>
        <v>-0.03</v>
      </c>
      <c r="C36" s="35">
        <v>233.92389018448532</v>
      </c>
      <c r="D36" s="35">
        <v>252.6708042351566</v>
      </c>
      <c r="E36" s="35">
        <v>271.41771828582779</v>
      </c>
      <c r="F36" s="35">
        <v>290.16463233649904</v>
      </c>
      <c r="G36" s="35">
        <v>293.91401514663335</v>
      </c>
      <c r="H36" s="35">
        <v>297.66339795676754</v>
      </c>
      <c r="I36" s="35">
        <v>301.4127807669019</v>
      </c>
      <c r="J36" s="35">
        <v>305.1621635770361</v>
      </c>
      <c r="K36" s="36">
        <v>308.9115463871704</v>
      </c>
    </row>
    <row r="37" spans="2:13">
      <c r="B37" s="37">
        <v>-0.02</v>
      </c>
      <c r="C37" s="35">
        <v>239.45716763862723</v>
      </c>
      <c r="D37" s="35">
        <v>258.74336225134044</v>
      </c>
      <c r="E37" s="35">
        <v>278.02955686405357</v>
      </c>
      <c r="F37" s="38">
        <v>297.31575147676676</v>
      </c>
      <c r="G37" s="35">
        <v>301.17299039930941</v>
      </c>
      <c r="H37" s="35">
        <v>305.030229321852</v>
      </c>
      <c r="I37" s="35">
        <v>308.88746824439477</v>
      </c>
      <c r="J37" s="35">
        <v>312.7447071669373</v>
      </c>
      <c r="K37" s="36">
        <v>316.60194608948001</v>
      </c>
    </row>
    <row r="38" spans="2:13">
      <c r="B38" s="34">
        <f>B37+0.01</f>
        <v>-0.01</v>
      </c>
      <c r="C38" s="35">
        <v>245.99649553897675</v>
      </c>
      <c r="D38" s="35">
        <v>265.92002172501225</v>
      </c>
      <c r="E38" s="35">
        <v>285.84354791104772</v>
      </c>
      <c r="F38" s="35">
        <v>305.76707409708314</v>
      </c>
      <c r="G38" s="35">
        <v>309.75177933429029</v>
      </c>
      <c r="H38" s="35">
        <v>313.73648457149733</v>
      </c>
      <c r="I38" s="35">
        <v>317.72118980870454</v>
      </c>
      <c r="J38" s="35">
        <v>321.70589504591152</v>
      </c>
      <c r="K38" s="36">
        <v>325.69060028311867</v>
      </c>
    </row>
    <row r="39" spans="2:13">
      <c r="B39" s="34">
        <f>B38+0.01</f>
        <v>0</v>
      </c>
      <c r="C39" s="35">
        <v>253.84368901939615</v>
      </c>
      <c r="D39" s="35">
        <v>274.53201309341841</v>
      </c>
      <c r="E39" s="35">
        <v>295.22033716744068</v>
      </c>
      <c r="F39" s="35">
        <v>315.90866124146277</v>
      </c>
      <c r="G39" s="35">
        <v>320.04632605626728</v>
      </c>
      <c r="H39" s="35">
        <v>324.18399087107161</v>
      </c>
      <c r="I39" s="35">
        <v>328.32165568587624</v>
      </c>
      <c r="J39" s="35">
        <v>332.45932050068052</v>
      </c>
      <c r="K39" s="36">
        <v>336.59698531548509</v>
      </c>
    </row>
    <row r="40" spans="2:13">
      <c r="B40" s="34">
        <f>B39+0.01</f>
        <v>0.01</v>
      </c>
      <c r="C40" s="35">
        <v>263.43470327324212</v>
      </c>
      <c r="D40" s="35">
        <v>285.05778032147043</v>
      </c>
      <c r="E40" s="35">
        <v>306.68085736969863</v>
      </c>
      <c r="F40" s="35">
        <v>328.30393441792677</v>
      </c>
      <c r="G40" s="35">
        <v>332.62854982757244</v>
      </c>
      <c r="H40" s="35">
        <v>336.95316523721806</v>
      </c>
      <c r="I40" s="35">
        <v>341.27778064686385</v>
      </c>
      <c r="J40" s="35">
        <v>345.60239605650935</v>
      </c>
      <c r="K40" s="36">
        <v>349.92701146615514</v>
      </c>
    </row>
    <row r="41" spans="2:13">
      <c r="B41" s="39">
        <f>B40+0.01</f>
        <v>0.02</v>
      </c>
      <c r="C41" s="40">
        <v>275.42347109054958</v>
      </c>
      <c r="D41" s="40">
        <v>298.2149893565354</v>
      </c>
      <c r="E41" s="40">
        <v>321.0065076225211</v>
      </c>
      <c r="F41" s="40">
        <v>343.79802588850686</v>
      </c>
      <c r="G41" s="40">
        <v>348.35632954170404</v>
      </c>
      <c r="H41" s="40">
        <v>352.91463319490111</v>
      </c>
      <c r="I41" s="40">
        <v>357.47293684809847</v>
      </c>
      <c r="J41" s="40">
        <v>362.03124050129543</v>
      </c>
      <c r="K41" s="41">
        <v>366.58954415449273</v>
      </c>
    </row>
    <row r="43" spans="2:13">
      <c r="B43" s="43" t="s">
        <v>170</v>
      </c>
      <c r="C43" s="9"/>
      <c r="D43" s="9"/>
      <c r="E43" s="9"/>
      <c r="F43" s="9" t="s">
        <v>191</v>
      </c>
      <c r="G43" s="9"/>
      <c r="H43" s="9"/>
      <c r="I43" s="9"/>
      <c r="J43" s="9"/>
      <c r="K43" s="6"/>
    </row>
    <row r="44" spans="2:13">
      <c r="B44" s="47">
        <f>C18</f>
        <v>297.31575147676676</v>
      </c>
      <c r="C44" s="48">
        <f>D44-10%</f>
        <v>-0.13327740753061887</v>
      </c>
      <c r="D44" s="48">
        <f>E44-10%</f>
        <v>-3.3277407530618863E-2</v>
      </c>
      <c r="E44" s="48">
        <f>F44-10%</f>
        <v>6.6722592469381142E-2</v>
      </c>
      <c r="F44" s="49">
        <v>0.16672259246938115</v>
      </c>
      <c r="G44" s="48">
        <f>F44+0.05</f>
        <v>0.21672259246938114</v>
      </c>
      <c r="H44" s="48">
        <f>G44+0.02</f>
        <v>0.23672259246938113</v>
      </c>
      <c r="I44" s="48">
        <f>H44+0.02</f>
        <v>0.25672259246938112</v>
      </c>
      <c r="J44" s="48">
        <f>I44+0.02</f>
        <v>0.27672259246938113</v>
      </c>
      <c r="K44" s="50">
        <f>J44+0.02</f>
        <v>0.29672259246938115</v>
      </c>
    </row>
    <row r="45" spans="2:13">
      <c r="B45" s="34">
        <f>B46-0.01</f>
        <v>-0.04</v>
      </c>
      <c r="C45" s="35">
        <f t="dataTable" ref="C45:K51" dt2D="1" dtr="1" r1="H13" r2="C10" ca="1"/>
        <v>226.69435797047751</v>
      </c>
      <c r="D45" s="35">
        <v>245.80793919526536</v>
      </c>
      <c r="E45" s="35">
        <v>264.92152042005318</v>
      </c>
      <c r="F45" s="35">
        <v>284.03510164484101</v>
      </c>
      <c r="G45" s="35">
        <v>293.59189225723497</v>
      </c>
      <c r="H45" s="35">
        <v>297.41460850219249</v>
      </c>
      <c r="I45" s="35">
        <v>301.23732474715007</v>
      </c>
      <c r="J45" s="35">
        <v>305.06004099210759</v>
      </c>
      <c r="K45" s="36">
        <v>308.88275723706528</v>
      </c>
    </row>
    <row r="46" spans="2:13">
      <c r="B46" s="34">
        <f>B47-0.01</f>
        <v>-0.03</v>
      </c>
      <c r="C46" s="35">
        <v>231.24779917919733</v>
      </c>
      <c r="D46" s="35">
        <v>250.8867435649646</v>
      </c>
      <c r="E46" s="35">
        <v>270.52568795073182</v>
      </c>
      <c r="F46" s="35">
        <v>290.16463233649904</v>
      </c>
      <c r="G46" s="35">
        <v>299.98410452938271</v>
      </c>
      <c r="H46" s="35">
        <v>303.91189340653614</v>
      </c>
      <c r="I46" s="35">
        <v>307.83968228368951</v>
      </c>
      <c r="J46" s="35">
        <v>311.76747116084294</v>
      </c>
      <c r="K46" s="36">
        <v>315.69526003799649</v>
      </c>
    </row>
    <row r="47" spans="2:13">
      <c r="B47" s="37">
        <v>-0.02</v>
      </c>
      <c r="C47" s="35">
        <v>236.56014725603711</v>
      </c>
      <c r="D47" s="35">
        <v>256.81201532961364</v>
      </c>
      <c r="E47" s="35">
        <v>277.06388340319023</v>
      </c>
      <c r="F47" s="38">
        <v>297.31575147676676</v>
      </c>
      <c r="G47" s="35">
        <v>307.44168551355506</v>
      </c>
      <c r="H47" s="35">
        <v>311.4920591282704</v>
      </c>
      <c r="I47" s="35">
        <v>315.54243274298562</v>
      </c>
      <c r="J47" s="35">
        <v>319.59280635770091</v>
      </c>
      <c r="K47" s="36">
        <v>323.64317997241636</v>
      </c>
    </row>
    <row r="48" spans="2:13">
      <c r="B48" s="34">
        <f>B47+0.01</f>
        <v>-0.01</v>
      </c>
      <c r="C48" s="35">
        <v>242.83837680139322</v>
      </c>
      <c r="D48" s="35">
        <v>263.8146092332899</v>
      </c>
      <c r="E48" s="35">
        <v>284.79084166518646</v>
      </c>
      <c r="F48" s="35">
        <v>305.76707409708314</v>
      </c>
      <c r="G48" s="35">
        <v>316.25519031303151</v>
      </c>
      <c r="H48" s="35">
        <v>320.45043679941074</v>
      </c>
      <c r="I48" s="35">
        <v>324.64568328579008</v>
      </c>
      <c r="J48" s="35">
        <v>328.84092977216937</v>
      </c>
      <c r="K48" s="36">
        <v>333.03617625854883</v>
      </c>
    </row>
    <row r="49" spans="2:11">
      <c r="B49" s="34">
        <f>B48+0.01</f>
        <v>0</v>
      </c>
      <c r="C49" s="35">
        <v>250.37225225582054</v>
      </c>
      <c r="D49" s="35">
        <v>272.21772191770128</v>
      </c>
      <c r="E49" s="35">
        <v>294.06319157958205</v>
      </c>
      <c r="F49" s="35">
        <v>315.90866124146277</v>
      </c>
      <c r="G49" s="35">
        <v>326.83139607240321</v>
      </c>
      <c r="H49" s="35">
        <v>331.20049000477934</v>
      </c>
      <c r="I49" s="35">
        <v>335.56958393715541</v>
      </c>
      <c r="J49" s="35">
        <v>339.93867786953155</v>
      </c>
      <c r="K49" s="36">
        <v>344.30777180190785</v>
      </c>
    </row>
    <row r="50" spans="2:11">
      <c r="B50" s="34">
        <f>B49+0.01</f>
        <v>0.01</v>
      </c>
      <c r="C50" s="35">
        <v>259.58032225567615</v>
      </c>
      <c r="D50" s="35">
        <v>282.48819297642638</v>
      </c>
      <c r="E50" s="35">
        <v>305.3960636971766</v>
      </c>
      <c r="F50" s="35">
        <v>328.30393441792677</v>
      </c>
      <c r="G50" s="35">
        <v>339.75786977830199</v>
      </c>
      <c r="H50" s="35">
        <v>344.33944392245195</v>
      </c>
      <c r="I50" s="35">
        <v>348.92101806660196</v>
      </c>
      <c r="J50" s="35">
        <v>353.50259221075203</v>
      </c>
      <c r="K50" s="36">
        <v>358.08416635490215</v>
      </c>
    </row>
    <row r="51" spans="2:11">
      <c r="B51" s="39">
        <f>B50+0.01</f>
        <v>0.02</v>
      </c>
      <c r="C51" s="40">
        <v>271.09040975549573</v>
      </c>
      <c r="D51" s="40">
        <v>295.32628179983277</v>
      </c>
      <c r="E51" s="40">
        <v>319.56215384416981</v>
      </c>
      <c r="F51" s="40">
        <v>343.79802588850686</v>
      </c>
      <c r="G51" s="40">
        <v>355.91596191067538</v>
      </c>
      <c r="H51" s="40">
        <v>360.76313631954275</v>
      </c>
      <c r="I51" s="40">
        <v>365.61031072841018</v>
      </c>
      <c r="J51" s="40">
        <v>370.45748513727756</v>
      </c>
      <c r="K51" s="41">
        <v>375.30465954614505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3A63-9AFA-5342-B902-BB6AA920D682}">
  <dimension ref="D5:X33"/>
  <sheetViews>
    <sheetView tabSelected="1" topLeftCell="H1" zoomScale="81" workbookViewId="0">
      <selection activeCell="N6" sqref="N6"/>
    </sheetView>
  </sheetViews>
  <sheetFormatPr baseColWidth="10" defaultRowHeight="16"/>
  <cols>
    <col min="1" max="3" width="10.83203125" style="85"/>
    <col min="4" max="4" width="17.6640625" style="85" customWidth="1"/>
    <col min="5" max="6" width="10.83203125" style="85"/>
    <col min="7" max="7" width="12.5" style="85" customWidth="1"/>
    <col min="8" max="9" width="10.83203125" style="85"/>
    <col min="10" max="10" width="12.1640625" style="85" bestFit="1" customWidth="1"/>
    <col min="11" max="12" width="10.83203125" style="85"/>
    <col min="13" max="13" width="32" style="85" customWidth="1"/>
    <col min="14" max="16384" width="10.83203125" style="85"/>
  </cols>
  <sheetData>
    <row r="5" spans="4:24">
      <c r="D5" s="83" t="s">
        <v>169</v>
      </c>
      <c r="E5" s="84"/>
      <c r="M5" s="86" t="s">
        <v>229</v>
      </c>
      <c r="N5" s="98" t="s">
        <v>230</v>
      </c>
      <c r="O5" s="86" t="s">
        <v>231</v>
      </c>
      <c r="P5" s="86" t="s">
        <v>232</v>
      </c>
      <c r="Q5" s="86" t="s">
        <v>246</v>
      </c>
      <c r="R5" s="86" t="s">
        <v>147</v>
      </c>
      <c r="S5" s="98" t="s">
        <v>233</v>
      </c>
      <c r="T5" s="86" t="s">
        <v>234</v>
      </c>
      <c r="U5" s="86" t="s">
        <v>235</v>
      </c>
      <c r="V5" s="86" t="s">
        <v>236</v>
      </c>
      <c r="W5" s="86" t="s">
        <v>237</v>
      </c>
      <c r="X5" s="98" t="s">
        <v>146</v>
      </c>
    </row>
    <row r="6" spans="4:24">
      <c r="D6" s="87" t="s">
        <v>192</v>
      </c>
      <c r="E6" s="105">
        <f>Main!E5</f>
        <v>255.45</v>
      </c>
      <c r="M6" s="86" t="s">
        <v>249</v>
      </c>
      <c r="N6" s="99">
        <f>VLOOKUP($M6,Model!$A$1:$AG$70,MATCH('Report Elements'!N$5,Model!$A$3:$AG$3,0),FALSE)</f>
        <v>607.5</v>
      </c>
      <c r="O6" s="95">
        <f>VLOOKUP($M6,Model!$A$1:$AG$70,MATCH('Report Elements'!O$5,Model!$A$3:$AG$3,0),FALSE)</f>
        <v>172</v>
      </c>
      <c r="P6" s="95">
        <f>VLOOKUP($M6,Model!$A$1:$AG$70,MATCH('Report Elements'!P$5,Model!$A$3:$AG$3,0),FALSE)</f>
        <v>201</v>
      </c>
      <c r="Q6" s="95">
        <f>VLOOKUP($M6,Model!$A$1:$AG$70,MATCH('Report Elements'!Q$5,Model!$A$3:$AG$3,0),FALSE)</f>
        <v>257.7</v>
      </c>
      <c r="R6" s="95">
        <f>VLOOKUP($M6,Model!$A$1:$AG$70,MATCH('Report Elements'!R$5,Model!$A$3:$AG$3,0),FALSE)</f>
        <v>241.42499999999998</v>
      </c>
      <c r="S6" s="99">
        <f>VLOOKUP($M6,Model!$A$1:$AG$70,MATCH('Report Elements'!S$5,Model!$A$3:$AG$3,0),FALSE)</f>
        <v>872.125</v>
      </c>
      <c r="T6" s="95">
        <f>VLOOKUP($M6,Model!$A$1:$AG$70,MATCH('Report Elements'!T$5,Model!$A$3:$AG$3,0),FALSE)</f>
        <v>232.20000000000002</v>
      </c>
      <c r="U6" s="95">
        <f>VLOOKUP($M6,Model!$A$1:$AG$70,MATCH('Report Elements'!U$5,Model!$A$3:$AG$3,0),FALSE)</f>
        <v>271.35000000000002</v>
      </c>
      <c r="V6" s="95">
        <f>VLOOKUP($M6,Model!$A$1:$AG$70,MATCH('Report Elements'!V$5,Model!$A$3:$AG$3,0),FALSE)</f>
        <v>335.01</v>
      </c>
      <c r="W6" s="95">
        <f>VLOOKUP($M6,Model!$A$1:$AG$70,MATCH('Report Elements'!W$5,Model!$A$3:$AG$3,0),FALSE)</f>
        <v>313.85249999999996</v>
      </c>
      <c r="X6" s="99">
        <f>VLOOKUP($M6,Model!$A$1:$AG$70,MATCH('Report Elements'!X$5,Model!$A$3:$AG$3,0),FALSE)</f>
        <v>1152.4124999999999</v>
      </c>
    </row>
    <row r="7" spans="4:24">
      <c r="D7" s="88" t="s">
        <v>19</v>
      </c>
      <c r="E7" s="89">
        <f>Main!E13</f>
        <v>45.5</v>
      </c>
      <c r="M7" s="83" t="s">
        <v>114</v>
      </c>
      <c r="N7" s="100">
        <f>VLOOKUP($M7,Model!$A$1:$AG$70,MATCH('Report Elements'!N$5,Model!$A$3:$AG$3,0),FALSE)</f>
        <v>1685.5000000000002</v>
      </c>
      <c r="O7" s="101">
        <f>VLOOKUP($M7,Model!$A$1:$AG$70,MATCH('Report Elements'!O$5,Model!$A$3:$AG$3,0),FALSE)</f>
        <v>461.90000000000003</v>
      </c>
      <c r="P7" s="101">
        <f>VLOOKUP($M7,Model!$A$1:$AG$70,MATCH('Report Elements'!P$5,Model!$A$3:$AG$3,0),FALSE)</f>
        <v>466.9</v>
      </c>
      <c r="Q7" s="101">
        <f>VLOOKUP($M7,Model!$A$1:$AG$70,MATCH('Report Elements'!Q$5,Model!$A$3:$AG$3,0),FALSE)</f>
        <v>516</v>
      </c>
      <c r="R7" s="101">
        <f>VLOOKUP($M7,Model!$A$1:$AG$70,MATCH('Report Elements'!R$5,Model!$A$3:$AG$3,0),FALSE)</f>
        <v>499.75400000000008</v>
      </c>
      <c r="S7" s="100">
        <f>VLOOKUP($M7,Model!$A$1:$AG$70,MATCH('Report Elements'!S$5,Model!$A$3:$AG$3,0),FALSE)</f>
        <v>1934.5540000000001</v>
      </c>
      <c r="T7" s="101">
        <f>VLOOKUP($M7,Model!$A$1:$AG$70,MATCH('Report Elements'!T$5,Model!$A$3:$AG$3,0),FALSE)</f>
        <v>523.01699999999994</v>
      </c>
      <c r="U7" s="101">
        <f>VLOOKUP($M7,Model!$A$1:$AG$70,MATCH('Report Elements'!U$5,Model!$A$3:$AG$3,0),FALSE)</f>
        <v>547.32299999999998</v>
      </c>
      <c r="V7" s="101">
        <f>VLOOKUP($M7,Model!$A$1:$AG$70,MATCH('Report Elements'!V$5,Model!$A$3:$AG$3,0),FALSE)</f>
        <v>603.96899999999994</v>
      </c>
      <c r="W7" s="101">
        <f>VLOOKUP($M7,Model!$A$1:$AG$70,MATCH('Report Elements'!W$5,Model!$A$3:$AG$3,0),FALSE)</f>
        <v>582.41329000000007</v>
      </c>
      <c r="X7" s="100">
        <f>VLOOKUP($M7,Model!$A$1:$AG$70,MATCH('Report Elements'!X$5,Model!$A$3:$AG$3,0),FALSE)</f>
        <v>2256.7222899999997</v>
      </c>
    </row>
    <row r="8" spans="4:24">
      <c r="D8" s="88" t="s">
        <v>193</v>
      </c>
      <c r="E8" s="91">
        <f>E6*E7</f>
        <v>11622.975</v>
      </c>
      <c r="M8" s="90" t="s">
        <v>6</v>
      </c>
      <c r="N8" s="102">
        <f>VLOOKUP($M8,Model!$A$1:$AG$70,MATCH('Report Elements'!N$5,Model!$A$3:$AG$3,0),FALSE)</f>
        <v>1563</v>
      </c>
      <c r="O8" s="103">
        <f>VLOOKUP($M8,Model!$A$1:$AG$70,MATCH('Report Elements'!O$5,Model!$A$3:$AG$3,0),FALSE)</f>
        <v>426.00000000000006</v>
      </c>
      <c r="P8" s="103">
        <f>VLOOKUP($M8,Model!$A$1:$AG$70,MATCH('Report Elements'!P$5,Model!$A$3:$AG$3,0),FALSE)</f>
        <v>437.2</v>
      </c>
      <c r="Q8" s="103">
        <f>VLOOKUP($M8,Model!$A$1:$AG$70,MATCH('Report Elements'!Q$5,Model!$A$3:$AG$3,0),FALSE)</f>
        <v>478.8</v>
      </c>
      <c r="R8" s="103">
        <f>VLOOKUP($M8,Model!$A$1:$AG$70,MATCH('Report Elements'!R$5,Model!$A$3:$AG$3,0),FALSE)</f>
        <v>465.3517500000001</v>
      </c>
      <c r="S8" s="102">
        <f>VLOOKUP($M8,Model!$A$1:$AG$70,MATCH('Report Elements'!S$5,Model!$A$3:$AG$3,0),FALSE)</f>
        <v>1807.3517499999998</v>
      </c>
      <c r="T8" s="103">
        <f>VLOOKUP($M8,Model!$A$1:$AG$70,MATCH('Report Elements'!T$5,Model!$A$3:$AG$3,0),FALSE)</f>
        <v>486.40737000000001</v>
      </c>
      <c r="U8" s="103">
        <f>VLOOKUP($M8,Model!$A$1:$AG$70,MATCH('Report Elements'!U$5,Model!$A$3:$AG$3,0),FALSE)</f>
        <v>509.01330000000002</v>
      </c>
      <c r="V8" s="103">
        <f>VLOOKUP($M8,Model!$A$1:$AG$70,MATCH('Report Elements'!V$5,Model!$A$3:$AG$3,0),FALSE)</f>
        <v>562.32299999999987</v>
      </c>
      <c r="W8" s="103">
        <f>VLOOKUP($M8,Model!$A$1:$AG$70,MATCH('Report Elements'!W$5,Model!$A$3:$AG$3,0),FALSE)</f>
        <v>542.97509070000012</v>
      </c>
      <c r="X8" s="102">
        <f>VLOOKUP($M8,Model!$A$1:$AG$70,MATCH('Report Elements'!X$5,Model!$A$3:$AG$3,0),FALSE)</f>
        <v>2100.7187607000001</v>
      </c>
    </row>
    <row r="9" spans="4:24">
      <c r="D9" s="88" t="s">
        <v>194</v>
      </c>
      <c r="E9" s="89">
        <f>Model!P67</f>
        <v>49.820000000000007</v>
      </c>
      <c r="M9" s="86" t="s">
        <v>12</v>
      </c>
      <c r="N9" s="99">
        <f>VLOOKUP($M9,Model!$A$1:$AG$70,MATCH('Report Elements'!N$5,Model!$A$3:$AG$3,0),FALSE)</f>
        <v>540.1</v>
      </c>
      <c r="O9" s="95">
        <f>VLOOKUP($M9,Model!$A$1:$AG$70,MATCH('Report Elements'!O$5,Model!$A$3:$AG$3,0),FALSE)</f>
        <v>69</v>
      </c>
      <c r="P9" s="95">
        <f>VLOOKUP($M9,Model!$A$1:$AG$70,MATCH('Report Elements'!P$5,Model!$A$3:$AG$3,0),FALSE)</f>
        <v>93.9</v>
      </c>
      <c r="Q9" s="95">
        <f>VLOOKUP($M9,Model!$A$1:$AG$70,MATCH('Report Elements'!Q$5,Model!$A$3:$AG$3,0),FALSE)</f>
        <v>66.099999999999994</v>
      </c>
      <c r="R9" s="95">
        <f>VLOOKUP($M9,Model!$A$1:$AG$70,MATCH('Report Elements'!R$5,Model!$A$3:$AG$3,0),FALSE)</f>
        <v>79.534500000000008</v>
      </c>
      <c r="S9" s="99">
        <f>VLOOKUP($M9,Model!$A$1:$AG$70,MATCH('Report Elements'!S$5,Model!$A$3:$AG$3,0),FALSE)</f>
        <v>308.53449999999998</v>
      </c>
      <c r="T9" s="95">
        <f>VLOOKUP($M9,Model!$A$1:$AG$70,MATCH('Report Elements'!T$5,Model!$A$3:$AG$3,0),FALSE)</f>
        <v>78.67629749999999</v>
      </c>
      <c r="U9" s="95">
        <f>VLOOKUP($M9,Model!$A$1:$AG$70,MATCH('Report Elements'!U$5,Model!$A$3:$AG$3,0),FALSE)</f>
        <v>81.143753362500007</v>
      </c>
      <c r="V9" s="95">
        <f>VLOOKUP($M9,Model!$A$1:$AG$70,MATCH('Report Elements'!V$5,Model!$A$3:$AG$3,0),FALSE)</f>
        <v>77.890910469937509</v>
      </c>
      <c r="W9" s="95">
        <f>VLOOKUP($M9,Model!$A$1:$AG$70,MATCH('Report Elements'!W$5,Model!$A$3:$AG$3,0),FALSE)</f>
        <v>80.897592639771574</v>
      </c>
      <c r="X9" s="99">
        <f>VLOOKUP($M9,Model!$A$1:$AG$70,MATCH('Report Elements'!X$5,Model!$A$3:$AG$3,0),FALSE)</f>
        <v>318.60855397220911</v>
      </c>
    </row>
    <row r="10" spans="4:24">
      <c r="D10" s="88" t="s">
        <v>165</v>
      </c>
      <c r="E10" s="91">
        <f>Main!E18</f>
        <v>800</v>
      </c>
      <c r="M10" s="86" t="s">
        <v>13</v>
      </c>
      <c r="N10" s="99">
        <f>VLOOKUP($M10,Model!$A$1:$AG$70,MATCH('Report Elements'!N$5,Model!$A$3:$AG$3,0),FALSE)</f>
        <v>467</v>
      </c>
      <c r="O10" s="95">
        <f>VLOOKUP($M10,Model!$A$1:$AG$70,MATCH('Report Elements'!O$5,Model!$A$3:$AG$3,0),FALSE)</f>
        <v>79</v>
      </c>
      <c r="P10" s="95">
        <f>VLOOKUP($M10,Model!$A$1:$AG$70,MATCH('Report Elements'!P$5,Model!$A$3:$AG$3,0),FALSE)</f>
        <v>141.5</v>
      </c>
      <c r="Q10" s="95">
        <f>VLOOKUP($M10,Model!$A$1:$AG$70,MATCH('Report Elements'!Q$5,Model!$A$3:$AG$3,0),FALSE)</f>
        <v>98.4</v>
      </c>
      <c r="R10" s="95">
        <f>VLOOKUP($M10,Model!$A$1:$AG$70,MATCH('Report Elements'!R$5,Model!$A$3:$AG$3,0),FALSE)</f>
        <v>113.93399999999998</v>
      </c>
      <c r="S10" s="99">
        <f>VLOOKUP($M10,Model!$A$1:$AG$70,MATCH('Report Elements'!S$5,Model!$A$3:$AG$3,0),FALSE)</f>
        <v>432.83399999999995</v>
      </c>
      <c r="T10" s="95">
        <f>VLOOKUP($M10,Model!$A$1:$AG$70,MATCH('Report Elements'!T$5,Model!$A$3:$AG$3,0),FALSE)</f>
        <v>110.37266999999999</v>
      </c>
      <c r="U10" s="95">
        <f>VLOOKUP($M10,Model!$A$1:$AG$70,MATCH('Report Elements'!U$5,Model!$A$3:$AG$3,0),FALSE)</f>
        <v>118.37270085</v>
      </c>
      <c r="V10" s="95">
        <f>VLOOKUP($M10,Model!$A$1:$AG$70,MATCH('Report Elements'!V$5,Model!$A$3:$AG$3,0),FALSE)</f>
        <v>112.47523956674999</v>
      </c>
      <c r="W10" s="95">
        <f>VLOOKUP($M10,Model!$A$1:$AG$70,MATCH('Report Elements'!W$5,Model!$A$3:$AG$3,0),FALSE)</f>
        <v>116.06442565627124</v>
      </c>
      <c r="X10" s="99">
        <f>VLOOKUP($M10,Model!$A$1:$AG$70,MATCH('Report Elements'!X$5,Model!$A$3:$AG$3,0),FALSE)</f>
        <v>457.28503607302122</v>
      </c>
    </row>
    <row r="11" spans="4:24">
      <c r="D11" s="88" t="s">
        <v>195</v>
      </c>
      <c r="E11" s="91">
        <f>Main!E17</f>
        <v>2615.6</v>
      </c>
      <c r="M11" s="83" t="s">
        <v>117</v>
      </c>
      <c r="N11" s="100">
        <f>VLOOKUP($M11,Model!$A$1:$AG$70,MATCH('Report Elements'!N$5,Model!$A$3:$AG$3,0),FALSE)</f>
        <v>555.9000000000002</v>
      </c>
      <c r="O11" s="101">
        <f>VLOOKUP($M11,Model!$A$1:$AG$70,MATCH('Report Elements'!O$5,Model!$A$3:$AG$3,0),FALSE)</f>
        <v>288.00000000000006</v>
      </c>
      <c r="P11" s="101">
        <f>VLOOKUP($M11,Model!$A$1:$AG$70,MATCH('Report Elements'!P$5,Model!$A$3:$AG$3,0),FALSE)</f>
        <v>201.79999999999998</v>
      </c>
      <c r="Q11" s="101">
        <f>VLOOKUP($M11,Model!$A$1:$AG$70,MATCH('Report Elements'!Q$5,Model!$A$3:$AG$3,0),FALSE)</f>
        <v>314.3</v>
      </c>
      <c r="R11" s="101">
        <f>VLOOKUP($M11,Model!$A$1:$AG$70,MATCH('Report Elements'!R$5,Model!$A$3:$AG$3,0),FALSE)</f>
        <v>271.88325000000003</v>
      </c>
      <c r="S11" s="100">
        <f>VLOOKUP($M11,Model!$A$1:$AG$70,MATCH('Report Elements'!S$5,Model!$A$3:$AG$3,0),FALSE)</f>
        <v>1065.9832500000002</v>
      </c>
      <c r="T11" s="101">
        <f>VLOOKUP($M11,Model!$A$1:$AG$70,MATCH('Report Elements'!T$5,Model!$A$3:$AG$3,0),FALSE)</f>
        <v>297.3584024999999</v>
      </c>
      <c r="U11" s="101">
        <f>VLOOKUP($M11,Model!$A$1:$AG$70,MATCH('Report Elements'!U$5,Model!$A$3:$AG$3,0),FALSE)</f>
        <v>309.49684578749998</v>
      </c>
      <c r="V11" s="101">
        <f>VLOOKUP($M11,Model!$A$1:$AG$70,MATCH('Report Elements'!V$5,Model!$A$3:$AG$3,0),FALSE)</f>
        <v>371.95684996331238</v>
      </c>
      <c r="W11" s="101">
        <f>VLOOKUP($M11,Model!$A$1:$AG$70,MATCH('Report Elements'!W$5,Model!$A$3:$AG$3,0),FALSE)</f>
        <v>346.01307240395721</v>
      </c>
      <c r="X11" s="100">
        <f>VLOOKUP($M11,Model!$A$1:$AG$70,MATCH('Report Elements'!X$5,Model!$A$3:$AG$3,0),FALSE)</f>
        <v>1324.8251706547694</v>
      </c>
    </row>
    <row r="12" spans="4:24">
      <c r="D12" s="88" t="s">
        <v>167</v>
      </c>
      <c r="E12" s="91">
        <f>E8-E11+E10</f>
        <v>9807.375</v>
      </c>
      <c r="M12" s="86" t="s">
        <v>14</v>
      </c>
      <c r="N12" s="99">
        <f>VLOOKUP($M12,Model!$A$1:$AG$70,MATCH('Report Elements'!N$5,Model!$A$3:$AG$3,0),FALSE)</f>
        <v>16.7</v>
      </c>
      <c r="O12" s="95">
        <f>VLOOKUP($M12,Model!$A$1:$AG$70,MATCH('Report Elements'!O$5,Model!$A$3:$AG$3,0),FALSE)</f>
        <v>4.3</v>
      </c>
      <c r="P12" s="95">
        <f>VLOOKUP($M12,Model!$A$1:$AG$70,MATCH('Report Elements'!P$5,Model!$A$3:$AG$3,0),FALSE)</f>
        <v>6.8</v>
      </c>
      <c r="Q12" s="95">
        <f>VLOOKUP($M12,Model!$A$1:$AG$70,MATCH('Report Elements'!Q$5,Model!$A$3:$AG$3,0),FALSE)</f>
        <v>13.3</v>
      </c>
      <c r="R12" s="95">
        <f>VLOOKUP($M12,Model!$A$1:$AG$70,MATCH('Report Elements'!R$5,Model!$A$3:$AG$3,0),FALSE)</f>
        <v>14.501999999999999</v>
      </c>
      <c r="S12" s="99">
        <f>VLOOKUP($M12,Model!$A$1:$AG$70,MATCH('Report Elements'!S$5,Model!$A$3:$AG$3,0),FALSE)</f>
        <v>38.902000000000001</v>
      </c>
      <c r="T12" s="95">
        <f>VLOOKUP($M12,Model!$A$1:$AG$70,MATCH('Report Elements'!T$5,Model!$A$3:$AG$3,0),FALSE)</f>
        <v>18.55828914611056</v>
      </c>
      <c r="U12" s="95">
        <f>VLOOKUP($M12,Model!$A$1:$AG$70,MATCH('Report Elements'!U$5,Model!$A$3:$AG$3,0),FALSE)</f>
        <v>21.658121052085011</v>
      </c>
      <c r="V12" s="95">
        <f>VLOOKUP($M12,Model!$A$1:$AG$70,MATCH('Report Elements'!V$5,Model!$A$3:$AG$3,0),FALSE)</f>
        <v>24.930117118923718</v>
      </c>
      <c r="W12" s="95">
        <f>VLOOKUP($M12,Model!$A$1:$AG$70,MATCH('Report Elements'!W$5,Model!$A$3:$AG$3,0),FALSE)</f>
        <v>28.838816873302125</v>
      </c>
      <c r="X12" s="99">
        <f>VLOOKUP($M12,Model!$A$1:$AG$70,MATCH('Report Elements'!X$5,Model!$A$3:$AG$3,0),FALSE)</f>
        <v>93.985344190421415</v>
      </c>
    </row>
    <row r="13" spans="4:24">
      <c r="D13" s="88"/>
      <c r="E13" s="92"/>
      <c r="M13" s="83" t="s">
        <v>118</v>
      </c>
      <c r="N13" s="100">
        <f>VLOOKUP($M13,Model!$A$1:$AG$70,MATCH('Report Elements'!N$5,Model!$A$3:$AG$3,0),FALSE)</f>
        <v>593.90000000000032</v>
      </c>
      <c r="O13" s="101">
        <f>VLOOKUP($M13,Model!$A$1:$AG$70,MATCH('Report Elements'!O$5,Model!$A$3:$AG$3,0),FALSE)</f>
        <v>308.7000000000001</v>
      </c>
      <c r="P13" s="101">
        <f>VLOOKUP($M13,Model!$A$1:$AG$70,MATCH('Report Elements'!P$5,Model!$A$3:$AG$3,0),FALSE)</f>
        <v>150.60000000000002</v>
      </c>
      <c r="Q13" s="101">
        <f>VLOOKUP($M13,Model!$A$1:$AG$70,MATCH('Report Elements'!Q$5,Model!$A$3:$AG$3,0),FALSE)</f>
        <v>312.50000000000006</v>
      </c>
      <c r="R13" s="101">
        <f>VLOOKUP($M13,Model!$A$1:$AG$70,MATCH('Report Elements'!R$5,Model!$A$3:$AG$3,0),FALSE)</f>
        <v>261.16825000000006</v>
      </c>
      <c r="S13" s="100">
        <f>VLOOKUP($M13,Model!$A$1:$AG$70,MATCH('Report Elements'!S$5,Model!$A$3:$AG$3,0),FALSE)</f>
        <v>1022.9682500000001</v>
      </c>
      <c r="T13" s="101">
        <f>VLOOKUP($M13,Model!$A$1:$AG$70,MATCH('Report Elements'!T$5,Model!$A$3:$AG$3,0),FALSE)</f>
        <v>293.82552164611042</v>
      </c>
      <c r="U13" s="101">
        <f>VLOOKUP($M13,Model!$A$1:$AG$70,MATCH('Report Elements'!U$5,Model!$A$3:$AG$3,0),FALSE)</f>
        <v>300.093385139585</v>
      </c>
      <c r="V13" s="101">
        <f>VLOOKUP($M13,Model!$A$1:$AG$70,MATCH('Report Elements'!V$5,Model!$A$3:$AG$3,0),FALSE)</f>
        <v>373.28489456523607</v>
      </c>
      <c r="W13" s="101">
        <f>VLOOKUP($M13,Model!$A$1:$AG$70,MATCH('Report Elements'!W$5,Model!$A$3:$AG$3,0),FALSE)</f>
        <v>349.12195228508932</v>
      </c>
      <c r="X13" s="100">
        <f>VLOOKUP($M13,Model!$A$1:$AG$70,MATCH('Report Elements'!X$5,Model!$A$3:$AG$3,0),FALSE)</f>
        <v>1316.3257536360209</v>
      </c>
    </row>
    <row r="14" spans="4:24">
      <c r="D14" s="88" t="s">
        <v>159</v>
      </c>
      <c r="E14" s="93">
        <f>E15+E16</f>
        <v>0.1</v>
      </c>
      <c r="M14" s="90" t="s">
        <v>83</v>
      </c>
      <c r="N14" s="102">
        <f>VLOOKUP($M14,Model!$A$1:$AG$70,MATCH('Report Elements'!N$5,Model!$A$3:$AG$3,0),FALSE)</f>
        <v>475.8000000000003</v>
      </c>
      <c r="O14" s="103">
        <f>VLOOKUP($M14,Model!$A$1:$AG$70,MATCH('Report Elements'!O$5,Model!$A$3:$AG$3,0),FALSE)</f>
        <v>239.90000000000009</v>
      </c>
      <c r="P14" s="103">
        <f>VLOOKUP($M14,Model!$A$1:$AG$70,MATCH('Report Elements'!P$5,Model!$A$3:$AG$3,0),FALSE)</f>
        <v>116.00000000000003</v>
      </c>
      <c r="Q14" s="103">
        <f>VLOOKUP($M14,Model!$A$1:$AG$70,MATCH('Report Elements'!Q$5,Model!$A$3:$AG$3,0),FALSE)</f>
        <v>239.30000000000007</v>
      </c>
      <c r="R14" s="103">
        <f>VLOOKUP($M14,Model!$A$1:$AG$70,MATCH('Report Elements'!R$5,Model!$A$3:$AG$3,0),FALSE)</f>
        <v>208.93460000000005</v>
      </c>
      <c r="S14" s="102">
        <f>VLOOKUP($M14,Model!$A$1:$AG$70,MATCH('Report Elements'!S$5,Model!$A$3:$AG$3,0),FALSE)</f>
        <v>794.13460000000009</v>
      </c>
      <c r="T14" s="103">
        <f>VLOOKUP($M14,Model!$A$1:$AG$70,MATCH('Report Elements'!T$5,Model!$A$3:$AG$3,0),FALSE)</f>
        <v>235.06041731688833</v>
      </c>
      <c r="U14" s="103">
        <f>VLOOKUP($M14,Model!$A$1:$AG$70,MATCH('Report Elements'!U$5,Model!$A$3:$AG$3,0),FALSE)</f>
        <v>240.074708111668</v>
      </c>
      <c r="V14" s="103">
        <f>VLOOKUP($M14,Model!$A$1:$AG$70,MATCH('Report Elements'!V$5,Model!$A$3:$AG$3,0),FALSE)</f>
        <v>298.62791565218885</v>
      </c>
      <c r="W14" s="103">
        <f>VLOOKUP($M14,Model!$A$1:$AG$70,MATCH('Report Elements'!W$5,Model!$A$3:$AG$3,0),FALSE)</f>
        <v>279.29756182807148</v>
      </c>
      <c r="X14" s="102">
        <f>VLOOKUP($M14,Model!$A$1:$AG$70,MATCH('Report Elements'!X$5,Model!$A$3:$AG$3,0),FALSE)</f>
        <v>1053.0606029088167</v>
      </c>
    </row>
    <row r="15" spans="4:24">
      <c r="D15" s="94" t="s">
        <v>196</v>
      </c>
      <c r="E15" s="93">
        <v>0.04</v>
      </c>
      <c r="M15" s="86" t="s">
        <v>19</v>
      </c>
      <c r="N15" s="99">
        <f>VLOOKUP($M15,Model!$A$1:$AG$70,MATCH('Report Elements'!N$5,Model!$A$3:$AG$3,0),FALSE)</f>
        <v>44.9</v>
      </c>
      <c r="O15" s="95">
        <f>VLOOKUP($M15,Model!$A$1:$AG$70,MATCH('Report Elements'!O$5,Model!$A$3:$AG$3,0),FALSE)</f>
        <v>45.199999999999996</v>
      </c>
      <c r="P15" s="95">
        <f>VLOOKUP($M15,Model!$A$1:$AG$70,MATCH('Report Elements'!P$5,Model!$A$3:$AG$3,0),FALSE)</f>
        <v>45.4</v>
      </c>
      <c r="Q15" s="95">
        <f>VLOOKUP($M15,Model!$A$1:$AG$70,MATCH('Report Elements'!Q$5,Model!$A$3:$AG$3,0),FALSE)</f>
        <v>45.5</v>
      </c>
      <c r="R15" s="95">
        <f>VLOOKUP($M15,Model!$A$1:$AG$70,MATCH('Report Elements'!R$5,Model!$A$3:$AG$3,0),FALSE)</f>
        <v>45.628</v>
      </c>
      <c r="S15" s="99">
        <f>VLOOKUP($M15,Model!$A$1:$AG$70,MATCH('Report Elements'!S$5,Model!$A$3:$AG$3,0),FALSE)</f>
        <v>45.432000000000002</v>
      </c>
      <c r="T15" s="95">
        <f>VLOOKUP($M15,Model!$A$1:$AG$70,MATCH('Report Elements'!T$5,Model!$A$3:$AG$3,0),FALSE)</f>
        <v>45.762079999999997</v>
      </c>
      <c r="U15" s="95">
        <f>VLOOKUP($M15,Model!$A$1:$AG$70,MATCH('Report Elements'!U$5,Model!$A$3:$AG$3,0),FALSE)</f>
        <v>45.901996799999999</v>
      </c>
      <c r="V15" s="95">
        <f>VLOOKUP($M15,Model!$A$1:$AG$70,MATCH('Report Elements'!V$5,Model!$A$3:$AG$3,0),FALSE)</f>
        <v>46.047516928</v>
      </c>
      <c r="W15" s="95">
        <f>VLOOKUP($M15,Model!$A$1:$AG$70,MATCH('Report Elements'!W$5,Model!$A$3:$AG$3,0),FALSE)</f>
        <v>46.198416250880001</v>
      </c>
      <c r="X15" s="99">
        <f>VLOOKUP($M15,Model!$A$1:$AG$70,MATCH('Report Elements'!X$5,Model!$A$3:$AG$3,0),FALSE)</f>
        <v>45.97750249472</v>
      </c>
    </row>
    <row r="16" spans="4:24">
      <c r="D16" s="88" t="s">
        <v>161</v>
      </c>
      <c r="E16" s="93">
        <v>0.06</v>
      </c>
      <c r="M16" s="86" t="s">
        <v>20</v>
      </c>
      <c r="N16" s="99">
        <f>VLOOKUP($M16,Model!$A$1:$AG$70,MATCH('Report Elements'!N$5,Model!$A$3:$AG$3,0),FALSE)</f>
        <v>47.3</v>
      </c>
      <c r="O16" s="95">
        <f>VLOOKUP($M16,Model!$A$1:$AG$70,MATCH('Report Elements'!O$5,Model!$A$3:$AG$3,0),FALSE)</f>
        <v>47.699999999999996</v>
      </c>
      <c r="P16" s="95">
        <f>VLOOKUP($M16,Model!$A$1:$AG$70,MATCH('Report Elements'!P$5,Model!$A$3:$AG$3,0),FALSE)</f>
        <v>48.1</v>
      </c>
      <c r="Q16" s="95">
        <f>VLOOKUP($M16,Model!$A$1:$AG$70,MATCH('Report Elements'!Q$5,Model!$A$3:$AG$3,0),FALSE)</f>
        <v>48.7</v>
      </c>
      <c r="R16" s="95">
        <f>VLOOKUP($M16,Model!$A$1:$AG$70,MATCH('Report Elements'!R$5,Model!$A$3:$AG$3,0),FALSE)</f>
        <v>48.980000000000004</v>
      </c>
      <c r="S16" s="99">
        <f>VLOOKUP($M16,Model!$A$1:$AG$70,MATCH('Report Elements'!S$5,Model!$A$3:$AG$3,0),FALSE)</f>
        <v>48.370000000000005</v>
      </c>
      <c r="T16" s="95">
        <f>VLOOKUP($M16,Model!$A$1:$AG$70,MATCH('Report Elements'!T$5,Model!$A$3:$AG$3,0),FALSE)</f>
        <v>49.260000000000005</v>
      </c>
      <c r="U16" s="95">
        <f>VLOOKUP($M16,Model!$A$1:$AG$70,MATCH('Report Elements'!U$5,Model!$A$3:$AG$3,0),FALSE)</f>
        <v>49.540000000000006</v>
      </c>
      <c r="V16" s="95">
        <f>VLOOKUP($M16,Model!$A$1:$AG$70,MATCH('Report Elements'!V$5,Model!$A$3:$AG$3,0),FALSE)</f>
        <v>49.820000000000007</v>
      </c>
      <c r="W16" s="95">
        <f>VLOOKUP($M16,Model!$A$1:$AG$70,MATCH('Report Elements'!W$5,Model!$A$3:$AG$3,0),FALSE)</f>
        <v>50.100000000000009</v>
      </c>
      <c r="X16" s="99">
        <f>VLOOKUP($M16,Model!$A$1:$AG$70,MATCH('Report Elements'!X$5,Model!$A$3:$AG$3,0),FALSE)</f>
        <v>49.680000000000007</v>
      </c>
    </row>
    <row r="17" spans="4:24">
      <c r="D17" s="88" t="s">
        <v>170</v>
      </c>
      <c r="E17" s="93">
        <v>-0.02</v>
      </c>
      <c r="M17" s="86" t="s">
        <v>119</v>
      </c>
      <c r="N17" s="99">
        <f>VLOOKUP($M17,Model!$A$1:$AG$70,MATCH('Report Elements'!N$5,Model!$A$3:$AG$3,0),FALSE)</f>
        <v>10.59688195991092</v>
      </c>
      <c r="O17" s="95">
        <f>VLOOKUP($M17,Model!$A$1:$AG$70,MATCH('Report Elements'!O$5,Model!$A$3:$AG$3,0),FALSE)</f>
        <v>5.3075221238938077</v>
      </c>
      <c r="P17" s="95">
        <f>VLOOKUP($M17,Model!$A$1:$AG$70,MATCH('Report Elements'!P$5,Model!$A$3:$AG$3,0),FALSE)</f>
        <v>2.5550660792951549</v>
      </c>
      <c r="Q17" s="95">
        <f>VLOOKUP($M17,Model!$A$1:$AG$70,MATCH('Report Elements'!Q$5,Model!$A$3:$AG$3,0),FALSE)</f>
        <v>5.2593406593406611</v>
      </c>
      <c r="R17" s="95">
        <f>VLOOKUP($M17,Model!$A$1:$AG$70,MATCH('Report Elements'!R$5,Model!$A$3:$AG$3,0),FALSE)</f>
        <v>4.5790874024721671</v>
      </c>
      <c r="S17" s="99">
        <f>VLOOKUP($M17,Model!$A$1:$AG$70,MATCH('Report Elements'!S$5,Model!$A$3:$AG$3,0),FALSE)</f>
        <v>17.479631097024125</v>
      </c>
      <c r="T17" s="95">
        <f>VLOOKUP($M17,Model!$A$1:$AG$70,MATCH('Report Elements'!T$5,Model!$A$3:$AG$3,0),FALSE)</f>
        <v>5.1365763382452974</v>
      </c>
      <c r="U17" s="95">
        <f>VLOOKUP($M17,Model!$A$1:$AG$70,MATCH('Report Elements'!U$5,Model!$A$3:$AG$3,0),FALSE)</f>
        <v>5.2301582686631187</v>
      </c>
      <c r="V17" s="95">
        <f>VLOOKUP($M17,Model!$A$1:$AG$70,MATCH('Report Elements'!V$5,Model!$A$3:$AG$3,0),FALSE)</f>
        <v>6.4852121368264894</v>
      </c>
      <c r="W17" s="95">
        <f>VLOOKUP($M17,Model!$A$1:$AG$70,MATCH('Report Elements'!W$5,Model!$A$3:$AG$3,0),FALSE)</f>
        <v>6.045609016364307</v>
      </c>
      <c r="X17" s="99">
        <f>VLOOKUP($M17,Model!$A$1:$AG$70,MATCH('Report Elements'!X$5,Model!$A$3:$AG$3,0),FALSE)</f>
        <v>22.903823517376761</v>
      </c>
    </row>
    <row r="18" spans="4:24">
      <c r="D18" s="88"/>
      <c r="E18" s="93"/>
      <c r="M18" s="86" t="s">
        <v>120</v>
      </c>
      <c r="N18" s="104">
        <f>VLOOKUP($M18,Model!$A$1:$AG$70,MATCH('Report Elements'!N$5,Model!$A$3:$AG$3,0),FALSE)</f>
        <v>10.059196617336159</v>
      </c>
      <c r="O18" s="95">
        <f>VLOOKUP($M18,Model!$A$1:$AG$70,MATCH('Report Elements'!O$5,Model!$A$3:$AG$3,0),FALSE)</f>
        <v>5.0293501048218054</v>
      </c>
      <c r="P18" s="95">
        <f>VLOOKUP($M18,Model!$A$1:$AG$70,MATCH('Report Elements'!P$5,Model!$A$3:$AG$3,0),FALSE)</f>
        <v>2.4116424116424122</v>
      </c>
      <c r="Q18" s="95">
        <f>VLOOKUP($M18,Model!$A$1:$AG$70,MATCH('Report Elements'!Q$5,Model!$A$3:$AG$3,0),FALSE)</f>
        <v>4.9137577002053403</v>
      </c>
      <c r="R18" s="95">
        <f>VLOOKUP($M18,Model!$A$1:$AG$70,MATCH('Report Elements'!R$5,Model!$A$3:$AG$3,0),FALSE)</f>
        <v>4.2657125357288699</v>
      </c>
      <c r="S18" s="104">
        <f>VLOOKUP($M18,Model!$A$1:$AG$70,MATCH('Report Elements'!S$5,Model!$A$3:$AG$3,0),FALSE)</f>
        <v>16.417916063675833</v>
      </c>
      <c r="T18" s="95">
        <f>VLOOKUP($M18,Model!$A$1:$AG$70,MATCH('Report Elements'!T$5,Model!$A$3:$AG$3,0),FALSE)</f>
        <v>4.7718314518247729</v>
      </c>
      <c r="U18" s="95">
        <f>VLOOKUP($M18,Model!$A$1:$AG$70,MATCH('Report Elements'!U$5,Model!$A$3:$AG$3,0),FALSE)</f>
        <v>4.846078080574646</v>
      </c>
      <c r="V18" s="95">
        <f>VLOOKUP($M18,Model!$A$1:$AG$70,MATCH('Report Elements'!V$5,Model!$A$3:$AG$3,0),FALSE)</f>
        <v>5.9941372069889365</v>
      </c>
      <c r="W18" s="95">
        <f>VLOOKUP($M18,Model!$A$1:$AG$70,MATCH('Report Elements'!W$5,Model!$A$3:$AG$3,0),FALSE)</f>
        <v>5.5748016332948387</v>
      </c>
      <c r="X18" s="104">
        <f>VLOOKUP($M18,Model!$A$1:$AG$70,MATCH('Report Elements'!X$5,Model!$A$3:$AG$3,0),FALSE)</f>
        <v>21.196872039227387</v>
      </c>
    </row>
    <row r="19" spans="4:24">
      <c r="D19" s="88" t="s">
        <v>197</v>
      </c>
      <c r="E19" s="91">
        <f>'[1]Valuation &amp; Sensitivity'!O22</f>
        <v>0</v>
      </c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</row>
    <row r="20" spans="4:24">
      <c r="D20" s="88" t="s">
        <v>198</v>
      </c>
      <c r="E20" s="93">
        <f>'[1]Valuation &amp; Sensitivity'!O24</f>
        <v>0</v>
      </c>
      <c r="M20" s="86"/>
      <c r="N20" s="98" t="s">
        <v>230</v>
      </c>
      <c r="O20" s="86" t="s">
        <v>231</v>
      </c>
      <c r="P20" s="86" t="s">
        <v>232</v>
      </c>
      <c r="Q20" s="86" t="s">
        <v>246</v>
      </c>
      <c r="R20" s="86" t="s">
        <v>147</v>
      </c>
      <c r="S20" s="98" t="s">
        <v>233</v>
      </c>
      <c r="T20" s="86" t="s">
        <v>234</v>
      </c>
      <c r="U20" s="86" t="s">
        <v>235</v>
      </c>
      <c r="V20" s="86" t="s">
        <v>236</v>
      </c>
      <c r="W20" s="86" t="s">
        <v>237</v>
      </c>
      <c r="X20" s="98" t="s">
        <v>146</v>
      </c>
    </row>
    <row r="21" spans="4:24">
      <c r="D21" s="88"/>
      <c r="E21" s="92"/>
      <c r="M21" s="83" t="s">
        <v>8</v>
      </c>
      <c r="N21" s="155"/>
      <c r="O21" s="156"/>
      <c r="P21" s="156"/>
      <c r="Q21" s="156"/>
      <c r="R21" s="156"/>
      <c r="S21" s="155"/>
      <c r="T21" s="156"/>
      <c r="U21" s="156"/>
      <c r="V21" s="156"/>
      <c r="W21" s="156"/>
      <c r="X21" s="155"/>
    </row>
    <row r="22" spans="4:24" ht="17">
      <c r="D22" s="88" t="s">
        <v>167</v>
      </c>
      <c r="E22" s="91">
        <f>'Valuation &amp; Sensitivity'!C13</f>
        <v>12663.677096918542</v>
      </c>
      <c r="M22" s="4" t="s">
        <v>249</v>
      </c>
      <c r="N22" s="99">
        <f>VLOOKUP($M22,Model!$A$1:$AG$70,MATCH('Report Elements'!N$5,Model!$A$3:$AG$3,0),FALSE)</f>
        <v>607.5</v>
      </c>
      <c r="O22" s="95">
        <f>VLOOKUP($M22,Model!$A$1:$AG$70,MATCH('Report Elements'!O$5,Model!$A$3:$AG$3,0),FALSE)</f>
        <v>172</v>
      </c>
      <c r="P22" s="95">
        <f>VLOOKUP($M22,Model!$A$1:$AG$70,MATCH('Report Elements'!P$5,Model!$A$3:$AG$3,0),FALSE)</f>
        <v>201</v>
      </c>
      <c r="Q22" s="95">
        <f>VLOOKUP($M22,Model!$A$1:$AG$70,MATCH('Report Elements'!Q$5,Model!$A$3:$AG$3,0),FALSE)</f>
        <v>257.7</v>
      </c>
      <c r="R22" s="95">
        <f>VLOOKUP($M22,Model!$A$1:$AG$70,MATCH('Report Elements'!R$5,Model!$A$3:$AG$3,0),FALSE)</f>
        <v>241.42499999999998</v>
      </c>
      <c r="S22" s="99">
        <f>VLOOKUP($M22,Model!$A$1:$AG$70,MATCH('Report Elements'!S$5,Model!$A$3:$AG$3,0),FALSE)</f>
        <v>872.125</v>
      </c>
      <c r="T22" s="95">
        <f>VLOOKUP($M22,Model!$A$1:$AG$70,MATCH('Report Elements'!T$5,Model!$A$3:$AG$3,0),FALSE)</f>
        <v>232.20000000000002</v>
      </c>
      <c r="U22" s="95">
        <f>VLOOKUP($M22,Model!$A$1:$AG$70,MATCH('Report Elements'!U$5,Model!$A$3:$AG$3,0),FALSE)</f>
        <v>271.35000000000002</v>
      </c>
      <c r="V22" s="95">
        <f>VLOOKUP($M22,Model!$A$1:$AG$70,MATCH('Report Elements'!V$5,Model!$A$3:$AG$3,0),FALSE)</f>
        <v>335.01</v>
      </c>
      <c r="W22" s="95">
        <f>VLOOKUP($M22,Model!$A$1:$AG$70,MATCH('Report Elements'!W$5,Model!$A$3:$AG$3,0),FALSE)</f>
        <v>313.85249999999996</v>
      </c>
      <c r="X22" s="99">
        <f>VLOOKUP($M22,Model!$A$1:$AG$70,MATCH('Report Elements'!X$5,Model!$A$3:$AG$3,0),FALSE)</f>
        <v>1152.4124999999999</v>
      </c>
    </row>
    <row r="23" spans="4:24" ht="17">
      <c r="D23" s="88" t="s">
        <v>164</v>
      </c>
      <c r="E23" s="91">
        <f>E11</f>
        <v>2615.6</v>
      </c>
      <c r="M23" s="63" t="s">
        <v>127</v>
      </c>
      <c r="N23" s="153">
        <f>VLOOKUP($M23,Model!$A$1:$AG$70,MATCH('Report Elements'!N$5,Model!$A$3:$AG$3,0),FALSE)</f>
        <v>0.25698324022346375</v>
      </c>
      <c r="O23" s="154">
        <f>VLOOKUP($M23,Model!$A$1:$AG$70,MATCH('Report Elements'!O$5,Model!$A$3:$AG$3,0),FALSE)</f>
        <v>0.39837398373983746</v>
      </c>
      <c r="P23" s="154">
        <f>VLOOKUP($M23,Model!$A$1:$AG$70,MATCH('Report Elements'!P$5,Model!$A$3:$AG$3,0),FALSE)</f>
        <v>0.30689206762028598</v>
      </c>
      <c r="Q23" s="154">
        <f>VLOOKUP($M23,Model!$A$1:$AG$70,MATCH('Report Elements'!Q$5,Model!$A$3:$AG$3,0),FALSE)</f>
        <v>0.56942752740560287</v>
      </c>
      <c r="R23" s="154">
        <f>VLOOKUP($M23,Model!$A$1:$AG$70,MATCH('Report Elements'!R$5,Model!$A$3:$AG$3,0),FALSE)</f>
        <v>0.45</v>
      </c>
      <c r="S23" s="153">
        <f>VLOOKUP($M23,Model!$A$1:$AG$70,MATCH('Report Elements'!S$5,Model!$A$3:$AG$3,0),FALSE)</f>
        <v>0.43559670781893001</v>
      </c>
      <c r="T23" s="154">
        <f>VLOOKUP($M23,Model!$A$1:$AG$70,MATCH('Report Elements'!T$5,Model!$A$3:$AG$3,0),FALSE)</f>
        <v>0.35</v>
      </c>
      <c r="U23" s="154">
        <f>VLOOKUP($M23,Model!$A$1:$AG$70,MATCH('Report Elements'!U$5,Model!$A$3:$AG$3,0),FALSE)</f>
        <v>0.35</v>
      </c>
      <c r="V23" s="154">
        <f>VLOOKUP($M23,Model!$A$1:$AG$70,MATCH('Report Elements'!V$5,Model!$A$3:$AG$3,0),FALSE)</f>
        <v>0.3</v>
      </c>
      <c r="W23" s="154">
        <f>VLOOKUP($M23,Model!$A$1:$AG$70,MATCH('Report Elements'!W$5,Model!$A$3:$AG$3,0),FALSE)</f>
        <v>0.3</v>
      </c>
      <c r="X23" s="153">
        <f>VLOOKUP($M23,Model!$A$1:$AG$70,MATCH('Report Elements'!X$5,Model!$A$3:$AG$3,0),FALSE)</f>
        <v>0.32138454923319459</v>
      </c>
    </row>
    <row r="24" spans="4:24" ht="17">
      <c r="D24" s="88" t="s">
        <v>166</v>
      </c>
      <c r="E24" s="91">
        <f>E22+E23-E10</f>
        <v>14479.277096918542</v>
      </c>
      <c r="M24" s="4" t="s">
        <v>250</v>
      </c>
      <c r="N24" s="99">
        <f>VLOOKUP($M24,Model!$A$1:$AG$70,MATCH('Report Elements'!N$5,Model!$A$3:$AG$3,0),FALSE)</f>
        <v>513.70000000000005</v>
      </c>
      <c r="O24" s="95">
        <f>VLOOKUP($M24,Model!$A$1:$AG$70,MATCH('Report Elements'!O$5,Model!$A$3:$AG$3,0),FALSE)</f>
        <v>131.69999999999999</v>
      </c>
      <c r="P24" s="95">
        <f>VLOOKUP($M24,Model!$A$1:$AG$70,MATCH('Report Elements'!P$5,Model!$A$3:$AG$3,0),FALSE)</f>
        <v>132</v>
      </c>
      <c r="Q24" s="95">
        <f>VLOOKUP($M24,Model!$A$1:$AG$70,MATCH('Report Elements'!Q$5,Model!$A$3:$AG$3,0),FALSE)</f>
        <v>114</v>
      </c>
      <c r="R24" s="95">
        <f>VLOOKUP($M24,Model!$A$1:$AG$70,MATCH('Report Elements'!R$5,Model!$A$3:$AG$3,0),FALSE)</f>
        <v>119.48300000000005</v>
      </c>
      <c r="S24" s="99">
        <f>VLOOKUP($M24,Model!$A$1:$AG$70,MATCH('Report Elements'!S$5,Model!$A$3:$AG$3,0),FALSE)</f>
        <v>497.18300000000005</v>
      </c>
      <c r="T24" s="95">
        <f>VLOOKUP($M24,Model!$A$1:$AG$70,MATCH('Report Elements'!T$5,Model!$A$3:$AG$3,0),FALSE)</f>
        <v>133.017</v>
      </c>
      <c r="U24" s="95">
        <f>VLOOKUP($M24,Model!$A$1:$AG$70,MATCH('Report Elements'!U$5,Model!$A$3:$AG$3,0),FALSE)</f>
        <v>133.32</v>
      </c>
      <c r="V24" s="95">
        <f>VLOOKUP($M24,Model!$A$1:$AG$70,MATCH('Report Elements'!V$5,Model!$A$3:$AG$3,0),FALSE)</f>
        <v>115.14</v>
      </c>
      <c r="W24" s="95">
        <f>VLOOKUP($M24,Model!$A$1:$AG$70,MATCH('Report Elements'!W$5,Model!$A$3:$AG$3,0),FALSE)</f>
        <v>120.67783000000004</v>
      </c>
      <c r="X24" s="99">
        <f>VLOOKUP($M24,Model!$A$1:$AG$70,MATCH('Report Elements'!X$5,Model!$A$3:$AG$3,0),FALSE)</f>
        <v>502.15483</v>
      </c>
    </row>
    <row r="25" spans="4:24" ht="17">
      <c r="D25" s="96" t="s">
        <v>200</v>
      </c>
      <c r="E25" s="97">
        <f>'Valuation &amp; Sensitivity'!C18</f>
        <v>297.31575147676676</v>
      </c>
      <c r="M25" s="63" t="s">
        <v>126</v>
      </c>
      <c r="N25" s="153">
        <f>VLOOKUP($M25,Model!$A$1:$AG$70,MATCH('Report Elements'!N$5,Model!$A$3:$AG$3,0),FALSE)</f>
        <v>-5.8060770272885254E-3</v>
      </c>
      <c r="O25" s="154">
        <f>VLOOKUP($M25,Model!$A$1:$AG$70,MATCH('Report Elements'!O$5,Model!$A$3:$AG$3,0),FALSE)</f>
        <v>1.1520737327188835E-2</v>
      </c>
      <c r="P25" s="154">
        <f>VLOOKUP($M25,Model!$A$1:$AG$70,MATCH('Report Elements'!P$5,Model!$A$3:$AG$3,0),FALSE)</f>
        <v>-5.5793991416309141E-2</v>
      </c>
      <c r="Q25" s="154">
        <f>VLOOKUP($M25,Model!$A$1:$AG$70,MATCH('Report Elements'!Q$5,Model!$A$3:$AG$3,0),FALSE)</f>
        <v>-9.0909090909090939E-2</v>
      </c>
      <c r="R25" s="154">
        <f>VLOOKUP($M25,Model!$A$1:$AG$70,MATCH('Report Elements'!R$5,Model!$A$3:$AG$3,0),FALSE)</f>
        <v>0.01</v>
      </c>
      <c r="S25" s="153">
        <f>VLOOKUP($M25,Model!$A$1:$AG$70,MATCH('Report Elements'!S$5,Model!$A$3:$AG$3,0),FALSE)</f>
        <v>-3.2153007591979699E-2</v>
      </c>
      <c r="T25" s="154">
        <f>VLOOKUP($M25,Model!$A$1:$AG$70,MATCH('Report Elements'!T$5,Model!$A$3:$AG$3,0),FALSE)</f>
        <v>0.01</v>
      </c>
      <c r="U25" s="154">
        <f>VLOOKUP($M25,Model!$A$1:$AG$70,MATCH('Report Elements'!U$5,Model!$A$3:$AG$3,0),FALSE)</f>
        <v>0.01</v>
      </c>
      <c r="V25" s="154">
        <f>VLOOKUP($M25,Model!$A$1:$AG$70,MATCH('Report Elements'!V$5,Model!$A$3:$AG$3,0),FALSE)</f>
        <v>0.01</v>
      </c>
      <c r="W25" s="154">
        <f>VLOOKUP($M25,Model!$A$1:$AG$70,MATCH('Report Elements'!W$5,Model!$A$3:$AG$3,0),FALSE)</f>
        <v>0.01</v>
      </c>
      <c r="X25" s="153">
        <f>VLOOKUP($M25,Model!$A$1:$AG$70,MATCH('Report Elements'!X$5,Model!$A$3:$AG$3,0),FALSE)</f>
        <v>1.0000000000000009E-2</v>
      </c>
    </row>
    <row r="26" spans="4:24" ht="17">
      <c r="M26" s="4" t="s">
        <v>251</v>
      </c>
      <c r="N26" s="99">
        <f>VLOOKUP($M26,Model!$A$1:$AG$70,MATCH('Report Elements'!N$5,Model!$A$3:$AG$3,0),FALSE)</f>
        <v>306.10000000000002</v>
      </c>
      <c r="O26" s="95">
        <f>VLOOKUP($M26,Model!$A$1:$AG$70,MATCH('Report Elements'!O$5,Model!$A$3:$AG$3,0),FALSE)</f>
        <v>82.800000000000011</v>
      </c>
      <c r="P26" s="95">
        <f>VLOOKUP($M26,Model!$A$1:$AG$70,MATCH('Report Elements'!P$5,Model!$A$3:$AG$3,0),FALSE)</f>
        <v>79</v>
      </c>
      <c r="Q26" s="95">
        <f>VLOOKUP($M26,Model!$A$1:$AG$70,MATCH('Report Elements'!Q$5,Model!$A$3:$AG$3,0),FALSE)</f>
        <v>87.5</v>
      </c>
      <c r="R26" s="95">
        <f>VLOOKUP($M26,Model!$A$1:$AG$70,MATCH('Report Elements'!R$5,Model!$A$3:$AG$3,0),FALSE)</f>
        <v>78.08400000000006</v>
      </c>
      <c r="S26" s="99">
        <f>VLOOKUP($M26,Model!$A$1:$AG$70,MATCH('Report Elements'!S$5,Model!$A$3:$AG$3,0),FALSE)</f>
        <v>327.38400000000007</v>
      </c>
      <c r="T26" s="95">
        <f>VLOOKUP($M26,Model!$A$1:$AG$70,MATCH('Report Elements'!T$5,Model!$A$3:$AG$3,0),FALSE)</f>
        <v>89.424000000000021</v>
      </c>
      <c r="U26" s="95">
        <f>VLOOKUP($M26,Model!$A$1:$AG$70,MATCH('Report Elements'!U$5,Model!$A$3:$AG$3,0),FALSE)</f>
        <v>85.320000000000007</v>
      </c>
      <c r="V26" s="95">
        <f>VLOOKUP($M26,Model!$A$1:$AG$70,MATCH('Report Elements'!V$5,Model!$A$3:$AG$3,0),FALSE)</f>
        <v>94.5</v>
      </c>
      <c r="W26" s="95">
        <f>VLOOKUP($M26,Model!$A$1:$AG$70,MATCH('Report Elements'!W$5,Model!$A$3:$AG$3,0),FALSE)</f>
        <v>84.330720000000071</v>
      </c>
      <c r="X26" s="99">
        <f>VLOOKUP($M26,Model!$A$1:$AG$70,MATCH('Report Elements'!X$5,Model!$A$3:$AG$3,0),FALSE)</f>
        <v>353.57472000000007</v>
      </c>
    </row>
    <row r="27" spans="4:24" ht="17">
      <c r="M27" s="63" t="s">
        <v>125</v>
      </c>
      <c r="N27" s="153">
        <f>VLOOKUP($M27,Model!$A$1:$AG$70,MATCH('Report Elements'!N$5,Model!$A$3:$AG$3,0),FALSE)</f>
        <v>4.4353462981917335E-2</v>
      </c>
      <c r="O27" s="154">
        <f>VLOOKUP($M27,Model!$A$1:$AG$70,MATCH('Report Elements'!O$5,Model!$A$3:$AG$3,0),FALSE)</f>
        <v>0.1436464088397793</v>
      </c>
      <c r="P27" s="154">
        <f>VLOOKUP($M27,Model!$A$1:$AG$70,MATCH('Report Elements'!P$5,Model!$A$3:$AG$3,0),FALSE)</f>
        <v>3.6745406824146842E-2</v>
      </c>
      <c r="Q27" s="154">
        <f>VLOOKUP($M27,Model!$A$1:$AG$70,MATCH('Report Elements'!Q$5,Model!$A$3:$AG$3,0),FALSE)</f>
        <v>2.699530516431925E-2</v>
      </c>
      <c r="R27" s="154">
        <f>VLOOKUP($M27,Model!$A$1:$AG$70,MATCH('Report Elements'!R$5,Model!$A$3:$AG$3,0),FALSE)</f>
        <v>0.08</v>
      </c>
      <c r="S27" s="153">
        <f>VLOOKUP($M27,Model!$A$1:$AG$70,MATCH('Report Elements'!S$5,Model!$A$3:$AG$3,0),FALSE)</f>
        <v>6.9532832407710021E-2</v>
      </c>
      <c r="T27" s="154">
        <f>VLOOKUP($M27,Model!$A$1:$AG$70,MATCH('Report Elements'!T$5,Model!$A$3:$AG$3,0),FALSE)</f>
        <v>0.08</v>
      </c>
      <c r="U27" s="154">
        <f>VLOOKUP($M27,Model!$A$1:$AG$70,MATCH('Report Elements'!U$5,Model!$A$3:$AG$3,0),FALSE)</f>
        <v>0.08</v>
      </c>
      <c r="V27" s="154">
        <f>VLOOKUP($M27,Model!$A$1:$AG$70,MATCH('Report Elements'!V$5,Model!$A$3:$AG$3,0),FALSE)</f>
        <v>0.08</v>
      </c>
      <c r="W27" s="154">
        <f>VLOOKUP($M27,Model!$A$1:$AG$70,MATCH('Report Elements'!W$5,Model!$A$3:$AG$3,0),FALSE)</f>
        <v>0.08</v>
      </c>
      <c r="X27" s="153">
        <f>VLOOKUP($M27,Model!$A$1:$AG$70,MATCH('Report Elements'!X$5,Model!$A$3:$AG$3,0),FALSE)</f>
        <v>8.0000000000000071E-2</v>
      </c>
    </row>
    <row r="28" spans="4:24" ht="17">
      <c r="M28" s="4" t="s">
        <v>252</v>
      </c>
      <c r="N28" s="99">
        <f>VLOOKUP($M28,Model!$A$1:$AG$70,MATCH('Report Elements'!N$5,Model!$A$3:$AG$3,0),FALSE)</f>
        <v>202.3</v>
      </c>
      <c r="O28" s="95">
        <f>VLOOKUP($M28,Model!$A$1:$AG$70,MATCH('Report Elements'!O$5,Model!$A$3:$AG$3,0),FALSE)</f>
        <v>55.599999999999994</v>
      </c>
      <c r="P28" s="95">
        <f>VLOOKUP($M28,Model!$A$1:$AG$70,MATCH('Report Elements'!P$5,Model!$A$3:$AG$3,0),FALSE)</f>
        <v>44.5</v>
      </c>
      <c r="Q28" s="95">
        <f>VLOOKUP($M28,Model!$A$1:$AG$70,MATCH('Report Elements'!Q$5,Model!$A$3:$AG$3,0),FALSE)</f>
        <v>46.1</v>
      </c>
      <c r="R28" s="95">
        <f>VLOOKUP($M28,Model!$A$1:$AG$70,MATCH('Report Elements'!R$5,Model!$A$3:$AG$3,0),FALSE)</f>
        <v>52.500000000000014</v>
      </c>
      <c r="S28" s="99">
        <f>VLOOKUP($M28,Model!$A$1:$AG$70,MATCH('Report Elements'!S$5,Model!$A$3:$AG$3,0),FALSE)</f>
        <v>198.7</v>
      </c>
      <c r="T28" s="95">
        <f>VLOOKUP($M28,Model!$A$1:$AG$70,MATCH('Report Elements'!T$5,Model!$A$3:$AG$3,0),FALSE)</f>
        <v>58.379999999999995</v>
      </c>
      <c r="U28" s="95">
        <f>VLOOKUP($M28,Model!$A$1:$AG$70,MATCH('Report Elements'!U$5,Model!$A$3:$AG$3,0),FALSE)</f>
        <v>46.725000000000001</v>
      </c>
      <c r="V28" s="95">
        <f>VLOOKUP($M28,Model!$A$1:$AG$70,MATCH('Report Elements'!V$5,Model!$A$3:$AG$3,0),FALSE)</f>
        <v>48.405000000000001</v>
      </c>
      <c r="W28" s="95">
        <f>VLOOKUP($M28,Model!$A$1:$AG$70,MATCH('Report Elements'!W$5,Model!$A$3:$AG$3,0),FALSE)</f>
        <v>55.125000000000014</v>
      </c>
      <c r="X28" s="99">
        <f>VLOOKUP($M28,Model!$A$1:$AG$70,MATCH('Report Elements'!X$5,Model!$A$3:$AG$3,0),FALSE)</f>
        <v>208.63499999999999</v>
      </c>
    </row>
    <row r="29" spans="4:24" ht="17">
      <c r="M29" s="63" t="s">
        <v>124</v>
      </c>
      <c r="N29" s="153">
        <f>VLOOKUP($M29,Model!$A$1:$AG$70,MATCH('Report Elements'!N$5,Model!$A$3:$AG$3,0),FALSE)</f>
        <v>0.64605370219690816</v>
      </c>
      <c r="O29" s="154">
        <f>VLOOKUP($M29,Model!$A$1:$AG$70,MATCH('Report Elements'!O$5,Model!$A$3:$AG$3,0),FALSE)</f>
        <v>0.26651480637813196</v>
      </c>
      <c r="P29" s="154">
        <f>VLOOKUP($M29,Model!$A$1:$AG$70,MATCH('Report Elements'!P$5,Model!$A$3:$AG$3,0),FALSE)</f>
        <v>-0.16195856873822978</v>
      </c>
      <c r="Q29" s="154">
        <f>VLOOKUP($M29,Model!$A$1:$AG$70,MATCH('Report Elements'!Q$5,Model!$A$3:$AG$3,0),FALSE)</f>
        <v>-0.16636528028933084</v>
      </c>
      <c r="R29" s="154">
        <f>VLOOKUP($M29,Model!$A$1:$AG$70,MATCH('Report Elements'!R$5,Model!$A$3:$AG$3,0),FALSE)</f>
        <v>0.05</v>
      </c>
      <c r="S29" s="153">
        <f>VLOOKUP($M29,Model!$A$1:$AG$70,MATCH('Report Elements'!S$5,Model!$A$3:$AG$3,0),FALSE)</f>
        <v>-1.779535343549199E-2</v>
      </c>
      <c r="T29" s="154">
        <f>VLOOKUP($M29,Model!$A$1:$AG$70,MATCH('Report Elements'!T$5,Model!$A$3:$AG$3,0),FALSE)</f>
        <v>0.05</v>
      </c>
      <c r="U29" s="154">
        <f>VLOOKUP($M29,Model!$A$1:$AG$70,MATCH('Report Elements'!U$5,Model!$A$3:$AG$3,0),FALSE)</f>
        <v>0.05</v>
      </c>
      <c r="V29" s="154">
        <f>VLOOKUP($M29,Model!$A$1:$AG$70,MATCH('Report Elements'!V$5,Model!$A$3:$AG$3,0),FALSE)</f>
        <v>0.05</v>
      </c>
      <c r="W29" s="154">
        <f>VLOOKUP($M29,Model!$A$1:$AG$70,MATCH('Report Elements'!W$5,Model!$A$3:$AG$3,0),FALSE)</f>
        <v>0.05</v>
      </c>
      <c r="X29" s="153">
        <f>VLOOKUP($M29,Model!$A$1:$AG$70,MATCH('Report Elements'!X$5,Model!$A$3:$AG$3,0),FALSE)</f>
        <v>5.0000000000000044E-2</v>
      </c>
    </row>
    <row r="30" spans="4:24" ht="17">
      <c r="M30" s="4" t="s">
        <v>253</v>
      </c>
      <c r="N30" s="99">
        <f>VLOOKUP($M30,Model!$A$1:$AG$70,MATCH('Report Elements'!N$5,Model!$A$3:$AG$3,0),FALSE)</f>
        <v>55.9</v>
      </c>
      <c r="O30" s="95">
        <f>VLOOKUP($M30,Model!$A$1:$AG$70,MATCH('Report Elements'!O$5,Model!$A$3:$AG$3,0),FALSE)</f>
        <v>9.7999999999999989</v>
      </c>
      <c r="P30" s="95">
        <f>VLOOKUP($M30,Model!$A$1:$AG$70,MATCH('Report Elements'!P$5,Model!$A$3:$AG$3,0),FALSE)</f>
        <v>10.4</v>
      </c>
      <c r="Q30" s="95">
        <f>VLOOKUP($M30,Model!$A$1:$AG$70,MATCH('Report Elements'!Q$5,Model!$A$3:$AG$3,0),FALSE)</f>
        <v>10.7</v>
      </c>
      <c r="R30" s="95">
        <f>VLOOKUP($M30,Model!$A$1:$AG$70,MATCH('Report Elements'!R$5,Model!$A$3:$AG$3,0),FALSE)</f>
        <v>8.2619999999999969</v>
      </c>
      <c r="S30" s="99">
        <f>VLOOKUP($M30,Model!$A$1:$AG$70,MATCH('Report Elements'!S$5,Model!$A$3:$AG$3,0),FALSE)</f>
        <v>39.161999999999992</v>
      </c>
      <c r="T30" s="95">
        <f>VLOOKUP($M30,Model!$A$1:$AG$70,MATCH('Report Elements'!T$5,Model!$A$3:$AG$3,0),FALSE)</f>
        <v>9.9959999999999987</v>
      </c>
      <c r="U30" s="95">
        <f>VLOOKUP($M30,Model!$A$1:$AG$70,MATCH('Report Elements'!U$5,Model!$A$3:$AG$3,0),FALSE)</f>
        <v>10.608000000000001</v>
      </c>
      <c r="V30" s="95">
        <f>VLOOKUP($M30,Model!$A$1:$AG$70,MATCH('Report Elements'!V$5,Model!$A$3:$AG$3,0),FALSE)</f>
        <v>10.914</v>
      </c>
      <c r="W30" s="95">
        <f>VLOOKUP($M30,Model!$A$1:$AG$70,MATCH('Report Elements'!W$5,Model!$A$3:$AG$3,0),FALSE)</f>
        <v>8.4272399999999976</v>
      </c>
      <c r="X30" s="99">
        <f>VLOOKUP($M30,Model!$A$1:$AG$70,MATCH('Report Elements'!X$5,Model!$A$3:$AG$3,0),FALSE)</f>
        <v>39.945239999999998</v>
      </c>
    </row>
    <row r="31" spans="4:24" ht="17">
      <c r="M31" s="63" t="s">
        <v>123</v>
      </c>
      <c r="N31" s="153">
        <f>VLOOKUP($M31,Model!$A$1:$AG$70,MATCH('Report Elements'!N$5,Model!$A$3:$AG$3,0),FALSE)</f>
        <v>-0.1693907875185735</v>
      </c>
      <c r="O31" s="154">
        <f>VLOOKUP($M31,Model!$A$1:$AG$70,MATCH('Report Elements'!O$5,Model!$A$3:$AG$3,0),FALSE)</f>
        <v>2.0833333333333037E-2</v>
      </c>
      <c r="P31" s="154">
        <f>VLOOKUP($M31,Model!$A$1:$AG$70,MATCH('Report Elements'!P$5,Model!$A$3:$AG$3,0),FALSE)</f>
        <v>-0.55932203389830515</v>
      </c>
      <c r="Q31" s="154">
        <f>VLOOKUP($M31,Model!$A$1:$AG$70,MATCH('Report Elements'!Q$5,Model!$A$3:$AG$3,0),FALSE)</f>
        <v>-0.26712328767123295</v>
      </c>
      <c r="R31" s="154">
        <f>VLOOKUP($M31,Model!$A$1:$AG$70,MATCH('Report Elements'!R$5,Model!$A$3:$AG$3,0),FALSE)</f>
        <v>0.02</v>
      </c>
      <c r="S31" s="153">
        <f>VLOOKUP($M31,Model!$A$1:$AG$70,MATCH('Report Elements'!S$5,Model!$A$3:$AG$3,0),FALSE)</f>
        <v>-0.29942754919499115</v>
      </c>
      <c r="T31" s="154">
        <f>VLOOKUP($M31,Model!$A$1:$AG$70,MATCH('Report Elements'!T$5,Model!$A$3:$AG$3,0),FALSE)</f>
        <v>0.02</v>
      </c>
      <c r="U31" s="154">
        <f>VLOOKUP($M31,Model!$A$1:$AG$70,MATCH('Report Elements'!U$5,Model!$A$3:$AG$3,0),FALSE)</f>
        <v>0.02</v>
      </c>
      <c r="V31" s="154">
        <f>VLOOKUP($M31,Model!$A$1:$AG$70,MATCH('Report Elements'!V$5,Model!$A$3:$AG$3,0),FALSE)</f>
        <v>0.02</v>
      </c>
      <c r="W31" s="154">
        <f>VLOOKUP($M31,Model!$A$1:$AG$70,MATCH('Report Elements'!W$5,Model!$A$3:$AG$3,0),FALSE)</f>
        <v>0.02</v>
      </c>
      <c r="X31" s="153">
        <f>VLOOKUP($M31,Model!$A$1:$AG$70,MATCH('Report Elements'!X$5,Model!$A$3:$AG$3,0),FALSE)</f>
        <v>2.000000000000024E-2</v>
      </c>
    </row>
    <row r="32" spans="4:24" ht="17">
      <c r="M32" s="60" t="s">
        <v>7</v>
      </c>
      <c r="N32" s="155">
        <f>VLOOKUP($M32,Model!$A$1:$AG$70,MATCH('Report Elements'!N$5,Model!$A$3:$AG$3,0),FALSE)</f>
        <v>1685.5000000000002</v>
      </c>
      <c r="O32" s="156">
        <f>VLOOKUP($M32,Model!$A$1:$AG$70,MATCH('Report Elements'!O$5,Model!$A$3:$AG$3,0),FALSE)</f>
        <v>451.90000000000003</v>
      </c>
      <c r="P32" s="156">
        <f>VLOOKUP($M32,Model!$A$1:$AG$70,MATCH('Report Elements'!P$5,Model!$A$3:$AG$3,0),FALSE)</f>
        <v>466.9</v>
      </c>
      <c r="Q32" s="156">
        <f>VLOOKUP($M32,Model!$A$1:$AG$70,MATCH('Report Elements'!Q$5,Model!$A$3:$AG$3,0),FALSE)</f>
        <v>516</v>
      </c>
      <c r="R32" s="156">
        <f>VLOOKUP($M32,Model!$A$1:$AG$70,MATCH('Report Elements'!R$5,Model!$A$3:$AG$3,0),FALSE)</f>
        <v>499.75400000000008</v>
      </c>
      <c r="S32" s="155">
        <f>VLOOKUP($M32,Model!$A$1:$AG$70,MATCH('Report Elements'!S$5,Model!$A$3:$AG$3,0),FALSE)</f>
        <v>1934.5540000000001</v>
      </c>
      <c r="T32" s="156">
        <f>VLOOKUP($M32,Model!$A$1:$AG$70,MATCH('Report Elements'!T$5,Model!$A$3:$AG$3,0),FALSE)</f>
        <v>523.01699999999994</v>
      </c>
      <c r="U32" s="156">
        <f>VLOOKUP($M32,Model!$A$1:$AG$70,MATCH('Report Elements'!U$5,Model!$A$3:$AG$3,0),FALSE)</f>
        <v>547.32299999999998</v>
      </c>
      <c r="V32" s="156">
        <f>VLOOKUP($M32,Model!$A$1:$AG$70,MATCH('Report Elements'!V$5,Model!$A$3:$AG$3,0),FALSE)</f>
        <v>603.96899999999994</v>
      </c>
      <c r="W32" s="156">
        <f>VLOOKUP($M32,Model!$A$1:$AG$70,MATCH('Report Elements'!W$5,Model!$A$3:$AG$3,0),FALSE)</f>
        <v>582.41329000000007</v>
      </c>
      <c r="X32" s="155">
        <f>VLOOKUP($M32,Model!$A$1:$AG$70,MATCH('Report Elements'!X$5,Model!$A$3:$AG$3,0),FALSE)</f>
        <v>2256.7222899999997</v>
      </c>
    </row>
    <row r="33" spans="13:24" ht="17">
      <c r="M33" s="63" t="s">
        <v>128</v>
      </c>
      <c r="N33" s="152">
        <f>VLOOKUP($M33,Model!$A$1:$AG$70,MATCH('Report Elements'!N$5,Model!$A$3:$AG$3,0),FALSE)</f>
        <v>0.13631767006000151</v>
      </c>
      <c r="O33" s="154">
        <f>VLOOKUP($M33,Model!$A$1:$AG$70,MATCH('Report Elements'!O$5,Model!$A$3:$AG$3,0),FALSE)</f>
        <v>0.19203376417831719</v>
      </c>
      <c r="P33" s="154">
        <f>VLOOKUP($M33,Model!$A$1:$AG$70,MATCH('Report Elements'!P$5,Model!$A$3:$AG$3,0),FALSE)</f>
        <v>4.5688689809630256E-2</v>
      </c>
      <c r="Q33" s="154">
        <f>VLOOKUP($M33,Model!$A$1:$AG$70,MATCH('Report Elements'!Q$5,Model!$A$3:$AG$3,0),FALSE)</f>
        <v>0.16033280863503463</v>
      </c>
      <c r="R33" s="154">
        <f>VLOOKUP($M33,Model!$A$1:$AG$70,MATCH('Report Elements'!R$5,Model!$A$3:$AG$3,0),FALSE)</f>
        <v>0.20364643545279359</v>
      </c>
      <c r="S33" s="152">
        <f>VLOOKUP($M33,Model!$A$1:$AG$70,MATCH('Report Elements'!S$5,Model!$A$3:$AG$3,0),FALSE)</f>
        <v>0.14776268169682583</v>
      </c>
      <c r="T33" s="154">
        <f>VLOOKUP($M33,Model!$A$1:$AG$70,MATCH('Report Elements'!T$5,Model!$A$3:$AG$3,0),FALSE)</f>
        <v>0.15737331267979626</v>
      </c>
      <c r="U33" s="154">
        <f>VLOOKUP($M33,Model!$A$1:$AG$70,MATCH('Report Elements'!U$5,Model!$A$3:$AG$3,0),FALSE)</f>
        <v>0.17224887556221891</v>
      </c>
      <c r="V33" s="154">
        <f>VLOOKUP($M33,Model!$A$1:$AG$70,MATCH('Report Elements'!V$5,Model!$A$3:$AG$3,0),FALSE)</f>
        <v>0.17048255813953483</v>
      </c>
      <c r="W33" s="154">
        <f>VLOOKUP($M33,Model!$A$1:$AG$70,MATCH('Report Elements'!W$5,Model!$A$3:$AG$3,0),FALSE)</f>
        <v>0.1653999567787352</v>
      </c>
      <c r="X33" s="152">
        <f>VLOOKUP($M33,Model!$A$1:$AG$70,MATCH('Report Elements'!X$5,Model!$A$3:$AG$3,0),FALSE)</f>
        <v>0.16653362480447664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Valuation &amp; Sensitivity</vt:lpstr>
      <vt:lpstr>Report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2022-10-31T13:33:43Z</dcterms:created>
  <dcterms:modified xsi:type="dcterms:W3CDTF">2022-11-27T23:16:31Z</dcterms:modified>
</cp:coreProperties>
</file>