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E31CD838-9151-2E4D-9D28-90A710632A0D}" xr6:coauthVersionLast="47" xr6:coauthVersionMax="47" xr10:uidLastSave="{00000000-0000-0000-0000-000000000000}"/>
  <bookViews>
    <workbookView xWindow="400" yWindow="760" windowWidth="28940" windowHeight="17440" activeTab="2" xr2:uid="{D70B168D-5140-1546-9A8A-CC34256164CF}"/>
  </bookViews>
  <sheets>
    <sheet name="Cover" sheetId="1" r:id="rId1"/>
    <sheet name="Main" sheetId="5" r:id="rId2"/>
    <sheet name="Model" sheetId="2" r:id="rId3"/>
    <sheet name="Schedu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2" i="2" l="1"/>
  <c r="AD47" i="2"/>
  <c r="AE44" i="2"/>
  <c r="AF44" i="2"/>
  <c r="AG44" i="2"/>
  <c r="AH44" i="2"/>
  <c r="AI44" i="2"/>
  <c r="AJ44" i="2"/>
  <c r="AK44" i="2"/>
  <c r="AL44" i="2"/>
  <c r="AM44" i="2"/>
  <c r="AN44" i="2"/>
  <c r="AO44" i="2"/>
  <c r="AC44" i="2"/>
  <c r="AD44" i="2"/>
  <c r="AL12" i="2"/>
  <c r="AK12" i="2"/>
  <c r="AW7" i="2"/>
  <c r="AV7" i="2"/>
  <c r="AU7" i="2"/>
  <c r="AD16" i="2"/>
  <c r="AF11" i="2"/>
  <c r="AG11" i="2"/>
  <c r="AK11" i="2" s="1"/>
  <c r="AO11" i="2" s="1"/>
  <c r="AH11" i="2"/>
  <c r="AJ11" i="2"/>
  <c r="AN11" i="2" s="1"/>
  <c r="AL11" i="2"/>
  <c r="AE11" i="2"/>
  <c r="AE21" i="2" s="1"/>
  <c r="AC46" i="2"/>
  <c r="AC47" i="2" s="1"/>
  <c r="AD12" i="2"/>
  <c r="AC191" i="2"/>
  <c r="AC175" i="2"/>
  <c r="AC147" i="2"/>
  <c r="AC152" i="2"/>
  <c r="AW60" i="2"/>
  <c r="AV60" i="2"/>
  <c r="AU60" i="2"/>
  <c r="AT60" i="2"/>
  <c r="AR60" i="2"/>
  <c r="AQ60" i="2"/>
  <c r="AR59" i="2"/>
  <c r="AQ59" i="2"/>
  <c r="AW58" i="2"/>
  <c r="AV58" i="2"/>
  <c r="AU58" i="2"/>
  <c r="AT58" i="2"/>
  <c r="AS58" i="2"/>
  <c r="AR58" i="2"/>
  <c r="AQ58" i="2"/>
  <c r="AW57" i="2"/>
  <c r="AV57" i="2"/>
  <c r="AU57" i="2"/>
  <c r="AT57" i="2"/>
  <c r="AR57" i="2"/>
  <c r="AQ57" i="2"/>
  <c r="AW56" i="2"/>
  <c r="AV56" i="2"/>
  <c r="AU56" i="2"/>
  <c r="AT56" i="2"/>
  <c r="AS56" i="2"/>
  <c r="AR56" i="2"/>
  <c r="AQ56" i="2"/>
  <c r="AW55" i="2"/>
  <c r="AV55" i="2"/>
  <c r="AU55" i="2"/>
  <c r="AT55" i="2"/>
  <c r="AS55" i="2"/>
  <c r="AR55" i="2"/>
  <c r="AQ55" i="2"/>
  <c r="AW51" i="2"/>
  <c r="AV51" i="2"/>
  <c r="AU51" i="2"/>
  <c r="AT51" i="2"/>
  <c r="AS51" i="2"/>
  <c r="AR51" i="2"/>
  <c r="AT50" i="2"/>
  <c r="AT49" i="2"/>
  <c r="AT48" i="2"/>
  <c r="AC12" i="2"/>
  <c r="AC26" i="2" s="1"/>
  <c r="AR12" i="2"/>
  <c r="AQ12" i="2"/>
  <c r="AR40" i="2"/>
  <c r="AQ40" i="2"/>
  <c r="AR37" i="2"/>
  <c r="AQ37" i="2"/>
  <c r="AT14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N54" i="2"/>
  <c r="AO54" i="2"/>
  <c r="L155" i="3"/>
  <c r="G163" i="3"/>
  <c r="H163" i="3"/>
  <c r="J163" i="3"/>
  <c r="K163" i="3"/>
  <c r="F163" i="3"/>
  <c r="S173" i="3"/>
  <c r="S174" i="3"/>
  <c r="AI59" i="2"/>
  <c r="T173" i="3"/>
  <c r="T174" i="3"/>
  <c r="AJ59" i="2"/>
  <c r="U173" i="3"/>
  <c r="U174" i="3"/>
  <c r="AK59" i="2"/>
  <c r="V173" i="3"/>
  <c r="V174" i="3"/>
  <c r="AL59" i="2"/>
  <c r="W173" i="3"/>
  <c r="W174" i="3"/>
  <c r="AM59" i="2"/>
  <c r="X173" i="3"/>
  <c r="X174" i="3"/>
  <c r="AN59" i="2"/>
  <c r="Y173" i="3"/>
  <c r="Y174" i="3"/>
  <c r="AO59" i="2"/>
  <c r="M171" i="3"/>
  <c r="N173" i="3"/>
  <c r="N174" i="3"/>
  <c r="O173" i="3"/>
  <c r="O174" i="3"/>
  <c r="P173" i="3"/>
  <c r="P174" i="3"/>
  <c r="Q173" i="3"/>
  <c r="Q174" i="3"/>
  <c r="R173" i="3"/>
  <c r="R174" i="3"/>
  <c r="M173" i="3"/>
  <c r="L49" i="3"/>
  <c r="E49" i="3"/>
  <c r="I49" i="3"/>
  <c r="H49" i="3"/>
  <c r="G49" i="3"/>
  <c r="F49" i="3"/>
  <c r="F48" i="3"/>
  <c r="F44" i="3" s="1"/>
  <c r="F45" i="3"/>
  <c r="F46" i="3" s="1"/>
  <c r="E43" i="3"/>
  <c r="AB2" i="3"/>
  <c r="AC2" i="3"/>
  <c r="AD2" i="3"/>
  <c r="AE2" i="3"/>
  <c r="AF2" i="3"/>
  <c r="AG2" i="3"/>
  <c r="AH2" i="3"/>
  <c r="J49" i="3"/>
  <c r="K49" i="3"/>
  <c r="J45" i="3"/>
  <c r="J46" i="3" s="1"/>
  <c r="J48" i="3"/>
  <c r="J44" i="3" s="1"/>
  <c r="I44" i="3"/>
  <c r="I43" i="3"/>
  <c r="G153" i="3"/>
  <c r="H153" i="3"/>
  <c r="I153" i="3"/>
  <c r="J153" i="3"/>
  <c r="K153" i="3"/>
  <c r="L153" i="3"/>
  <c r="G155" i="3"/>
  <c r="H155" i="3"/>
  <c r="I155" i="3"/>
  <c r="J155" i="3"/>
  <c r="K155" i="3"/>
  <c r="M2" i="3"/>
  <c r="Q2" i="3"/>
  <c r="U2" i="3"/>
  <c r="Y2" i="3"/>
  <c r="L2" i="3"/>
  <c r="P2" i="3"/>
  <c r="T2" i="3"/>
  <c r="X2" i="3"/>
  <c r="K2" i="3"/>
  <c r="O2" i="3"/>
  <c r="S2" i="3"/>
  <c r="W2" i="3"/>
  <c r="J2" i="3"/>
  <c r="N2" i="3"/>
  <c r="R2" i="3"/>
  <c r="V2" i="3"/>
  <c r="AB61" i="2"/>
  <c r="AA61" i="2"/>
  <c r="W61" i="2"/>
  <c r="Z61" i="2"/>
  <c r="Y60" i="2"/>
  <c r="AS60" i="2" s="1"/>
  <c r="Y59" i="2"/>
  <c r="AS59" i="2" s="1"/>
  <c r="V28" i="2"/>
  <c r="S28" i="2"/>
  <c r="R28" i="2"/>
  <c r="C18" i="5"/>
  <c r="D18" i="5"/>
  <c r="D17" i="5"/>
  <c r="C17" i="5"/>
  <c r="F13" i="5"/>
  <c r="G13" i="5"/>
  <c r="F14" i="5"/>
  <c r="G14" i="5"/>
  <c r="F12" i="5"/>
  <c r="G12" i="5"/>
  <c r="D13" i="5"/>
  <c r="D14" i="5"/>
  <c r="D12" i="5"/>
  <c r="C13" i="5"/>
  <c r="C14" i="5"/>
  <c r="C12" i="5"/>
  <c r="O39" i="2"/>
  <c r="P39" i="2"/>
  <c r="R39" i="2"/>
  <c r="S39" i="2"/>
  <c r="T39" i="2"/>
  <c r="V39" i="2"/>
  <c r="W39" i="2"/>
  <c r="X39" i="2"/>
  <c r="Z39" i="2"/>
  <c r="AA39" i="2"/>
  <c r="AB39" i="2"/>
  <c r="N39" i="2"/>
  <c r="G167" i="3"/>
  <c r="G171" i="3" s="1"/>
  <c r="G174" i="3"/>
  <c r="H174" i="3"/>
  <c r="J174" i="3"/>
  <c r="K174" i="3"/>
  <c r="L174" i="3"/>
  <c r="F174" i="3"/>
  <c r="V57" i="2"/>
  <c r="V61" i="2" s="1"/>
  <c r="F155" i="3"/>
  <c r="F153" i="3"/>
  <c r="F167" i="3"/>
  <c r="G169" i="3" s="1"/>
  <c r="H167" i="3"/>
  <c r="I169" i="3" s="1"/>
  <c r="I167" i="3"/>
  <c r="J169" i="3" s="1"/>
  <c r="J167" i="3"/>
  <c r="K167" i="3"/>
  <c r="K171" i="3" s="1"/>
  <c r="L167" i="3"/>
  <c r="M169" i="3" s="1"/>
  <c r="E167" i="3"/>
  <c r="F169" i="3" s="1"/>
  <c r="G147" i="3"/>
  <c r="H146" i="3" s="1"/>
  <c r="H147" i="3"/>
  <c r="I147" i="3"/>
  <c r="I148" i="3" s="1"/>
  <c r="J147" i="3"/>
  <c r="J148" i="3" s="1"/>
  <c r="K147" i="3"/>
  <c r="L146" i="3" s="1"/>
  <c r="L147" i="3"/>
  <c r="L148" i="3" s="1"/>
  <c r="F147" i="3"/>
  <c r="G146" i="3" s="1"/>
  <c r="E147" i="3"/>
  <c r="F146" i="3" s="1"/>
  <c r="AH85" i="2"/>
  <c r="AI85" i="2"/>
  <c r="AJ85" i="2"/>
  <c r="AK85" i="2"/>
  <c r="AL85" i="2"/>
  <c r="AM85" i="2"/>
  <c r="AN85" i="2"/>
  <c r="AO85" i="2"/>
  <c r="S78" i="2"/>
  <c r="T78" i="2"/>
  <c r="V78" i="2"/>
  <c r="W78" i="2"/>
  <c r="X78" i="2"/>
  <c r="Z78" i="2"/>
  <c r="AA78" i="2"/>
  <c r="AB78" i="2"/>
  <c r="S79" i="2"/>
  <c r="T79" i="2"/>
  <c r="V79" i="2"/>
  <c r="W79" i="2"/>
  <c r="X79" i="2"/>
  <c r="Z79" i="2"/>
  <c r="AA79" i="2"/>
  <c r="AB79" i="2"/>
  <c r="R79" i="2"/>
  <c r="R78" i="2"/>
  <c r="V134" i="2"/>
  <c r="W134" i="2"/>
  <c r="X134" i="2"/>
  <c r="Z134" i="2"/>
  <c r="AA134" i="2"/>
  <c r="AB134" i="2"/>
  <c r="AA12" i="2"/>
  <c r="V35" i="2"/>
  <c r="V37" i="2"/>
  <c r="O35" i="2"/>
  <c r="P35" i="2"/>
  <c r="R35" i="2"/>
  <c r="S35" i="2"/>
  <c r="T35" i="2"/>
  <c r="N35" i="2"/>
  <c r="AA22" i="2"/>
  <c r="AB22" i="2"/>
  <c r="X21" i="2"/>
  <c r="Y21" i="2"/>
  <c r="W21" i="2"/>
  <c r="Z37" i="2"/>
  <c r="Z35" i="2"/>
  <c r="W12" i="2"/>
  <c r="X12" i="2"/>
  <c r="V12" i="2"/>
  <c r="AC4" i="2"/>
  <c r="AG4" i="2" s="1"/>
  <c r="AK4" i="2" s="1"/>
  <c r="AO4" i="2" s="1"/>
  <c r="Q67" i="2"/>
  <c r="Q68" i="2"/>
  <c r="Q63" i="2"/>
  <c r="AQ63" i="2" s="1"/>
  <c r="Q61" i="2"/>
  <c r="Q54" i="2"/>
  <c r="AQ54" i="2" s="1"/>
  <c r="Q51" i="2"/>
  <c r="AQ51" i="2" s="1"/>
  <c r="Q50" i="2"/>
  <c r="Q49" i="2"/>
  <c r="AQ49" i="2" s="1"/>
  <c r="Q48" i="2"/>
  <c r="AQ48" i="2" s="1"/>
  <c r="Q45" i="2"/>
  <c r="AQ45" i="2" s="1"/>
  <c r="Y68" i="2"/>
  <c r="AC85" i="2"/>
  <c r="AD85" i="2"/>
  <c r="AE85" i="2"/>
  <c r="AF85" i="2"/>
  <c r="AG85" i="2"/>
  <c r="AE49" i="2"/>
  <c r="AE48" i="2"/>
  <c r="AF48" i="2" s="1"/>
  <c r="AG48" i="2" s="1"/>
  <c r="AH48" i="2" s="1"/>
  <c r="AI48" i="2" s="1"/>
  <c r="AE39" i="2"/>
  <c r="AF39" i="2"/>
  <c r="AE6" i="2"/>
  <c r="AE105" i="2" s="1"/>
  <c r="AF6" i="2"/>
  <c r="AB28" i="2"/>
  <c r="T28" i="2"/>
  <c r="W28" i="2"/>
  <c r="X28" i="2"/>
  <c r="Z28" i="2"/>
  <c r="AA28" i="2"/>
  <c r="S29" i="2"/>
  <c r="T29" i="2"/>
  <c r="W29" i="2"/>
  <c r="X29" i="2"/>
  <c r="AA29" i="2"/>
  <c r="AB29" i="2"/>
  <c r="S30" i="2"/>
  <c r="T30" i="2"/>
  <c r="V30" i="2"/>
  <c r="W30" i="2"/>
  <c r="X30" i="2"/>
  <c r="Z30" i="2"/>
  <c r="AA30" i="2"/>
  <c r="AB30" i="2"/>
  <c r="S31" i="2"/>
  <c r="T31" i="2"/>
  <c r="W31" i="2"/>
  <c r="X31" i="2"/>
  <c r="AA31" i="2"/>
  <c r="AB31" i="2"/>
  <c r="R30" i="2"/>
  <c r="O16" i="2"/>
  <c r="P16" i="2"/>
  <c r="R16" i="2"/>
  <c r="S16" i="2"/>
  <c r="T16" i="2"/>
  <c r="V16" i="2"/>
  <c r="W16" i="2"/>
  <c r="X16" i="2"/>
  <c r="Z16" i="2"/>
  <c r="AA16" i="2"/>
  <c r="AB16" i="2"/>
  <c r="N16" i="2"/>
  <c r="V132" i="2"/>
  <c r="W132" i="2"/>
  <c r="X132" i="2"/>
  <c r="Z132" i="2"/>
  <c r="AA132" i="2"/>
  <c r="AB132" i="2"/>
  <c r="U108" i="2"/>
  <c r="U114" i="2" s="1"/>
  <c r="Q14" i="2"/>
  <c r="M14" i="2"/>
  <c r="M6" i="2"/>
  <c r="Q6" i="2"/>
  <c r="AQ6" i="2" s="1"/>
  <c r="K44" i="2"/>
  <c r="K46" i="2" s="1"/>
  <c r="K47" i="2" s="1"/>
  <c r="L44" i="2"/>
  <c r="L46" i="2" s="1"/>
  <c r="L47" i="2" s="1"/>
  <c r="J44" i="2"/>
  <c r="J46" i="2" s="1"/>
  <c r="J47" i="2" s="1"/>
  <c r="O44" i="2"/>
  <c r="P44" i="2"/>
  <c r="P46" i="2" s="1"/>
  <c r="N44" i="2"/>
  <c r="N46" i="2" s="1"/>
  <c r="M52" i="2"/>
  <c r="L52" i="2"/>
  <c r="K52" i="2"/>
  <c r="J52" i="2"/>
  <c r="O52" i="2"/>
  <c r="P52" i="2"/>
  <c r="R52" i="2"/>
  <c r="N52" i="2"/>
  <c r="G4" i="2"/>
  <c r="K4" i="2" s="1"/>
  <c r="O4" i="2" s="1"/>
  <c r="H4" i="2"/>
  <c r="L4" i="2" s="1"/>
  <c r="P4" i="2" s="1"/>
  <c r="I4" i="2"/>
  <c r="M4" i="2" s="1"/>
  <c r="Q4" i="2" s="1"/>
  <c r="F4" i="2"/>
  <c r="J4" i="2" s="1"/>
  <c r="N4" i="2" s="1"/>
  <c r="AB52" i="2"/>
  <c r="AB131" i="2" s="1"/>
  <c r="Y63" i="2"/>
  <c r="AS63" i="2" s="1"/>
  <c r="U48" i="2"/>
  <c r="AR48" i="2" s="1"/>
  <c r="S52" i="2"/>
  <c r="T52" i="2"/>
  <c r="V52" i="2"/>
  <c r="V131" i="2" s="1"/>
  <c r="W52" i="2"/>
  <c r="W131" i="2" s="1"/>
  <c r="X52" i="2"/>
  <c r="X131" i="2" s="1"/>
  <c r="Z52" i="2"/>
  <c r="Z131" i="2" s="1"/>
  <c r="AA52" i="2"/>
  <c r="AA131" i="2" s="1"/>
  <c r="Z200" i="2"/>
  <c r="V200" i="2"/>
  <c r="Z199" i="2"/>
  <c r="V199" i="2"/>
  <c r="E140" i="3"/>
  <c r="I140" i="3"/>
  <c r="E132" i="3"/>
  <c r="E134" i="3"/>
  <c r="I132" i="3"/>
  <c r="I134" i="3"/>
  <c r="V130" i="2"/>
  <c r="W130" i="2"/>
  <c r="X130" i="2"/>
  <c r="Z130" i="2"/>
  <c r="AA130" i="2"/>
  <c r="AB130" i="2"/>
  <c r="AB187" i="2"/>
  <c r="AB185" i="2"/>
  <c r="Z179" i="2"/>
  <c r="AB148" i="2"/>
  <c r="AB44" i="2"/>
  <c r="AB54" i="2"/>
  <c r="AT54" i="2" s="1"/>
  <c r="AB108" i="2"/>
  <c r="AB114" i="2" s="1"/>
  <c r="AB91" i="2"/>
  <c r="AB100" i="2" s="1"/>
  <c r="AB86" i="2"/>
  <c r="AB85" i="2"/>
  <c r="AD105" i="2"/>
  <c r="AH6" i="2"/>
  <c r="AH105" i="2" s="1"/>
  <c r="E142" i="3"/>
  <c r="I142" i="3"/>
  <c r="AC52" i="2"/>
  <c r="AA183" i="2"/>
  <c r="AB183" i="2" s="1"/>
  <c r="AC183" i="2" s="1"/>
  <c r="AA182" i="2"/>
  <c r="AA176" i="2"/>
  <c r="AB176" i="2" s="1"/>
  <c r="AC176" i="2" s="1"/>
  <c r="AA174" i="2"/>
  <c r="AB174" i="2" s="1"/>
  <c r="AA173" i="2"/>
  <c r="AB173" i="2" s="1"/>
  <c r="AC173" i="2" s="1"/>
  <c r="AA172" i="2"/>
  <c r="AA171" i="2"/>
  <c r="AB171" i="2" s="1"/>
  <c r="AA154" i="2"/>
  <c r="AB154" i="2" s="1"/>
  <c r="AA166" i="2"/>
  <c r="AB166" i="2" s="1"/>
  <c r="AC166" i="2" s="1"/>
  <c r="AA165" i="2"/>
  <c r="AB165" i="2" s="1"/>
  <c r="AC165" i="2" s="1"/>
  <c r="AA164" i="2"/>
  <c r="AA163" i="2"/>
  <c r="AB163" i="2" s="1"/>
  <c r="AC163" i="2" s="1"/>
  <c r="AA162" i="2"/>
  <c r="AB162" i="2" s="1"/>
  <c r="AC162" i="2" s="1"/>
  <c r="AA161" i="2"/>
  <c r="AA160" i="2"/>
  <c r="AB160" i="2" s="1"/>
  <c r="AC160" i="2" s="1"/>
  <c r="AA157" i="2"/>
  <c r="AB157" i="2" s="1"/>
  <c r="AC157" i="2" s="1"/>
  <c r="AA155" i="2"/>
  <c r="AB155" i="2" s="1"/>
  <c r="AC155" i="2" s="1"/>
  <c r="AA150" i="2"/>
  <c r="AB150" i="2" s="1"/>
  <c r="AC150" i="2" s="1"/>
  <c r="AA145" i="2"/>
  <c r="AB145" i="2" s="1"/>
  <c r="AC145" i="2" s="1"/>
  <c r="AA144" i="2"/>
  <c r="AA200" i="2" s="1"/>
  <c r="AA143" i="2"/>
  <c r="AB143" i="2" s="1"/>
  <c r="L45" i="3" s="1"/>
  <c r="AA142" i="2"/>
  <c r="AA108" i="2"/>
  <c r="AA114" i="2" s="1"/>
  <c r="AA91" i="2"/>
  <c r="AA100" i="2" s="1"/>
  <c r="AA86" i="2"/>
  <c r="AA85" i="2"/>
  <c r="AA44" i="2"/>
  <c r="AA129" i="2" s="1"/>
  <c r="Y175" i="2"/>
  <c r="X188" i="2"/>
  <c r="Y15" i="2"/>
  <c r="U15" i="2"/>
  <c r="Y6" i="2"/>
  <c r="Y130" i="2" s="1"/>
  <c r="V44" i="2"/>
  <c r="V129" i="2" s="1"/>
  <c r="W44" i="2"/>
  <c r="W129" i="2" s="1"/>
  <c r="X44" i="2"/>
  <c r="X133" i="2" s="1"/>
  <c r="Y14" i="2"/>
  <c r="AS14" i="2" s="1"/>
  <c r="Y67" i="2"/>
  <c r="Y54" i="2"/>
  <c r="AS54" i="2" s="1"/>
  <c r="Y50" i="2"/>
  <c r="AS50" i="2" s="1"/>
  <c r="Y49" i="2"/>
  <c r="AS49" i="2" s="1"/>
  <c r="Y48" i="2"/>
  <c r="AS48" i="2" s="1"/>
  <c r="Y45" i="2"/>
  <c r="AS45" i="2" s="1"/>
  <c r="U117" i="2"/>
  <c r="U122" i="2" s="1"/>
  <c r="Y108" i="2"/>
  <c r="Y114" i="2" s="1"/>
  <c r="Y91" i="2"/>
  <c r="Y100" i="2" s="1"/>
  <c r="Y86" i="2"/>
  <c r="X91" i="2"/>
  <c r="X100" i="2" s="1"/>
  <c r="X85" i="2"/>
  <c r="Y85" i="2"/>
  <c r="R44" i="2"/>
  <c r="R46" i="2" s="1"/>
  <c r="R47" i="2" s="1"/>
  <c r="U14" i="2"/>
  <c r="U31" i="2" s="1"/>
  <c r="U6" i="2"/>
  <c r="AR6" i="2" s="1"/>
  <c r="U68" i="2"/>
  <c r="U67" i="2"/>
  <c r="U63" i="2"/>
  <c r="AR63" i="2" s="1"/>
  <c r="U61" i="2"/>
  <c r="U54" i="2"/>
  <c r="AR54" i="2" s="1"/>
  <c r="U50" i="2"/>
  <c r="U49" i="2"/>
  <c r="AR49" i="2" s="1"/>
  <c r="U45" i="2"/>
  <c r="AR45" i="2" s="1"/>
  <c r="V108" i="2"/>
  <c r="V114" i="2" s="1"/>
  <c r="U86" i="2"/>
  <c r="U85" i="2"/>
  <c r="U91" i="2"/>
  <c r="U100" i="2" s="1"/>
  <c r="S44" i="2"/>
  <c r="S46" i="2" s="1"/>
  <c r="Z44" i="2"/>
  <c r="Z133" i="2" s="1"/>
  <c r="T44" i="2"/>
  <c r="X153" i="2"/>
  <c r="X57" i="2" s="1"/>
  <c r="X61" i="2" s="1"/>
  <c r="AC39" i="2"/>
  <c r="AT6" i="2"/>
  <c r="Y117" i="2"/>
  <c r="W117" i="2"/>
  <c r="W122" i="2" s="1"/>
  <c r="X117" i="2"/>
  <c r="X122" i="2" s="1"/>
  <c r="V117" i="2"/>
  <c r="V122" i="2" s="1"/>
  <c r="X108" i="2"/>
  <c r="X114" i="2" s="1"/>
  <c r="X86" i="2"/>
  <c r="W85" i="2"/>
  <c r="W186" i="2"/>
  <c r="W185" i="2"/>
  <c r="X185" i="2" s="1"/>
  <c r="W183" i="2"/>
  <c r="X183" i="2" s="1"/>
  <c r="Y183" i="2" s="1"/>
  <c r="W182" i="2"/>
  <c r="W177" i="2"/>
  <c r="X177" i="2" s="1"/>
  <c r="W176" i="2"/>
  <c r="X176" i="2" s="1"/>
  <c r="Y176" i="2" s="1"/>
  <c r="W174" i="2"/>
  <c r="X174" i="2" s="1"/>
  <c r="Y174" i="2" s="1"/>
  <c r="W173" i="2"/>
  <c r="W172" i="2"/>
  <c r="W171" i="2"/>
  <c r="G48" i="3" s="1"/>
  <c r="W166" i="2"/>
  <c r="X166" i="2" s="1"/>
  <c r="Y166" i="2" s="1"/>
  <c r="W165" i="2"/>
  <c r="X165" i="2" s="1"/>
  <c r="Y165" i="2" s="1"/>
  <c r="W164" i="2"/>
  <c r="X164" i="2" s="1"/>
  <c r="Y164" i="2" s="1"/>
  <c r="W163" i="2"/>
  <c r="X163" i="2" s="1"/>
  <c r="Y163" i="2" s="1"/>
  <c r="W162" i="2"/>
  <c r="X162" i="2" s="1"/>
  <c r="Y162" i="2" s="1"/>
  <c r="W161" i="2"/>
  <c r="X161" i="2" s="1"/>
  <c r="W160" i="2"/>
  <c r="X160" i="2" s="1"/>
  <c r="Y160" i="2" s="1"/>
  <c r="W157" i="2"/>
  <c r="X157" i="2" s="1"/>
  <c r="Y157" i="2" s="1"/>
  <c r="W155" i="2"/>
  <c r="X155" i="2" s="1"/>
  <c r="Y155" i="2" s="1"/>
  <c r="W154" i="2"/>
  <c r="X154" i="2" s="1"/>
  <c r="Y154" i="2" s="1"/>
  <c r="W150" i="2"/>
  <c r="X150" i="2" s="1"/>
  <c r="Y150" i="2" s="1"/>
  <c r="W145" i="2"/>
  <c r="X145" i="2" s="1"/>
  <c r="Y145" i="2" s="1"/>
  <c r="W144" i="2"/>
  <c r="X144" i="2" s="1"/>
  <c r="X200" i="2" s="1"/>
  <c r="W143" i="2"/>
  <c r="X143" i="2" s="1"/>
  <c r="W142" i="2"/>
  <c r="X142" i="2" s="1"/>
  <c r="Y142" i="2" s="1"/>
  <c r="W108" i="2"/>
  <c r="W114" i="2" s="1"/>
  <c r="W91" i="2"/>
  <c r="W100" i="2" s="1"/>
  <c r="W86" i="2"/>
  <c r="AB4" i="2"/>
  <c r="AF4" i="2" s="1"/>
  <c r="AJ4" i="2" s="1"/>
  <c r="AN4" i="2" s="1"/>
  <c r="AA4" i="2"/>
  <c r="AE4" i="2" s="1"/>
  <c r="AI4" i="2" s="1"/>
  <c r="AM4" i="2" s="1"/>
  <c r="Z4" i="2"/>
  <c r="AD4" i="2" s="1"/>
  <c r="AH4" i="2" s="1"/>
  <c r="AL4" i="2" s="1"/>
  <c r="Z91" i="2"/>
  <c r="Z100" i="2" s="1"/>
  <c r="V91" i="2"/>
  <c r="V100" i="2" s="1"/>
  <c r="Z85" i="2"/>
  <c r="V85" i="2"/>
  <c r="Z108" i="2"/>
  <c r="Z114" i="2" s="1"/>
  <c r="V86" i="2"/>
  <c r="V189" i="2"/>
  <c r="V179" i="2"/>
  <c r="V167" i="2"/>
  <c r="I113" i="3"/>
  <c r="I115" i="3"/>
  <c r="I114" i="3"/>
  <c r="I112" i="3"/>
  <c r="I111" i="3"/>
  <c r="I92" i="3"/>
  <c r="I100" i="3"/>
  <c r="J112" i="3"/>
  <c r="J113" i="3"/>
  <c r="J114" i="3"/>
  <c r="J115" i="3"/>
  <c r="J111" i="3"/>
  <c r="J108" i="3"/>
  <c r="J100" i="3"/>
  <c r="J92" i="3"/>
  <c r="J75" i="3"/>
  <c r="J34" i="3"/>
  <c r="J30" i="3"/>
  <c r="J20" i="3"/>
  <c r="F20" i="3"/>
  <c r="J12" i="3"/>
  <c r="Z189" i="2"/>
  <c r="Z167" i="2"/>
  <c r="Z86" i="2"/>
  <c r="AC20" i="2"/>
  <c r="J116" i="3"/>
  <c r="AC16" i="2"/>
  <c r="AC31" i="2"/>
  <c r="AG6" i="2"/>
  <c r="AC29" i="2"/>
  <c r="AD29" i="2"/>
  <c r="I116" i="3"/>
  <c r="AT45" i="2"/>
  <c r="AC108" i="2"/>
  <c r="AC114" i="2" s="1"/>
  <c r="AC91" i="2"/>
  <c r="AC100" i="2" s="1"/>
  <c r="AD21" i="2"/>
  <c r="Z12" i="2"/>
  <c r="AG59" i="2"/>
  <c r="AH59" i="2"/>
  <c r="AD59" i="2"/>
  <c r="AE59" i="2"/>
  <c r="AF59" i="2"/>
  <c r="AT63" i="2"/>
  <c r="AC129" i="2" l="1"/>
  <c r="AI11" i="2"/>
  <c r="AM11" i="2" s="1"/>
  <c r="W26" i="2"/>
  <c r="AH12" i="2"/>
  <c r="J43" i="3"/>
  <c r="H171" i="3"/>
  <c r="V36" i="2"/>
  <c r="J146" i="3"/>
  <c r="Z36" i="2"/>
  <c r="U79" i="2"/>
  <c r="L171" i="3"/>
  <c r="M174" i="3" s="1"/>
  <c r="AC59" i="2" s="1"/>
  <c r="AT59" i="2" s="1"/>
  <c r="Q44" i="2"/>
  <c r="Q46" i="2" s="1"/>
  <c r="Q47" i="2" s="1"/>
  <c r="G148" i="3"/>
  <c r="T73" i="2"/>
  <c r="AD39" i="2"/>
  <c r="X171" i="2"/>
  <c r="H48" i="3" s="1"/>
  <c r="AC143" i="2"/>
  <c r="AA46" i="2"/>
  <c r="AA53" i="2" s="1"/>
  <c r="W133" i="2"/>
  <c r="I170" i="3"/>
  <c r="V46" i="2"/>
  <c r="V47" i="2" s="1"/>
  <c r="X33" i="2"/>
  <c r="Z20" i="2"/>
  <c r="V73" i="2"/>
  <c r="Z21" i="2"/>
  <c r="R73" i="2"/>
  <c r="R29" i="2"/>
  <c r="M44" i="2"/>
  <c r="M46" i="2" s="1"/>
  <c r="M47" i="2" s="1"/>
  <c r="AE164" i="2"/>
  <c r="AE35" i="2" s="1"/>
  <c r="AE40" i="2" s="1"/>
  <c r="S32" i="2"/>
  <c r="I171" i="3"/>
  <c r="I172" i="3" s="1"/>
  <c r="U124" i="2"/>
  <c r="U125" i="2" s="1"/>
  <c r="Z29" i="2"/>
  <c r="AL6" i="2"/>
  <c r="AA73" i="2"/>
  <c r="AQ11" i="2"/>
  <c r="AA32" i="2"/>
  <c r="Z25" i="2"/>
  <c r="X73" i="2"/>
  <c r="AS6" i="2"/>
  <c r="AS28" i="2" s="1"/>
  <c r="U78" i="2"/>
  <c r="K48" i="3"/>
  <c r="K44" i="3" s="1"/>
  <c r="K43" i="3" s="1"/>
  <c r="L46" i="3" s="1"/>
  <c r="F156" i="3"/>
  <c r="F164" i="3" s="1"/>
  <c r="T32" i="2"/>
  <c r="AI6" i="2"/>
  <c r="I174" i="3"/>
  <c r="H169" i="3"/>
  <c r="H156" i="3"/>
  <c r="H164" i="3" s="1"/>
  <c r="AR11" i="2"/>
  <c r="AR28" i="2"/>
  <c r="V29" i="2"/>
  <c r="R53" i="2"/>
  <c r="R62" i="2" s="1"/>
  <c r="R65" i="2" s="1"/>
  <c r="P53" i="2"/>
  <c r="P62" i="2" s="1"/>
  <c r="P65" i="2" s="1"/>
  <c r="P70" i="2" s="1"/>
  <c r="Z32" i="2"/>
  <c r="H154" i="3"/>
  <c r="U29" i="2"/>
  <c r="AD20" i="2"/>
  <c r="V31" i="2"/>
  <c r="K45" i="3"/>
  <c r="K146" i="3"/>
  <c r="E148" i="3"/>
  <c r="V124" i="2"/>
  <c r="V125" i="2" s="1"/>
  <c r="W73" i="2"/>
  <c r="AE16" i="2"/>
  <c r="AE32" i="2" s="1"/>
  <c r="Y52" i="2"/>
  <c r="Y131" i="2" s="1"/>
  <c r="AT44" i="2"/>
  <c r="AC53" i="2"/>
  <c r="AC62" i="2" s="1"/>
  <c r="AC65" i="2" s="1"/>
  <c r="AC71" i="2" s="1"/>
  <c r="Q35" i="2"/>
  <c r="AQ35" i="2" s="1"/>
  <c r="AB189" i="2"/>
  <c r="F170" i="3"/>
  <c r="AT39" i="2"/>
  <c r="K156" i="3"/>
  <c r="K164" i="3" s="1"/>
  <c r="AW59" i="2"/>
  <c r="Y30" i="2"/>
  <c r="U39" i="2"/>
  <c r="AR39" i="2" s="1"/>
  <c r="G45" i="3"/>
  <c r="W199" i="2"/>
  <c r="U44" i="2"/>
  <c r="U30" i="2"/>
  <c r="W200" i="2"/>
  <c r="AB144" i="2"/>
  <c r="AC144" i="2" s="1"/>
  <c r="U16" i="2"/>
  <c r="U33" i="2" s="1"/>
  <c r="I163" i="3"/>
  <c r="F171" i="3"/>
  <c r="F172" i="3" s="1"/>
  <c r="F173" i="3" s="1"/>
  <c r="J156" i="3"/>
  <c r="J164" i="3" s="1"/>
  <c r="AV59" i="2"/>
  <c r="L156" i="3"/>
  <c r="AD164" i="2"/>
  <c r="AC174" i="2"/>
  <c r="AB179" i="2"/>
  <c r="Y37" i="2"/>
  <c r="Y35" i="2"/>
  <c r="AA25" i="2"/>
  <c r="AA26" i="2"/>
  <c r="AB26" i="2"/>
  <c r="AT12" i="2"/>
  <c r="AT11" i="2" s="1"/>
  <c r="S53" i="2"/>
  <c r="S62" i="2" s="1"/>
  <c r="S65" i="2" s="1"/>
  <c r="S47" i="2"/>
  <c r="Y78" i="2"/>
  <c r="AT30" i="2"/>
  <c r="Y144" i="2"/>
  <c r="Y200" i="2" s="1"/>
  <c r="Z46" i="2"/>
  <c r="Z31" i="2"/>
  <c r="AD129" i="2"/>
  <c r="AH16" i="2"/>
  <c r="F148" i="3"/>
  <c r="K154" i="3"/>
  <c r="W33" i="2"/>
  <c r="X173" i="2"/>
  <c r="Y173" i="2" s="1"/>
  <c r="M153" i="3"/>
  <c r="M155" i="3" s="1"/>
  <c r="N153" i="3" s="1"/>
  <c r="Z129" i="2"/>
  <c r="J154" i="3"/>
  <c r="W124" i="2"/>
  <c r="W125" i="2" s="1"/>
  <c r="Y31" i="2"/>
  <c r="L154" i="3"/>
  <c r="X124" i="2"/>
  <c r="X125" i="2" s="1"/>
  <c r="W46" i="2"/>
  <c r="Y28" i="2"/>
  <c r="Y16" i="2"/>
  <c r="Y39" i="2"/>
  <c r="AS39" i="2" s="1"/>
  <c r="AR14" i="2"/>
  <c r="AS30" i="2" s="1"/>
  <c r="X32" i="2"/>
  <c r="Z40" i="2"/>
  <c r="AA33" i="2"/>
  <c r="G172" i="3"/>
  <c r="G173" i="3" s="1"/>
  <c r="G156" i="3"/>
  <c r="G164" i="3" s="1"/>
  <c r="P47" i="2"/>
  <c r="AD32" i="2"/>
  <c r="AC21" i="2"/>
  <c r="L169" i="3"/>
  <c r="L170" i="3" s="1"/>
  <c r="L163" i="3"/>
  <c r="AG16" i="2"/>
  <c r="AA21" i="2"/>
  <c r="AA179" i="2"/>
  <c r="U134" i="2"/>
  <c r="U132" i="2"/>
  <c r="AA167" i="2"/>
  <c r="AE29" i="2"/>
  <c r="K148" i="3"/>
  <c r="F154" i="3"/>
  <c r="W179" i="2"/>
  <c r="AC78" i="2"/>
  <c r="AA20" i="2"/>
  <c r="AU59" i="2"/>
  <c r="AG29" i="2"/>
  <c r="AH29" i="2"/>
  <c r="AU6" i="2"/>
  <c r="AG105" i="2"/>
  <c r="AK6" i="2"/>
  <c r="X182" i="2"/>
  <c r="W189" i="2"/>
  <c r="Y143" i="2"/>
  <c r="I45" i="3" s="1"/>
  <c r="H45" i="3"/>
  <c r="AK39" i="2"/>
  <c r="AJ48" i="2"/>
  <c r="AK48" i="2" s="1"/>
  <c r="AL48" i="2" s="1"/>
  <c r="AU14" i="2"/>
  <c r="AU30" i="2" s="1"/>
  <c r="X172" i="2"/>
  <c r="Y172" i="2" s="1"/>
  <c r="S73" i="2"/>
  <c r="O46" i="2"/>
  <c r="AJ6" i="2"/>
  <c r="AJ12" i="2" s="1"/>
  <c r="AF16" i="2"/>
  <c r="AF29" i="2"/>
  <c r="AF105" i="2"/>
  <c r="K169" i="3"/>
  <c r="J170" i="3"/>
  <c r="J171" i="3"/>
  <c r="J172" i="3" s="1"/>
  <c r="J173" i="3" s="1"/>
  <c r="W37" i="2"/>
  <c r="W35" i="2"/>
  <c r="AC182" i="2"/>
  <c r="AC189" i="2" s="1"/>
  <c r="AA189" i="2"/>
  <c r="X37" i="2"/>
  <c r="X35" i="2"/>
  <c r="X40" i="2" s="1"/>
  <c r="AB161" i="2"/>
  <c r="AG39" i="2"/>
  <c r="X167" i="2"/>
  <c r="Y161" i="2"/>
  <c r="Y167" i="2" s="1"/>
  <c r="W167" i="2"/>
  <c r="AC33" i="2"/>
  <c r="AA133" i="2"/>
  <c r="AA35" i="2"/>
  <c r="AA37" i="2"/>
  <c r="AB164" i="2"/>
  <c r="AB33" i="2"/>
  <c r="AT16" i="2"/>
  <c r="AB32" i="2"/>
  <c r="R32" i="2"/>
  <c r="AE50" i="2"/>
  <c r="AD52" i="2"/>
  <c r="AD106" i="2" s="1"/>
  <c r="X26" i="2"/>
  <c r="AB25" i="2"/>
  <c r="Y132" i="2"/>
  <c r="Y134" i="2"/>
  <c r="AB73" i="2"/>
  <c r="AB133" i="2"/>
  <c r="AB129" i="2"/>
  <c r="AB46" i="2"/>
  <c r="AC171" i="2"/>
  <c r="L48" i="3"/>
  <c r="AR50" i="2"/>
  <c r="U52" i="2"/>
  <c r="U131" i="2" s="1"/>
  <c r="X46" i="2"/>
  <c r="X129" i="2"/>
  <c r="AD33" i="2"/>
  <c r="Z73" i="2"/>
  <c r="V32" i="2"/>
  <c r="N53" i="2"/>
  <c r="R74" i="2"/>
  <c r="N47" i="2"/>
  <c r="AB199" i="2"/>
  <c r="U35" i="2"/>
  <c r="AR35" i="2" s="1"/>
  <c r="U130" i="2"/>
  <c r="U28" i="2"/>
  <c r="V133" i="2"/>
  <c r="Q39" i="2"/>
  <c r="AQ39" i="2" s="1"/>
  <c r="R31" i="2"/>
  <c r="Q16" i="2"/>
  <c r="AQ16" i="2" s="1"/>
  <c r="S33" i="2"/>
  <c r="W32" i="2"/>
  <c r="Y79" i="2"/>
  <c r="AC79" i="2"/>
  <c r="Z22" i="2"/>
  <c r="H148" i="3"/>
  <c r="I146" i="3"/>
  <c r="I154" i="3"/>
  <c r="I156" i="3"/>
  <c r="AF49" i="2"/>
  <c r="AG49" i="2" s="1"/>
  <c r="AH49" i="2" s="1"/>
  <c r="V40" i="2"/>
  <c r="G170" i="3"/>
  <c r="G44" i="3"/>
  <c r="F43" i="3"/>
  <c r="M170" i="3"/>
  <c r="M172" i="3"/>
  <c r="AA199" i="2"/>
  <c r="Y44" i="2"/>
  <c r="AS44" i="2" s="1"/>
  <c r="Y12" i="2"/>
  <c r="AS12" i="2" s="1"/>
  <c r="AQ14" i="2"/>
  <c r="Y29" i="2"/>
  <c r="T46" i="2"/>
  <c r="T33" i="2"/>
  <c r="AU48" i="2"/>
  <c r="Q52" i="2"/>
  <c r="Q53" i="2" s="1"/>
  <c r="Q62" i="2" s="1"/>
  <c r="Q65" i="2" s="1"/>
  <c r="AQ50" i="2"/>
  <c r="G154" i="3"/>
  <c r="AS57" i="2"/>
  <c r="Y61" i="2"/>
  <c r="K46" i="3" l="1"/>
  <c r="H172" i="3"/>
  <c r="H173" i="3" s="1"/>
  <c r="AI105" i="2"/>
  <c r="AI164" i="2" s="1"/>
  <c r="AI37" i="2" s="1"/>
  <c r="AI12" i="2"/>
  <c r="AI29" i="2"/>
  <c r="AK73" i="2"/>
  <c r="AL105" i="2"/>
  <c r="AM6" i="2"/>
  <c r="AM12" i="2" s="1"/>
  <c r="U74" i="2"/>
  <c r="AQ44" i="2"/>
  <c r="U73" i="2"/>
  <c r="I164" i="3"/>
  <c r="AC179" i="2"/>
  <c r="Y171" i="2"/>
  <c r="Y179" i="2" s="1"/>
  <c r="V53" i="2"/>
  <c r="V62" i="2" s="1"/>
  <c r="V76" i="2" s="1"/>
  <c r="AG33" i="2"/>
  <c r="U133" i="2"/>
  <c r="U129" i="2"/>
  <c r="AA47" i="2"/>
  <c r="AE37" i="2"/>
  <c r="AE36" i="2" s="1"/>
  <c r="L44" i="3"/>
  <c r="L43" i="3" s="1"/>
  <c r="AE33" i="2"/>
  <c r="H170" i="3"/>
  <c r="AJ39" i="2"/>
  <c r="AN39" i="2"/>
  <c r="AS11" i="2"/>
  <c r="P71" i="2"/>
  <c r="AB200" i="2"/>
  <c r="AT28" i="2"/>
  <c r="Z74" i="2"/>
  <c r="AL29" i="2"/>
  <c r="U46" i="2"/>
  <c r="T74" i="2" s="1"/>
  <c r="AR44" i="2"/>
  <c r="I173" i="3"/>
  <c r="L164" i="3"/>
  <c r="M164" i="3" s="1"/>
  <c r="N164" i="3" s="1"/>
  <c r="O164" i="3" s="1"/>
  <c r="P164" i="3" s="1"/>
  <c r="U32" i="2"/>
  <c r="AV14" i="2"/>
  <c r="AV30" i="2" s="1"/>
  <c r="AE45" i="2"/>
  <c r="AE46" i="2" s="1"/>
  <c r="AD74" i="2" s="1"/>
  <c r="AE73" i="2"/>
  <c r="AE88" i="2"/>
  <c r="AC204" i="2"/>
  <c r="AC200" i="2"/>
  <c r="AD144" i="2"/>
  <c r="AI39" i="2"/>
  <c r="AM39" i="2"/>
  <c r="Y36" i="2"/>
  <c r="AI73" i="2"/>
  <c r="AB21" i="2"/>
  <c r="AG32" i="2"/>
  <c r="AE129" i="2"/>
  <c r="AC140" i="2"/>
  <c r="AI16" i="2"/>
  <c r="AI32" i="2" s="1"/>
  <c r="G46" i="3"/>
  <c r="X179" i="2"/>
  <c r="AC70" i="2"/>
  <c r="AB20" i="2"/>
  <c r="V33" i="2"/>
  <c r="AR16" i="2"/>
  <c r="AR32" i="2" s="1"/>
  <c r="AD35" i="2"/>
  <c r="AD40" i="2" s="1"/>
  <c r="AD37" i="2"/>
  <c r="S71" i="2"/>
  <c r="S70" i="2"/>
  <c r="AD73" i="2"/>
  <c r="Z47" i="2"/>
  <c r="Z53" i="2"/>
  <c r="Y40" i="2"/>
  <c r="X36" i="2"/>
  <c r="Y32" i="2"/>
  <c r="Z33" i="2"/>
  <c r="AC32" i="2"/>
  <c r="AS16" i="2"/>
  <c r="AV48" i="2"/>
  <c r="AK16" i="2"/>
  <c r="L172" i="3"/>
  <c r="L173" i="3" s="1"/>
  <c r="AD88" i="2"/>
  <c r="AU49" i="2"/>
  <c r="AR30" i="2"/>
  <c r="R33" i="2"/>
  <c r="AD46" i="2"/>
  <c r="AD53" i="2" s="1"/>
  <c r="Y33" i="2"/>
  <c r="V74" i="2"/>
  <c r="W47" i="2"/>
  <c r="W53" i="2"/>
  <c r="AA75" i="2" s="1"/>
  <c r="AH39" i="2"/>
  <c r="Q70" i="2"/>
  <c r="Q71" i="2"/>
  <c r="AG129" i="2"/>
  <c r="AG164" i="2"/>
  <c r="R70" i="2"/>
  <c r="R71" i="2"/>
  <c r="G43" i="3"/>
  <c r="H46" i="3" s="1"/>
  <c r="H44" i="3"/>
  <c r="H43" i="3" s="1"/>
  <c r="I46" i="3" s="1"/>
  <c r="AC199" i="2"/>
  <c r="AG88" i="2"/>
  <c r="AG73" i="2"/>
  <c r="AG45" i="2"/>
  <c r="O53" i="2"/>
  <c r="O47" i="2"/>
  <c r="AU28" i="2"/>
  <c r="V65" i="2"/>
  <c r="AU39" i="2"/>
  <c r="AS35" i="2"/>
  <c r="W40" i="2"/>
  <c r="AS37" i="2"/>
  <c r="W36" i="2"/>
  <c r="AC161" i="2"/>
  <c r="AB167" i="2"/>
  <c r="AF129" i="2"/>
  <c r="AF164" i="2"/>
  <c r="AM48" i="2"/>
  <c r="AN48" i="2" s="1"/>
  <c r="AO48" i="2" s="1"/>
  <c r="AO39" i="2"/>
  <c r="AF50" i="2"/>
  <c r="AE52" i="2"/>
  <c r="AJ105" i="2"/>
  <c r="AJ29" i="2"/>
  <c r="AN6" i="2"/>
  <c r="AN12" i="2" s="1"/>
  <c r="AV6" i="2"/>
  <c r="K170" i="3"/>
  <c r="K172" i="3"/>
  <c r="K173" i="3" s="1"/>
  <c r="AI35" i="2"/>
  <c r="AH164" i="2"/>
  <c r="AB47" i="2"/>
  <c r="AA74" i="2"/>
  <c r="AB53" i="2"/>
  <c r="N62" i="2"/>
  <c r="R75" i="2"/>
  <c r="X47" i="2"/>
  <c r="W74" i="2"/>
  <c r="X53" i="2"/>
  <c r="AB74" i="2"/>
  <c r="AD25" i="2"/>
  <c r="AD26" i="2"/>
  <c r="X189" i="2"/>
  <c r="Y182" i="2"/>
  <c r="Y189" i="2" s="1"/>
  <c r="N155" i="3"/>
  <c r="O153" i="3" s="1"/>
  <c r="AH32" i="2"/>
  <c r="AH33" i="2"/>
  <c r="AJ16" i="2"/>
  <c r="AC25" i="2"/>
  <c r="Y26" i="2"/>
  <c r="Z26" i="2"/>
  <c r="AB35" i="2"/>
  <c r="AB40" i="2" s="1"/>
  <c r="AB37" i="2"/>
  <c r="AC164" i="2"/>
  <c r="AA62" i="2"/>
  <c r="S74" i="2"/>
  <c r="T53" i="2"/>
  <c r="T47" i="2"/>
  <c r="AA36" i="2"/>
  <c r="AF32" i="2"/>
  <c r="AF33" i="2"/>
  <c r="AU16" i="2"/>
  <c r="AU32" i="2" s="1"/>
  <c r="X199" i="2"/>
  <c r="AC73" i="2"/>
  <c r="Y133" i="2"/>
  <c r="Y46" i="2"/>
  <c r="Y73" i="2"/>
  <c r="Y129" i="2"/>
  <c r="AI49" i="2"/>
  <c r="AJ49" i="2" s="1"/>
  <c r="AK49" i="2" s="1"/>
  <c r="AL49" i="2" s="1"/>
  <c r="AA40" i="2"/>
  <c r="AF73" i="2"/>
  <c r="AF45" i="2"/>
  <c r="AF46" i="2" s="1"/>
  <c r="AF88" i="2"/>
  <c r="AU44" i="2"/>
  <c r="AK29" i="2"/>
  <c r="AO6" i="2"/>
  <c r="AK105" i="2"/>
  <c r="M156" i="3"/>
  <c r="AK45" i="2" l="1"/>
  <c r="AK46" i="2" s="1"/>
  <c r="AK88" i="2"/>
  <c r="AM29" i="2"/>
  <c r="AO45" i="2"/>
  <c r="AO12" i="2"/>
  <c r="AM105" i="2"/>
  <c r="AM164" i="2" s="1"/>
  <c r="AL16" i="2"/>
  <c r="AL32" i="2" s="1"/>
  <c r="Y199" i="2"/>
  <c r="I48" i="3"/>
  <c r="M48" i="3" s="1"/>
  <c r="N48" i="3" s="1"/>
  <c r="AD171" i="2" s="1"/>
  <c r="AD179" i="2" s="1"/>
  <c r="V75" i="2"/>
  <c r="N156" i="3"/>
  <c r="N163" i="3" s="1"/>
  <c r="AI40" i="2"/>
  <c r="U53" i="2"/>
  <c r="U75" i="2" s="1"/>
  <c r="AL39" i="2"/>
  <c r="AW39" i="2" s="1"/>
  <c r="AD36" i="2"/>
  <c r="AL88" i="2"/>
  <c r="M163" i="3"/>
  <c r="Y74" i="2"/>
  <c r="AN16" i="2"/>
  <c r="U47" i="2"/>
  <c r="AW14" i="2"/>
  <c r="AW30" i="2" s="1"/>
  <c r="AM16" i="2"/>
  <c r="AM32" i="2" s="1"/>
  <c r="AV39" i="2"/>
  <c r="AV16" i="2"/>
  <c r="AV32" i="2" s="1"/>
  <c r="AV49" i="2"/>
  <c r="AK33" i="2"/>
  <c r="AI129" i="2"/>
  <c r="AS32" i="2"/>
  <c r="AI33" i="2"/>
  <c r="AI45" i="2"/>
  <c r="AI89" i="2" s="1"/>
  <c r="AE144" i="2"/>
  <c r="AF144" i="2" s="1"/>
  <c r="AG144" i="2" s="1"/>
  <c r="AH144" i="2" s="1"/>
  <c r="AI144" i="2" s="1"/>
  <c r="AJ144" i="2" s="1"/>
  <c r="AK144" i="2" s="1"/>
  <c r="AL144" i="2" s="1"/>
  <c r="AM144" i="2" s="1"/>
  <c r="AN144" i="2" s="1"/>
  <c r="AO144" i="2" s="1"/>
  <c r="AD119" i="2"/>
  <c r="AE89" i="2"/>
  <c r="AE91" i="2" s="1"/>
  <c r="AE104" i="2"/>
  <c r="AK32" i="2"/>
  <c r="AI88" i="2"/>
  <c r="AC167" i="2"/>
  <c r="AC168" i="2" s="1"/>
  <c r="AC198" i="2" s="1"/>
  <c r="AC201" i="2" s="1"/>
  <c r="AC202" i="2" s="1"/>
  <c r="AC205" i="2" s="1"/>
  <c r="AS40" i="2"/>
  <c r="AD104" i="2"/>
  <c r="AD89" i="2"/>
  <c r="AD91" i="2" s="1"/>
  <c r="AH73" i="2"/>
  <c r="AH45" i="2"/>
  <c r="AH46" i="2" s="1"/>
  <c r="AG74" i="2" s="1"/>
  <c r="AH88" i="2"/>
  <c r="AH129" i="2"/>
  <c r="Z62" i="2"/>
  <c r="Z75" i="2"/>
  <c r="W62" i="2"/>
  <c r="AA76" i="2" s="1"/>
  <c r="W75" i="2"/>
  <c r="AT32" i="2"/>
  <c r="AJ74" i="2"/>
  <c r="AO74" i="2"/>
  <c r="AG89" i="2"/>
  <c r="AG91" i="2" s="1"/>
  <c r="AG104" i="2"/>
  <c r="AM49" i="2"/>
  <c r="AN49" i="2" s="1"/>
  <c r="AO49" i="2" s="1"/>
  <c r="AE106" i="2"/>
  <c r="AE53" i="2"/>
  <c r="AW48" i="2"/>
  <c r="V140" i="2"/>
  <c r="V168" i="2" s="1"/>
  <c r="V70" i="2"/>
  <c r="V77" i="2"/>
  <c r="V204" i="2"/>
  <c r="V71" i="2"/>
  <c r="AG46" i="2"/>
  <c r="M45" i="3"/>
  <c r="M44" i="3" s="1"/>
  <c r="AG37" i="2"/>
  <c r="AG35" i="2"/>
  <c r="AG40" i="2" s="1"/>
  <c r="S75" i="2"/>
  <c r="O62" i="2"/>
  <c r="X75" i="2"/>
  <c r="X62" i="2"/>
  <c r="AJ73" i="2"/>
  <c r="AJ45" i="2"/>
  <c r="AJ46" i="2" s="1"/>
  <c r="AJ88" i="2"/>
  <c r="AI36" i="2"/>
  <c r="T75" i="2"/>
  <c r="T62" i="2"/>
  <c r="AK104" i="2"/>
  <c r="AK89" i="2"/>
  <c r="AK91" i="2" s="1"/>
  <c r="AA65" i="2"/>
  <c r="AH37" i="2"/>
  <c r="AH35" i="2"/>
  <c r="AF37" i="2"/>
  <c r="AF35" i="2"/>
  <c r="AD75" i="2"/>
  <c r="AV44" i="2"/>
  <c r="N65" i="2"/>
  <c r="R76" i="2"/>
  <c r="AB62" i="2"/>
  <c r="AB75" i="2"/>
  <c r="AE74" i="2"/>
  <c r="AF52" i="2"/>
  <c r="AF106" i="2" s="1"/>
  <c r="AG50" i="2"/>
  <c r="AK164" i="2"/>
  <c r="AK129" i="2"/>
  <c r="AL164" i="2"/>
  <c r="AJ164" i="2"/>
  <c r="AJ129" i="2"/>
  <c r="AV28" i="2"/>
  <c r="AF104" i="2"/>
  <c r="AF89" i="2"/>
  <c r="AF91" i="2" s="1"/>
  <c r="X74" i="2"/>
  <c r="Y47" i="2"/>
  <c r="Y53" i="2"/>
  <c r="AC35" i="2"/>
  <c r="AC40" i="2" s="1"/>
  <c r="AT40" i="2" s="1"/>
  <c r="AC37" i="2"/>
  <c r="AN105" i="2"/>
  <c r="AN29" i="2"/>
  <c r="Q164" i="3"/>
  <c r="AW6" i="2"/>
  <c r="AC74" i="2"/>
  <c r="AO105" i="2"/>
  <c r="AO29" i="2"/>
  <c r="AB36" i="2"/>
  <c r="AJ32" i="2"/>
  <c r="AJ33" i="2"/>
  <c r="O155" i="3"/>
  <c r="P153" i="3" s="1"/>
  <c r="AO16" i="2"/>
  <c r="AE20" i="2"/>
  <c r="AE12" i="2"/>
  <c r="AU45" i="2"/>
  <c r="AL33" i="2" l="1"/>
  <c r="AO73" i="2"/>
  <c r="AO88" i="2"/>
  <c r="O48" i="3"/>
  <c r="AE171" i="2" s="1"/>
  <c r="AE179" i="2" s="1"/>
  <c r="M43" i="3"/>
  <c r="N43" i="3" s="1"/>
  <c r="AE108" i="2"/>
  <c r="AC192" i="2"/>
  <c r="AM33" i="2"/>
  <c r="AN33" i="2"/>
  <c r="AI104" i="2"/>
  <c r="AL73" i="2"/>
  <c r="AL129" i="2"/>
  <c r="AL45" i="2"/>
  <c r="AL46" i="2" s="1"/>
  <c r="AK74" i="2" s="1"/>
  <c r="U62" i="2"/>
  <c r="U76" i="2" s="1"/>
  <c r="AN32" i="2"/>
  <c r="AW16" i="2"/>
  <c r="AW32" i="2" s="1"/>
  <c r="AI46" i="2"/>
  <c r="AH74" i="2" s="1"/>
  <c r="AE160" i="2"/>
  <c r="AE119" i="2"/>
  <c r="AF119" i="2" s="1"/>
  <c r="AG119" i="2" s="1"/>
  <c r="AI91" i="2"/>
  <c r="AM88" i="2"/>
  <c r="AM73" i="2"/>
  <c r="AM45" i="2"/>
  <c r="AV45" i="2"/>
  <c r="AM129" i="2"/>
  <c r="AW44" i="2"/>
  <c r="AD160" i="2"/>
  <c r="AD163" i="2"/>
  <c r="AE163" i="2"/>
  <c r="AD108" i="2"/>
  <c r="AH89" i="2"/>
  <c r="AH91" i="2" s="1"/>
  <c r="AH104" i="2"/>
  <c r="AH160" i="2" s="1"/>
  <c r="W76" i="2"/>
  <c r="W65" i="2"/>
  <c r="AA77" i="2" s="1"/>
  <c r="Z65" i="2"/>
  <c r="Z76" i="2"/>
  <c r="AI74" i="2"/>
  <c r="AO104" i="2"/>
  <c r="AO89" i="2"/>
  <c r="AA204" i="2"/>
  <c r="AA140" i="2"/>
  <c r="AA168" i="2" s="1"/>
  <c r="AA70" i="2"/>
  <c r="AA71" i="2"/>
  <c r="P48" i="3"/>
  <c r="P155" i="3"/>
  <c r="Q153" i="3" s="1"/>
  <c r="AH50" i="2"/>
  <c r="AG52" i="2"/>
  <c r="AG106" i="2" s="1"/>
  <c r="AG108" i="2" s="1"/>
  <c r="AU50" i="2"/>
  <c r="AC75" i="2"/>
  <c r="Y62" i="2"/>
  <c r="Y75" i="2"/>
  <c r="AF40" i="2"/>
  <c r="AU40" i="2" s="1"/>
  <c r="AU35" i="2"/>
  <c r="AE26" i="2"/>
  <c r="AE25" i="2"/>
  <c r="AF36" i="2"/>
  <c r="AU37" i="2"/>
  <c r="AL37" i="2"/>
  <c r="AL35" i="2"/>
  <c r="AF53" i="2"/>
  <c r="AH40" i="2"/>
  <c r="AF74" i="2"/>
  <c r="R164" i="3"/>
  <c r="T76" i="2"/>
  <c r="T65" i="2"/>
  <c r="AW49" i="2"/>
  <c r="O65" i="2"/>
  <c r="S76" i="2"/>
  <c r="AG163" i="2"/>
  <c r="AG160" i="2"/>
  <c r="N71" i="2"/>
  <c r="N70" i="2"/>
  <c r="R77" i="2"/>
  <c r="AN164" i="2"/>
  <c r="AN129" i="2"/>
  <c r="AM37" i="2"/>
  <c r="AM35" i="2"/>
  <c r="AM40" i="2" s="1"/>
  <c r="AH36" i="2"/>
  <c r="AJ89" i="2"/>
  <c r="AJ91" i="2" s="1"/>
  <c r="AJ104" i="2"/>
  <c r="AK160" i="2" s="1"/>
  <c r="AE75" i="2"/>
  <c r="AN88" i="2"/>
  <c r="AN73" i="2"/>
  <c r="AN45" i="2"/>
  <c r="AN46" i="2" s="1"/>
  <c r="X65" i="2"/>
  <c r="X76" i="2"/>
  <c r="V198" i="2"/>
  <c r="V201" i="2" s="1"/>
  <c r="V202" i="2" s="1"/>
  <c r="V205" i="2" s="1"/>
  <c r="V192" i="2"/>
  <c r="V194" i="2" s="1"/>
  <c r="W193" i="2" s="1"/>
  <c r="O156" i="3"/>
  <c r="O163" i="3" s="1"/>
  <c r="AE54" i="2" s="1"/>
  <c r="AO129" i="2"/>
  <c r="AO164" i="2"/>
  <c r="AB76" i="2"/>
  <c r="AB65" i="2"/>
  <c r="AO33" i="2"/>
  <c r="AO32" i="2"/>
  <c r="AW28" i="2"/>
  <c r="AC36" i="2"/>
  <c r="AT37" i="2"/>
  <c r="AF163" i="2"/>
  <c r="AF160" i="2"/>
  <c r="AF108" i="2"/>
  <c r="AJ37" i="2"/>
  <c r="AJ35" i="2"/>
  <c r="AJ40" i="2" s="1"/>
  <c r="AK37" i="2"/>
  <c r="AK35" i="2"/>
  <c r="AK40" i="2" s="1"/>
  <c r="AT35" i="2"/>
  <c r="AD76" i="2"/>
  <c r="AD65" i="2"/>
  <c r="AF12" i="2"/>
  <c r="AF21" i="2"/>
  <c r="AF20" i="2"/>
  <c r="AG36" i="2"/>
  <c r="AO46" i="2"/>
  <c r="AO91" i="2" l="1"/>
  <c r="N45" i="3"/>
  <c r="AD143" i="2" s="1"/>
  <c r="M49" i="3"/>
  <c r="U65" i="2"/>
  <c r="U70" i="2" s="1"/>
  <c r="AL89" i="2"/>
  <c r="AL91" i="2" s="1"/>
  <c r="AL104" i="2"/>
  <c r="AL163" i="2" s="1"/>
  <c r="P156" i="3"/>
  <c r="P163" i="3" s="1"/>
  <c r="AF54" i="2" s="1"/>
  <c r="AF62" i="2" s="1"/>
  <c r="AI163" i="2"/>
  <c r="AI160" i="2"/>
  <c r="AH163" i="2"/>
  <c r="AG53" i="2"/>
  <c r="AG75" i="2" s="1"/>
  <c r="AJ36" i="2"/>
  <c r="AW45" i="2"/>
  <c r="AV37" i="2"/>
  <c r="AM104" i="2"/>
  <c r="AM160" i="2" s="1"/>
  <c r="AM46" i="2"/>
  <c r="AL74" i="2" s="1"/>
  <c r="AM89" i="2"/>
  <c r="AM91" i="2" s="1"/>
  <c r="W204" i="2"/>
  <c r="W70" i="2"/>
  <c r="W71" i="2"/>
  <c r="W77" i="2"/>
  <c r="W140" i="2"/>
  <c r="W168" i="2" s="1"/>
  <c r="Z204" i="2"/>
  <c r="Z70" i="2"/>
  <c r="Z71" i="2"/>
  <c r="Z140" i="2"/>
  <c r="Z168" i="2" s="1"/>
  <c r="Z77" i="2"/>
  <c r="AV40" i="2"/>
  <c r="AM74" i="2"/>
  <c r="AN74" i="2"/>
  <c r="AK163" i="2"/>
  <c r="AL160" i="2"/>
  <c r="T70" i="2"/>
  <c r="T71" i="2"/>
  <c r="T77" i="2"/>
  <c r="AF26" i="2"/>
  <c r="AF25" i="2"/>
  <c r="O43" i="3"/>
  <c r="O45" i="3"/>
  <c r="AE143" i="2" s="1"/>
  <c r="AG20" i="2"/>
  <c r="AG12" i="2"/>
  <c r="AU12" i="2" s="1"/>
  <c r="AU11" i="2" s="1"/>
  <c r="AG21" i="2"/>
  <c r="AF75" i="2"/>
  <c r="AB70" i="2"/>
  <c r="AB140" i="2"/>
  <c r="AB168" i="2" s="1"/>
  <c r="AB71" i="2"/>
  <c r="AB204" i="2"/>
  <c r="AB77" i="2"/>
  <c r="Q155" i="3"/>
  <c r="R153" i="3" s="1"/>
  <c r="S164" i="3"/>
  <c r="AJ160" i="2"/>
  <c r="AJ163" i="2"/>
  <c r="AK36" i="2"/>
  <c r="AO37" i="2"/>
  <c r="AO35" i="2"/>
  <c r="AO40" i="2" s="1"/>
  <c r="AH119" i="2"/>
  <c r="AM36" i="2"/>
  <c r="AH52" i="2"/>
  <c r="AI50" i="2"/>
  <c r="AA198" i="2"/>
  <c r="AA201" i="2" s="1"/>
  <c r="AA202" i="2" s="1"/>
  <c r="AA205" i="2" s="1"/>
  <c r="AA192" i="2"/>
  <c r="AN37" i="2"/>
  <c r="AN35" i="2"/>
  <c r="AN40" i="2" s="1"/>
  <c r="AN104" i="2"/>
  <c r="AO160" i="2" s="1"/>
  <c r="AN89" i="2"/>
  <c r="AN91" i="2" s="1"/>
  <c r="AL40" i="2"/>
  <c r="O71" i="2"/>
  <c r="O70" i="2"/>
  <c r="S77" i="2"/>
  <c r="AL36" i="2"/>
  <c r="AD204" i="2"/>
  <c r="AD140" i="2"/>
  <c r="AD77" i="2"/>
  <c r="X204" i="2"/>
  <c r="X70" i="2"/>
  <c r="X71" i="2"/>
  <c r="X140" i="2"/>
  <c r="X168" i="2" s="1"/>
  <c r="X77" i="2"/>
  <c r="AE62" i="2"/>
  <c r="AV35" i="2"/>
  <c r="Y65" i="2"/>
  <c r="Y76" i="2"/>
  <c r="AC76" i="2"/>
  <c r="Q48" i="3"/>
  <c r="AF171" i="2"/>
  <c r="AF179" i="2" s="1"/>
  <c r="AD168" i="2" l="1"/>
  <c r="AD192" i="2" s="1"/>
  <c r="U77" i="2"/>
  <c r="U71" i="2"/>
  <c r="U140" i="2"/>
  <c r="N44" i="3"/>
  <c r="N49" i="3" s="1"/>
  <c r="AD94" i="2" s="1"/>
  <c r="AD100" i="2" s="1"/>
  <c r="AM163" i="2"/>
  <c r="Q156" i="3"/>
  <c r="Q163" i="3" s="1"/>
  <c r="AG54" i="2" s="1"/>
  <c r="AU54" i="2" s="1"/>
  <c r="W198" i="2"/>
  <c r="W201" i="2" s="1"/>
  <c r="W202" i="2" s="1"/>
  <c r="W205" i="2" s="1"/>
  <c r="W192" i="2"/>
  <c r="W194" i="2" s="1"/>
  <c r="X193" i="2" s="1"/>
  <c r="AO163" i="2"/>
  <c r="Z192" i="2"/>
  <c r="Z198" i="2"/>
  <c r="Z201" i="2" s="1"/>
  <c r="Z202" i="2" s="1"/>
  <c r="Z205" i="2" s="1"/>
  <c r="AO36" i="2"/>
  <c r="Y121" i="2"/>
  <c r="Y140" i="2"/>
  <c r="Y168" i="2" s="1"/>
  <c r="Y70" i="2"/>
  <c r="AC77" i="2"/>
  <c r="Y77" i="2"/>
  <c r="Y71" i="2"/>
  <c r="Y204" i="2"/>
  <c r="O44" i="3"/>
  <c r="O49" i="3" s="1"/>
  <c r="AE94" i="2" s="1"/>
  <c r="AE100" i="2" s="1"/>
  <c r="AH20" i="2"/>
  <c r="AH21" i="2"/>
  <c r="AB198" i="2"/>
  <c r="AB201" i="2" s="1"/>
  <c r="AB202" i="2" s="1"/>
  <c r="AB205" i="2" s="1"/>
  <c r="AB192" i="2"/>
  <c r="X198" i="2"/>
  <c r="X201" i="2" s="1"/>
  <c r="X202" i="2" s="1"/>
  <c r="X205" i="2" s="1"/>
  <c r="X192" i="2"/>
  <c r="AN163" i="2"/>
  <c r="AN160" i="2"/>
  <c r="AH106" i="2"/>
  <c r="AH108" i="2" s="1"/>
  <c r="AH53" i="2"/>
  <c r="AN36" i="2"/>
  <c r="AE76" i="2"/>
  <c r="AE63" i="2"/>
  <c r="AE65" i="2" s="1"/>
  <c r="AW40" i="2"/>
  <c r="R155" i="3"/>
  <c r="S153" i="3" s="1"/>
  <c r="AG25" i="2"/>
  <c r="AG26" i="2"/>
  <c r="T164" i="3"/>
  <c r="P45" i="3"/>
  <c r="AF143" i="2" s="1"/>
  <c r="P43" i="3"/>
  <c r="AW35" i="2"/>
  <c r="R48" i="3"/>
  <c r="AG171" i="2"/>
  <c r="AG179" i="2" s="1"/>
  <c r="AI119" i="2"/>
  <c r="AW37" i="2"/>
  <c r="AJ50" i="2"/>
  <c r="AI52" i="2"/>
  <c r="AF63" i="2"/>
  <c r="AF65" i="2" s="1"/>
  <c r="AF76" i="2"/>
  <c r="AG62" i="2" l="1"/>
  <c r="X194" i="2"/>
  <c r="Y193" i="2" s="1"/>
  <c r="P44" i="3"/>
  <c r="P49" i="3" s="1"/>
  <c r="AF94" i="2" s="1"/>
  <c r="AF100" i="2" s="1"/>
  <c r="AF204" i="2"/>
  <c r="AF140" i="2"/>
  <c r="AF168" i="2" s="1"/>
  <c r="AF192" i="2" s="1"/>
  <c r="AF77" i="2"/>
  <c r="AI106" i="2"/>
  <c r="AI108" i="2" s="1"/>
  <c r="AI53" i="2"/>
  <c r="AE204" i="2"/>
  <c r="AE140" i="2"/>
  <c r="AE168" i="2" s="1"/>
  <c r="AE192" i="2" s="1"/>
  <c r="AE77" i="2"/>
  <c r="AK50" i="2"/>
  <c r="AV50" i="2" s="1"/>
  <c r="AJ52" i="2"/>
  <c r="U164" i="3"/>
  <c r="AH25" i="2"/>
  <c r="AH26" i="2"/>
  <c r="S155" i="3"/>
  <c r="T153" i="3" s="1"/>
  <c r="R156" i="3"/>
  <c r="R163" i="3" s="1"/>
  <c r="AH54" i="2" s="1"/>
  <c r="Y198" i="2"/>
  <c r="Y201" i="2" s="1"/>
  <c r="Y202" i="2" s="1"/>
  <c r="Y205" i="2" s="1"/>
  <c r="Y192" i="2"/>
  <c r="Y122" i="2"/>
  <c r="Y124" i="2" s="1"/>
  <c r="Y125" i="2" s="1"/>
  <c r="Z121" i="2"/>
  <c r="S48" i="3"/>
  <c r="AH171" i="2"/>
  <c r="AH179" i="2" s="1"/>
  <c r="AG63" i="2"/>
  <c r="AU63" i="2" s="1"/>
  <c r="AG76" i="2"/>
  <c r="Q45" i="3"/>
  <c r="AG143" i="2" s="1"/>
  <c r="Q43" i="3"/>
  <c r="AJ119" i="2"/>
  <c r="AI21" i="2"/>
  <c r="AI20" i="2"/>
  <c r="AH75" i="2"/>
  <c r="Y194" i="2" l="1"/>
  <c r="Z193" i="2" s="1"/>
  <c r="Z194" i="2" s="1"/>
  <c r="AA193" i="2" s="1"/>
  <c r="AA194" i="2" s="1"/>
  <c r="AB193" i="2" s="1"/>
  <c r="AB194" i="2" s="1"/>
  <c r="AC193" i="2" s="1"/>
  <c r="AC194" i="2" s="1"/>
  <c r="AD193" i="2" s="1"/>
  <c r="AD194" i="2" s="1"/>
  <c r="AE193" i="2" s="1"/>
  <c r="AE194" i="2" s="1"/>
  <c r="AF193" i="2" s="1"/>
  <c r="AF194" i="2" s="1"/>
  <c r="AG193" i="2" s="1"/>
  <c r="AJ21" i="2"/>
  <c r="AJ20" i="2"/>
  <c r="AI75" i="2"/>
  <c r="AA121" i="2"/>
  <c r="Z122" i="2"/>
  <c r="Z124" i="2" s="1"/>
  <c r="Z125" i="2" s="1"/>
  <c r="AK119" i="2"/>
  <c r="V164" i="3"/>
  <c r="T155" i="3"/>
  <c r="U153" i="3" s="1"/>
  <c r="Q44" i="3"/>
  <c r="Q49" i="3" s="1"/>
  <c r="AG94" i="2" s="1"/>
  <c r="AG100" i="2" s="1"/>
  <c r="S156" i="3"/>
  <c r="S163" i="3" s="1"/>
  <c r="AI54" i="2" s="1"/>
  <c r="AI62" i="2" s="1"/>
  <c r="AJ106" i="2"/>
  <c r="AJ108" i="2" s="1"/>
  <c r="AJ53" i="2"/>
  <c r="AI171" i="2"/>
  <c r="AI179" i="2" s="1"/>
  <c r="T48" i="3"/>
  <c r="R45" i="3"/>
  <c r="AH143" i="2" s="1"/>
  <c r="R43" i="3"/>
  <c r="AI25" i="2"/>
  <c r="AI26" i="2"/>
  <c r="AH62" i="2"/>
  <c r="AG65" i="2"/>
  <c r="AL50" i="2"/>
  <c r="AK52" i="2"/>
  <c r="AI63" i="2" l="1"/>
  <c r="AI65" i="2" s="1"/>
  <c r="AI76" i="2"/>
  <c r="U155" i="3"/>
  <c r="V153" i="3" s="1"/>
  <c r="AK20" i="2"/>
  <c r="AK21" i="2"/>
  <c r="AV12" i="2"/>
  <c r="AV11" i="2" s="1"/>
  <c r="AK106" i="2"/>
  <c r="AK108" i="2" s="1"/>
  <c r="AK53" i="2"/>
  <c r="AM50" i="2"/>
  <c r="AL52" i="2"/>
  <c r="U48" i="3"/>
  <c r="AJ171" i="2"/>
  <c r="AJ179" i="2" s="1"/>
  <c r="AG204" i="2"/>
  <c r="AG140" i="2"/>
  <c r="AG168" i="2" s="1"/>
  <c r="AG192" i="2" s="1"/>
  <c r="AG194" i="2" s="1"/>
  <c r="AH193" i="2" s="1"/>
  <c r="AG77" i="2"/>
  <c r="T156" i="3"/>
  <c r="T163" i="3" s="1"/>
  <c r="AJ54" i="2" s="1"/>
  <c r="AJ62" i="2" s="1"/>
  <c r="AJ25" i="2"/>
  <c r="AJ26" i="2"/>
  <c r="AH63" i="2"/>
  <c r="AH65" i="2" s="1"/>
  <c r="AH76" i="2"/>
  <c r="AJ75" i="2"/>
  <c r="AL119" i="2"/>
  <c r="W164" i="3"/>
  <c r="AB121" i="2"/>
  <c r="AA122" i="2"/>
  <c r="AA124" i="2" s="1"/>
  <c r="AA125" i="2" s="1"/>
  <c r="S43" i="3"/>
  <c r="S45" i="3"/>
  <c r="AI143" i="2" s="1"/>
  <c r="R44" i="3"/>
  <c r="U156" i="3" l="1"/>
  <c r="U163" i="3" s="1"/>
  <c r="AK54" i="2" s="1"/>
  <c r="AK62" i="2" s="1"/>
  <c r="S44" i="3"/>
  <c r="S49" i="3" s="1"/>
  <c r="AI94" i="2" s="1"/>
  <c r="AI100" i="2" s="1"/>
  <c r="AH204" i="2"/>
  <c r="AH77" i="2"/>
  <c r="AH140" i="2"/>
  <c r="AH168" i="2" s="1"/>
  <c r="AH192" i="2" s="1"/>
  <c r="AH194" i="2" s="1"/>
  <c r="AI193" i="2" s="1"/>
  <c r="AB122" i="2"/>
  <c r="AB124" i="2" s="1"/>
  <c r="AB125" i="2" s="1"/>
  <c r="AC121" i="2"/>
  <c r="T45" i="3"/>
  <c r="AJ143" i="2" s="1"/>
  <c r="T43" i="3"/>
  <c r="AL106" i="2"/>
  <c r="AL108" i="2" s="1"/>
  <c r="AL53" i="2"/>
  <c r="AL21" i="2"/>
  <c r="AL20" i="2"/>
  <c r="AK75" i="2"/>
  <c r="V155" i="3"/>
  <c r="W153" i="3" s="1"/>
  <c r="AK25" i="2"/>
  <c r="AK26" i="2"/>
  <c r="AI77" i="2"/>
  <c r="AI140" i="2"/>
  <c r="AI168" i="2" s="1"/>
  <c r="AI192" i="2" s="1"/>
  <c r="V48" i="3"/>
  <c r="AK171" i="2"/>
  <c r="AK179" i="2" s="1"/>
  <c r="AM119" i="2"/>
  <c r="R49" i="3"/>
  <c r="AH94" i="2" s="1"/>
  <c r="AH100" i="2" s="1"/>
  <c r="AJ63" i="2"/>
  <c r="AJ65" i="2" s="1"/>
  <c r="AJ76" i="2"/>
  <c r="AV54" i="2"/>
  <c r="AN50" i="2"/>
  <c r="AM52" i="2"/>
  <c r="V156" i="3" l="1"/>
  <c r="V163" i="3" s="1"/>
  <c r="AL54" i="2" s="1"/>
  <c r="AL62" i="2" s="1"/>
  <c r="T44" i="3"/>
  <c r="T49" i="3" s="1"/>
  <c r="AJ94" i="2" s="1"/>
  <c r="AJ100" i="2" s="1"/>
  <c r="AK63" i="2"/>
  <c r="AV63" i="2" s="1"/>
  <c r="AK76" i="2"/>
  <c r="AN119" i="2"/>
  <c r="AL25" i="2"/>
  <c r="AL26" i="2"/>
  <c r="AI194" i="2"/>
  <c r="AJ193" i="2" s="1"/>
  <c r="AO50" i="2"/>
  <c r="AO52" i="2" s="1"/>
  <c r="AN52" i="2"/>
  <c r="AD121" i="2"/>
  <c r="AC122" i="2"/>
  <c r="AC124" i="2" s="1"/>
  <c r="AC125" i="2" s="1"/>
  <c r="W48" i="3"/>
  <c r="AL171" i="2"/>
  <c r="AL179" i="2" s="1"/>
  <c r="AL75" i="2"/>
  <c r="AJ77" i="2"/>
  <c r="AJ140" i="2"/>
  <c r="AJ168" i="2" s="1"/>
  <c r="AJ192" i="2" s="1"/>
  <c r="AM21" i="2"/>
  <c r="AM20" i="2"/>
  <c r="AM106" i="2"/>
  <c r="AM108" i="2" s="1"/>
  <c r="AM53" i="2"/>
  <c r="W155" i="3"/>
  <c r="W156" i="3" s="1"/>
  <c r="W163" i="3" s="1"/>
  <c r="AM54" i="2" s="1"/>
  <c r="U45" i="3"/>
  <c r="AK143" i="2" s="1"/>
  <c r="U43" i="3"/>
  <c r="AK65" i="2" l="1"/>
  <c r="AK77" i="2" s="1"/>
  <c r="AW50" i="2"/>
  <c r="AW54" i="2"/>
  <c r="AJ194" i="2"/>
  <c r="AK193" i="2" s="1"/>
  <c r="AM25" i="2"/>
  <c r="AM26" i="2"/>
  <c r="V43" i="3"/>
  <c r="V45" i="3"/>
  <c r="AL143" i="2" s="1"/>
  <c r="X48" i="3"/>
  <c r="AM171" i="2"/>
  <c r="AM179" i="2" s="1"/>
  <c r="AE121" i="2"/>
  <c r="AD122" i="2"/>
  <c r="AD124" i="2" s="1"/>
  <c r="AD125" i="2" s="1"/>
  <c r="U44" i="3"/>
  <c r="AO119" i="2"/>
  <c r="AM75" i="2"/>
  <c r="AM62" i="2"/>
  <c r="AL76" i="2"/>
  <c r="AL63" i="2"/>
  <c r="AN106" i="2"/>
  <c r="AN108" i="2" s="1"/>
  <c r="AN53" i="2"/>
  <c r="AN21" i="2"/>
  <c r="AN20" i="2"/>
  <c r="AO106" i="2"/>
  <c r="AO108" i="2" s="1"/>
  <c r="AO53" i="2"/>
  <c r="AK140" i="2" l="1"/>
  <c r="AK168" i="2" s="1"/>
  <c r="AK192" i="2" s="1"/>
  <c r="V44" i="3"/>
  <c r="U49" i="3"/>
  <c r="AK94" i="2" s="1"/>
  <c r="AK100" i="2" s="1"/>
  <c r="AO21" i="2"/>
  <c r="AO20" i="2"/>
  <c r="AN75" i="2"/>
  <c r="AN62" i="2"/>
  <c r="AN171" i="2"/>
  <c r="AN179" i="2" s="1"/>
  <c r="Y48" i="3"/>
  <c r="AO171" i="2" s="1"/>
  <c r="AO179" i="2" s="1"/>
  <c r="AO62" i="2"/>
  <c r="AO75" i="2"/>
  <c r="AL65" i="2"/>
  <c r="AN25" i="2"/>
  <c r="AN26" i="2"/>
  <c r="AM76" i="2"/>
  <c r="AM63" i="2"/>
  <c r="AM65" i="2" s="1"/>
  <c r="AF121" i="2"/>
  <c r="AE122" i="2"/>
  <c r="AE124" i="2" s="1"/>
  <c r="AE125" i="2" s="1"/>
  <c r="V49" i="3"/>
  <c r="AL94" i="2" s="1"/>
  <c r="AL100" i="2" s="1"/>
  <c r="W43" i="3"/>
  <c r="W45" i="3"/>
  <c r="AM143" i="2" s="1"/>
  <c r="AK194" i="2"/>
  <c r="AL193" i="2" s="1"/>
  <c r="AM140" i="2" l="1"/>
  <c r="AM77" i="2"/>
  <c r="AO26" i="2"/>
  <c r="AO25" i="2"/>
  <c r="AW12" i="2"/>
  <c r="AW11" i="2" s="1"/>
  <c r="AM168" i="2"/>
  <c r="AM192" i="2" s="1"/>
  <c r="AO76" i="2"/>
  <c r="AO63" i="2"/>
  <c r="AO65" i="2" s="1"/>
  <c r="AN63" i="2"/>
  <c r="AN76" i="2"/>
  <c r="X43" i="3"/>
  <c r="X45" i="3"/>
  <c r="AN143" i="2" s="1"/>
  <c r="W44" i="3"/>
  <c r="AG121" i="2"/>
  <c r="AF122" i="2"/>
  <c r="AF124" i="2" s="1"/>
  <c r="AF125" i="2" s="1"/>
  <c r="AL140" i="2"/>
  <c r="AL168" i="2" s="1"/>
  <c r="AL192" i="2" s="1"/>
  <c r="AL194" i="2" s="1"/>
  <c r="AM193" i="2" s="1"/>
  <c r="AL77" i="2"/>
  <c r="X44" i="3" l="1"/>
  <c r="X49" i="3" s="1"/>
  <c r="AN94" i="2" s="1"/>
  <c r="AN100" i="2" s="1"/>
  <c r="AW63" i="2"/>
  <c r="AH121" i="2"/>
  <c r="AG122" i="2"/>
  <c r="AG124" i="2" s="1"/>
  <c r="AG125" i="2" s="1"/>
  <c r="AM194" i="2"/>
  <c r="AN193" i="2" s="1"/>
  <c r="AO140" i="2"/>
  <c r="AO77" i="2"/>
  <c r="AN65" i="2"/>
  <c r="W49" i="3"/>
  <c r="AM94" i="2" s="1"/>
  <c r="AM100" i="2" s="1"/>
  <c r="Y43" i="3"/>
  <c r="Y45" i="3"/>
  <c r="AO143" i="2" s="1"/>
  <c r="AN77" i="2" l="1"/>
  <c r="AN140" i="2"/>
  <c r="AN168" i="2" s="1"/>
  <c r="AN192" i="2" s="1"/>
  <c r="AN194" i="2" s="1"/>
  <c r="AO193" i="2" s="1"/>
  <c r="AO168" i="2"/>
  <c r="AO192" i="2" s="1"/>
  <c r="Y44" i="3"/>
  <c r="Y49" i="3" s="1"/>
  <c r="AO94" i="2" s="1"/>
  <c r="AO100" i="2" s="1"/>
  <c r="AI121" i="2"/>
  <c r="AH122" i="2"/>
  <c r="AH124" i="2" s="1"/>
  <c r="AH125" i="2" s="1"/>
  <c r="AO194" i="2" l="1"/>
  <c r="AJ121" i="2"/>
  <c r="AI122" i="2"/>
  <c r="AI124" i="2" s="1"/>
  <c r="AI125" i="2" s="1"/>
  <c r="AK121" i="2" l="1"/>
  <c r="AJ122" i="2"/>
  <c r="AJ124" i="2" s="1"/>
  <c r="AJ125" i="2" s="1"/>
  <c r="AL121" i="2" l="1"/>
  <c r="AK122" i="2"/>
  <c r="AK124" i="2" s="1"/>
  <c r="AK125" i="2" s="1"/>
  <c r="AM121" i="2" l="1"/>
  <c r="AL122" i="2"/>
  <c r="AL124" i="2" s="1"/>
  <c r="AL125" i="2" s="1"/>
  <c r="AN121" i="2" l="1"/>
  <c r="AM122" i="2"/>
  <c r="AM124" i="2" s="1"/>
  <c r="AM125" i="2" s="1"/>
  <c r="AO121" i="2" l="1"/>
  <c r="AO122" i="2" s="1"/>
  <c r="AO124" i="2" s="1"/>
  <c r="AO125" i="2" s="1"/>
  <c r="AN122" i="2"/>
  <c r="AN124" i="2" s="1"/>
  <c r="AN12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tc={48E9A1F5-ED3E-E248-BE5E-A9462DA25B3C}</author>
    <author>tc={4C9BE920-53B1-BF42-B036-9FB53294FFC2}</author>
    <author>tc={73928AF2-9EDF-594F-8717-D9949EE1FBD4}</author>
    <author>tc={273D4219-46B3-9842-8E88-2EB5026403EF}</author>
    <author>tc={B4930009-0B00-1747-8AF0-56858635AEA9}</author>
    <author>tc={E9BE3CEE-F1F8-584E-B425-742D5DF09843}</author>
    <author>tc={6D8DF308-257D-9548-886C-E957A88FD933}</author>
    <author>tc={BC357B61-9DFE-F144-A6BC-403D96FAA50F}</author>
  </authors>
  <commentList>
    <comment ref="AC6" authorId="0" shapeId="0" xr:uid="{48E9A1F5-ED3E-E248-BE5E-A9462DA2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FY22 Service Guidance of $730-733m -&gt; $196m 4Q22 Target</t>
      </text>
    </comment>
    <comment ref="A9" authorId="1" shapeId="0" xr:uid="{4C9BE920-53B1-BF42-B036-9FB53294FFC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Chegg Study Pack:
Homework Help
Quiz &amp; Exam Help
Math Help
Writing Help
Unlimited Course-specific Docs</t>
      </text>
    </comment>
    <comment ref="AA9" authorId="2" shapeId="0" xr:uid="{73928AF2-9EDF-594F-8717-D9949EE1FBD4}">
      <text>
        <t>[Threaded comment]
Your version of Excel allows you to read this threaded comment; however, any edits to it will get removed if the file is opened in a newer version of Excel. Learn more: https://go.microsoft.com/fwlink/?linkid=870924
Comment:
    Mid-July price increase to $15.95</t>
      </text>
    </comment>
    <comment ref="A10" authorId="3" shapeId="0" xr:uid="{273D4219-46B3-9842-8E88-2EB5026403EF}">
      <text>
        <t>[Threaded comment]
Your version of Excel allows you to read this threaded comment; however, any edits to it will get removed if the file is opened in a newer version of Excel. Learn more: https://go.microsoft.com/fwlink/?linkid=870924
Comment:
    Chegg Study:
Homework Help</t>
      </text>
    </comment>
    <comment ref="Z11" authorId="4" shapeId="0" xr:uid="{B4930009-0B00-1747-8AF0-56858635AEA9}">
      <text>
        <t>[Threaded comment]
Your version of Excel allows you to read this threaded comment; however, any edits to it will get removed if the file is opened in a newer version of Excel. Learn more: https://go.microsoft.com/fwlink/?linkid=870924
Comment:
    0.6m from Busuu</t>
      </text>
    </comment>
    <comment ref="AC47" authorId="5" shapeId="0" xr:uid="{E9BE3CEE-F1F8-584E-B425-742D5DF09843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73-74% Gross Margin</t>
      </text>
    </comment>
    <comment ref="AB63" authorId="6" shapeId="0" xr:uid="{6D8DF308-257D-9548-886C-E957A88FD933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Valuation Allowance</t>
      </text>
    </comment>
    <comment ref="Y156" authorId="7" shapeId="0" xr:uid="{BC357B61-9DFE-F144-A6BC-403D96FAA50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2021 10K CFS</t>
      </text>
    </comment>
  </commentList>
</comments>
</file>

<file path=xl/sharedStrings.xml><?xml version="1.0" encoding="utf-8"?>
<sst xmlns="http://schemas.openxmlformats.org/spreadsheetml/2006/main" count="411" uniqueCount="336">
  <si>
    <t>FY21</t>
  </si>
  <si>
    <t>FY22</t>
  </si>
  <si>
    <t>Net Revenues</t>
  </si>
  <si>
    <t>Cost of Revenues</t>
  </si>
  <si>
    <t>Research &amp; Development</t>
  </si>
  <si>
    <t>Sales &amp; Marketing</t>
  </si>
  <si>
    <t>Interest Expense</t>
  </si>
  <si>
    <t>Other Income</t>
  </si>
  <si>
    <t>1Q21</t>
  </si>
  <si>
    <t>1Q22</t>
  </si>
  <si>
    <t>General &amp; Administrative</t>
  </si>
  <si>
    <t>Basic Shares</t>
  </si>
  <si>
    <t>Diluted Shares</t>
  </si>
  <si>
    <t>P&amp;L GAAP</t>
  </si>
  <si>
    <t>Revenue Build</t>
  </si>
  <si>
    <t>CHGG</t>
  </si>
  <si>
    <t>Consolidated Balance Sheet</t>
  </si>
  <si>
    <t>Cash &amp; Cash Equivalents</t>
  </si>
  <si>
    <t>Short-term Investments</t>
  </si>
  <si>
    <t>Accounts Recievable</t>
  </si>
  <si>
    <t>Accounts Receivable</t>
  </si>
  <si>
    <t>Allowance</t>
  </si>
  <si>
    <t>Net Accounts Receivable</t>
  </si>
  <si>
    <t>Prepaid Expenses</t>
  </si>
  <si>
    <t>Other Current Assets</t>
  </si>
  <si>
    <t>Total Current Assets</t>
  </si>
  <si>
    <t>Long-term Investments</t>
  </si>
  <si>
    <t>Net Property &amp; Equipment</t>
  </si>
  <si>
    <t xml:space="preserve">Net Textbook Library </t>
  </si>
  <si>
    <t>Goodwill</t>
  </si>
  <si>
    <t>Net Intangible Assets</t>
  </si>
  <si>
    <t>Right of Use Assets</t>
  </si>
  <si>
    <t>Other Assets</t>
  </si>
  <si>
    <t>Accounts Payable</t>
  </si>
  <si>
    <t>Deferred Revenue</t>
  </si>
  <si>
    <t>Accrued Liabilities</t>
  </si>
  <si>
    <t>Long-term Liabilities</t>
  </si>
  <si>
    <t xml:space="preserve">Net Convertible Senior Notes </t>
  </si>
  <si>
    <t>Long-term Lease Liabilities</t>
  </si>
  <si>
    <t>Other Long-term Liabilities</t>
  </si>
  <si>
    <t>Common Stock</t>
  </si>
  <si>
    <t>Additional Paid-in Capital</t>
  </si>
  <si>
    <t>Accumulated Other Comprehensive Loss</t>
  </si>
  <si>
    <t>Accumulated Deficit</t>
  </si>
  <si>
    <t>Liabilities</t>
  </si>
  <si>
    <t>Current Liabilities</t>
  </si>
  <si>
    <t>Total Liabilities</t>
  </si>
  <si>
    <t>Total Stockholders Equity</t>
  </si>
  <si>
    <t>Stockholders Equity</t>
  </si>
  <si>
    <t>Total Current Liabilities</t>
  </si>
  <si>
    <t>Total Assets</t>
  </si>
  <si>
    <t>Total Cash, Cash Equivalents &amp; Short-term Investments</t>
  </si>
  <si>
    <t>Assets</t>
  </si>
  <si>
    <t>Statement of Cash Flows</t>
  </si>
  <si>
    <t>Cash Flows from Operating Activities</t>
  </si>
  <si>
    <t>Net Income</t>
  </si>
  <si>
    <t>Print Textbook Depreciation Expense</t>
  </si>
  <si>
    <t>Other Depreciation &amp; Amortization</t>
  </si>
  <si>
    <t>Share-based Compensation</t>
  </si>
  <si>
    <t>Amortization of Debt Issuance Costs</t>
  </si>
  <si>
    <t>Gain on Foreign Currency Remeasurement</t>
  </si>
  <si>
    <t>Loss on Early Extinguishment of Debt</t>
  </si>
  <si>
    <t>Loss on Change in Fair Value of Derivative Instruments</t>
  </si>
  <si>
    <t>Loss from Write-off of Property &amp; Equipment</t>
  </si>
  <si>
    <t>Gain on sale of Equity Investment</t>
  </si>
  <si>
    <t>(Gain) Loss on Textbook Library</t>
  </si>
  <si>
    <t>Operating Lease Expense Net of Accretion</t>
  </si>
  <si>
    <t>Other non-Cash Items</t>
  </si>
  <si>
    <t>Change in Operating Assets &amp; Liabilities</t>
  </si>
  <si>
    <t>Other Liabilities</t>
  </si>
  <si>
    <t>Net Cash from Operating Activities</t>
  </si>
  <si>
    <t>Total Change in Operating Assets &amp; Liabilities</t>
  </si>
  <si>
    <t>Purchases of Property &amp; Equipment</t>
  </si>
  <si>
    <t>Purchases of Textbooks</t>
  </si>
  <si>
    <t>Proceeds from Disposition of Textbooks</t>
  </si>
  <si>
    <t>Purchases of Investments</t>
  </si>
  <si>
    <t>Maturities of Investments</t>
  </si>
  <si>
    <t>Proceeds from Sale of Equity Investment</t>
  </si>
  <si>
    <t>Acquisition of Businesses Net of Cash Acquired</t>
  </si>
  <si>
    <t>Net Cash from Investing Activities</t>
  </si>
  <si>
    <t>Cash Flows from Investing Activities</t>
  </si>
  <si>
    <t>Cash Flows from Financing Activities</t>
  </si>
  <si>
    <t>Proceeds from Common Stock Issued under Plan</t>
  </si>
  <si>
    <t>Payment of Equity Award Taxes</t>
  </si>
  <si>
    <t>Repayment of Convertible Senior Notes</t>
  </si>
  <si>
    <t>Proceeds from Exercise of Convertible Senior Notes</t>
  </si>
  <si>
    <t>Repurchases of Common Stock</t>
  </si>
  <si>
    <t>Net Cash from Financing Activities</t>
  </si>
  <si>
    <t>Net Increase in Cash</t>
  </si>
  <si>
    <t>Cash &amp; Equivalents End</t>
  </si>
  <si>
    <t>Cash &amp; Equivalents Beginning</t>
  </si>
  <si>
    <t>2Q21</t>
  </si>
  <si>
    <t>3Q21</t>
  </si>
  <si>
    <t>4Q21</t>
  </si>
  <si>
    <t>2Q22</t>
  </si>
  <si>
    <t>Gain on Sale of Equity Investments</t>
  </si>
  <si>
    <t>Gain on Foreign Currency Remeasurment of Purchase Consideration</t>
  </si>
  <si>
    <t>Interest Income</t>
  </si>
  <si>
    <t>Total Other Income</t>
  </si>
  <si>
    <t>Segments</t>
  </si>
  <si>
    <t>Chegg Services</t>
  </si>
  <si>
    <t>Required Materials</t>
  </si>
  <si>
    <t>Total Revenues</t>
  </si>
  <si>
    <t>Deferred Revenue Recognition</t>
  </si>
  <si>
    <t>Textbook Rental Income</t>
  </si>
  <si>
    <t>Net Accounts Recievable</t>
  </si>
  <si>
    <t>Contract Assets</t>
  </si>
  <si>
    <t>Dilution Calculation</t>
  </si>
  <si>
    <t>Average Basic Shares</t>
  </si>
  <si>
    <t>Stock Plan Shares</t>
  </si>
  <si>
    <t>Average Diluted Shares</t>
  </si>
  <si>
    <t>Shares Related to Stock Plan</t>
  </si>
  <si>
    <t>Shares Related to Convertible Senior Notes</t>
  </si>
  <si>
    <t>Total Common Stock Equivalents</t>
  </si>
  <si>
    <t>Cash</t>
  </si>
  <si>
    <t>Money Market Funds</t>
  </si>
  <si>
    <t>Corporate Debt Securities</t>
  </si>
  <si>
    <t>U.S. Treasury Securitites</t>
  </si>
  <si>
    <t>Agency Bonds</t>
  </si>
  <si>
    <t>Total Short-term Investments</t>
  </si>
  <si>
    <t>Total Cash &amp; Cash Equivalents</t>
  </si>
  <si>
    <t>Commercial Paper</t>
  </si>
  <si>
    <t>Total Long-term Investments</t>
  </si>
  <si>
    <t>Beginning Balance</t>
  </si>
  <si>
    <t>Additions Due to Acquisitions</t>
  </si>
  <si>
    <t>Foreign Currency Adjustment</t>
  </si>
  <si>
    <t>Ending Balance</t>
  </si>
  <si>
    <t xml:space="preserve">Goodwill </t>
  </si>
  <si>
    <t>Ingangibles</t>
  </si>
  <si>
    <t>Developed Technologies</t>
  </si>
  <si>
    <t>Content Libraries</t>
  </si>
  <si>
    <t>Customer Lists</t>
  </si>
  <si>
    <t>Trade &amp; Domain Names</t>
  </si>
  <si>
    <t>Indefinite-lived Trade Name</t>
  </si>
  <si>
    <t>Weighted Average Amortization Period (Months)</t>
  </si>
  <si>
    <t>Total Intangible Assets Net</t>
  </si>
  <si>
    <t>Gross Carrying Amount</t>
  </si>
  <si>
    <t>Accumulated Amortization</t>
  </si>
  <si>
    <t>Foreign Currency Translation Adjustment</t>
  </si>
  <si>
    <t>Net Carrying Amount</t>
  </si>
  <si>
    <t>Future Estimated Amortization Expense</t>
  </si>
  <si>
    <t>FY23</t>
  </si>
  <si>
    <t>FY24</t>
  </si>
  <si>
    <t>FY25</t>
  </si>
  <si>
    <t>FY26</t>
  </si>
  <si>
    <t>Convertible Senior Notes</t>
  </si>
  <si>
    <t>Effect of Exchange Rate Changes</t>
  </si>
  <si>
    <t>P&amp;L Non-GAAP</t>
  </si>
  <si>
    <t>FY19</t>
  </si>
  <si>
    <t>Current Portion of Convertible Senior Notes</t>
  </si>
  <si>
    <t>Common  Shares Issued</t>
  </si>
  <si>
    <t>SE + L</t>
  </si>
  <si>
    <t>Check</t>
  </si>
  <si>
    <t>FY20</t>
  </si>
  <si>
    <t>Equity Offering Proceeds Net of Fees</t>
  </si>
  <si>
    <t>1Q20</t>
  </si>
  <si>
    <t>2Q20</t>
  </si>
  <si>
    <t>3Q20</t>
  </si>
  <si>
    <t>4Q20</t>
  </si>
  <si>
    <t>Gross Accounts Receivable</t>
  </si>
  <si>
    <t>Payments of Escrow Related to Acquisition</t>
  </si>
  <si>
    <t>Proceeds from Sale of Investments</t>
  </si>
  <si>
    <t>Adjustments</t>
  </si>
  <si>
    <t>Impairment on Lease Related Assets</t>
  </si>
  <si>
    <t>NASDAQ: (CHGG)</t>
  </si>
  <si>
    <t>Chegg Inc.</t>
  </si>
  <si>
    <t>$ in Thousands</t>
  </si>
  <si>
    <t>Restructuring Charges</t>
  </si>
  <si>
    <t>Deferred Tax Assets</t>
  </si>
  <si>
    <t>Tax Benefit Related to Release of Valuation Allowance</t>
  </si>
  <si>
    <t>Deferred Income Taxes</t>
  </si>
  <si>
    <t>Balance Sheet Drivers</t>
  </si>
  <si>
    <t>Valuation Alllowance</t>
  </si>
  <si>
    <t>Income Tax at U.S. Statutory Rate</t>
  </si>
  <si>
    <t>State, net of Federal Benefit</t>
  </si>
  <si>
    <t>Accrued Expenses &amp; Reserves</t>
  </si>
  <si>
    <t>Accrued Compensation</t>
  </si>
  <si>
    <t>Net Operating Loss Carryforwards</t>
  </si>
  <si>
    <t>Property &amp; Equipment, Textbooks, &amp; Intangible Assets</t>
  </si>
  <si>
    <t>Other Items</t>
  </si>
  <si>
    <t>Gross Deferred Tax Assets</t>
  </si>
  <si>
    <t>Valuation Allowance</t>
  </si>
  <si>
    <t>Total Deferred Tax Assets</t>
  </si>
  <si>
    <t>Deferred Tax Liabilities</t>
  </si>
  <si>
    <t>Other</t>
  </si>
  <si>
    <t>Total Deferred Tax Liabilities</t>
  </si>
  <si>
    <t>Net Deferred Tax Liabilities</t>
  </si>
  <si>
    <t>Free Cash Flow</t>
  </si>
  <si>
    <t>Net Cash from Operations</t>
  </si>
  <si>
    <t>Capital Expenditures</t>
  </si>
  <si>
    <t>Free Cash Flow less SBC</t>
  </si>
  <si>
    <t>Share-Based Compensation</t>
  </si>
  <si>
    <t>Earnings</t>
  </si>
  <si>
    <t>Normalized FCF</t>
  </si>
  <si>
    <t>Gross Income</t>
  </si>
  <si>
    <t>Gross Margin</t>
  </si>
  <si>
    <t>Total Operating Expense</t>
  </si>
  <si>
    <t>EBIT</t>
  </si>
  <si>
    <t>EBT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</si>
  <si>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</si>
  <si>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</si>
  <si>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</si>
  <si>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</si>
  <si>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</si>
  <si>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</si>
  <si>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</si>
  <si>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</si>
  <si>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</si>
  <si>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</si>
  <si>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</si>
  <si>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</si>
  <si>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1Q19</t>
  </si>
  <si>
    <t>2Q19</t>
  </si>
  <si>
    <t>3Q19</t>
  </si>
  <si>
    <t>4Q19</t>
  </si>
  <si>
    <t>Accounts Payable Days of Revenue</t>
  </si>
  <si>
    <t>Accrued LIabilities Days of Operating Expenses</t>
  </si>
  <si>
    <t>Accounts Recievable Days of Revenue</t>
  </si>
  <si>
    <t>Deferred Revenue Percentage of Service Revenues</t>
  </si>
  <si>
    <t>1Q23</t>
  </si>
  <si>
    <t>2Q23</t>
  </si>
  <si>
    <t>3Q23</t>
  </si>
  <si>
    <t>4Q23</t>
  </si>
  <si>
    <t>Services Y/Y</t>
  </si>
  <si>
    <t>Services Q/Q</t>
  </si>
  <si>
    <t>Required Materials Y/Y</t>
  </si>
  <si>
    <t>Required Materials Q/Q</t>
  </si>
  <si>
    <t>Net Revenues Y/Y</t>
  </si>
  <si>
    <t>Net Revenues Q/Q</t>
  </si>
  <si>
    <t>Deferred Revenue Days of Sales</t>
  </si>
  <si>
    <t>Prepaid Expenses &amp; Other Current Assets</t>
  </si>
  <si>
    <t>Provision for (Benefit from) Income Taxes</t>
  </si>
  <si>
    <t>Chegg Study Pack Monthly Cost</t>
  </si>
  <si>
    <t>Chegg Study Monthly Cost</t>
  </si>
  <si>
    <t>ARPU</t>
  </si>
  <si>
    <t>Deferred Portion</t>
  </si>
  <si>
    <t>Non-GAAP Chegg Services</t>
  </si>
  <si>
    <t>Percentage Recognized</t>
  </si>
  <si>
    <t>Beginning period cash</t>
  </si>
  <si>
    <t>Ending period cash</t>
  </si>
  <si>
    <t>Less Minimum cash balance</t>
  </si>
  <si>
    <t>Cash available for debt repayment</t>
  </si>
  <si>
    <t>Convertible Debt</t>
  </si>
  <si>
    <t>Beginning balance</t>
  </si>
  <si>
    <t>Change in Debt</t>
  </si>
  <si>
    <t>Ending balance</t>
  </si>
  <si>
    <t>Avg balance</t>
  </si>
  <si>
    <t>Convertible Notes Interest Expense</t>
  </si>
  <si>
    <t>Total Interest Expense</t>
  </si>
  <si>
    <t>Cash and Investments</t>
  </si>
  <si>
    <t>Change in Cash and Investments</t>
  </si>
  <si>
    <t>Int rate % earned (quarterly)</t>
  </si>
  <si>
    <t>Interest income</t>
  </si>
  <si>
    <t>Investment and other income</t>
  </si>
  <si>
    <t>Exhibit A</t>
  </si>
  <si>
    <t>https://storage.courtlistener.com/recap/gov.uscourts.njd.482417/gov.uscourts.njd.482417.1.1.pdf</t>
  </si>
  <si>
    <t>https://storage.courtlistener.com/recap/gov.uscourts.njd.482417/gov.uscourts.njd.482417.1.0_2.pdf</t>
  </si>
  <si>
    <t xml:space="preserve">Index </t>
  </si>
  <si>
    <t>https://www.courtlistener.com/docket/60381481/pearson-education-inc-v-chegg-inc/</t>
  </si>
  <si>
    <t>Pearson CHGG Lawsuit</t>
  </si>
  <si>
    <t>Response</t>
  </si>
  <si>
    <t>https://storage.courtlistener.com/recap/gov.uscourts.njd.482417/gov.uscourts.njd.482417.26.0.pdf</t>
  </si>
  <si>
    <t>Brief</t>
  </si>
  <si>
    <t>1Q24</t>
  </si>
  <si>
    <t>2Q24</t>
  </si>
  <si>
    <t>3Q24</t>
  </si>
  <si>
    <t>4Q24</t>
  </si>
  <si>
    <t>1Q25</t>
  </si>
  <si>
    <t>2Q25</t>
  </si>
  <si>
    <t>3Q25</t>
  </si>
  <si>
    <t>4Q25</t>
  </si>
  <si>
    <t>Subscribers (m) Y/Y</t>
  </si>
  <si>
    <t>Subscribers (m) Q/Q</t>
  </si>
  <si>
    <t>ARPU Y/Y</t>
  </si>
  <si>
    <t>ARPU Q/Q</t>
  </si>
  <si>
    <t>Total Subscribers (m)</t>
  </si>
  <si>
    <t>Average Balance</t>
  </si>
  <si>
    <t>Interest Rate (Quarterly)</t>
  </si>
  <si>
    <t>Interest Expense on Debt</t>
  </si>
  <si>
    <t>Amortization of Debt Discount</t>
  </si>
  <si>
    <t>Payment of Debt Issuance Costs</t>
  </si>
  <si>
    <t>Total Non-GAAP Revenue</t>
  </si>
  <si>
    <t>Chegg Study Subscribers Y/Y</t>
  </si>
  <si>
    <t>Busuu Subscribers Q/Q</t>
  </si>
  <si>
    <t>Prepaid Expenses Portion of Cost of Revenues</t>
  </si>
  <si>
    <t>Gross Profit Y/Y</t>
  </si>
  <si>
    <t>EBIT Y/Y</t>
  </si>
  <si>
    <t>EBT Y/Y</t>
  </si>
  <si>
    <t>Net Income Y/Y</t>
  </si>
  <si>
    <t>Basic Shares Y/Y</t>
  </si>
  <si>
    <t>Diluted Shares Y/Y</t>
  </si>
  <si>
    <t>Basic EPS</t>
  </si>
  <si>
    <t>Diluted EPS</t>
  </si>
  <si>
    <t>Chegg Inc. (CHGG)</t>
  </si>
  <si>
    <t>Loss on change in fair value of derivatives, net</t>
  </si>
  <si>
    <t>Gain on Sale of Strategic Equity Investment</t>
  </si>
  <si>
    <t xml:space="preserve">Other </t>
  </si>
  <si>
    <t>4Q22E</t>
  </si>
  <si>
    <t>3Q22A</t>
  </si>
  <si>
    <t>Busuu</t>
  </si>
  <si>
    <t>Annual</t>
  </si>
  <si>
    <t>MARPU</t>
  </si>
  <si>
    <t>Semi-Annual</t>
  </si>
  <si>
    <t>Monthly</t>
  </si>
  <si>
    <t>Quarterly</t>
  </si>
  <si>
    <t>ARR at 0.6m MAU</t>
  </si>
  <si>
    <t>Study Pack</t>
  </si>
  <si>
    <t xml:space="preserve">Base Study </t>
  </si>
  <si>
    <t>Chegg Study Pricing</t>
  </si>
  <si>
    <t>Gain on Early Extinguishment of Debt</t>
  </si>
  <si>
    <t>Property &amp; Equipment</t>
  </si>
  <si>
    <t>Content</t>
  </si>
  <si>
    <t>Leashold Imporvements</t>
  </si>
  <si>
    <t>Internal-use Software</t>
  </si>
  <si>
    <t>Furniture &amp; Fixtures</t>
  </si>
  <si>
    <t>Computers &amp; Equipment</t>
  </si>
  <si>
    <t>Gross Property &amp; Equipment</t>
  </si>
  <si>
    <t>Less Accumulated Depreciation</t>
  </si>
  <si>
    <t>Purchase of Property &amp; Equipment</t>
  </si>
  <si>
    <t>Useful Life</t>
  </si>
  <si>
    <t>Depreciation &amp; Amortization expense</t>
  </si>
  <si>
    <t>US: SaaS</t>
  </si>
  <si>
    <t>4Q22A</t>
  </si>
  <si>
    <t>1Q23E</t>
  </si>
  <si>
    <t>2Q23E</t>
  </si>
  <si>
    <t>3Q23E</t>
  </si>
  <si>
    <t>4Q23E</t>
  </si>
  <si>
    <t>1Q24E</t>
  </si>
  <si>
    <t>2Q24E</t>
  </si>
  <si>
    <t>3Q24E</t>
  </si>
  <si>
    <t>4Q24E</t>
  </si>
  <si>
    <t>1Q25E</t>
  </si>
  <si>
    <t>2Q25E</t>
  </si>
  <si>
    <t>3Q25E</t>
  </si>
  <si>
    <t>4Q25E</t>
  </si>
  <si>
    <t>Skills &amp;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</si>
</sst>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Libre Baskerville"/>
    </font>
    <font>
      <i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1"/>
      <name val="Arial"/>
      <family val="2"/>
    </font>
    <font>
      <sz val="2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4" fontId="1" fillId="2" borderId="0" xfId="0" applyNumberFormat="1" applyFont="1" applyFill="1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1" applyFont="1" applyBorder="1"/>
    <xf numFmtId="0" fontId="5" fillId="0" borderId="0" xfId="0" applyFont="1"/>
    <xf numFmtId="9" fontId="5" fillId="0" borderId="0" xfId="1" applyFont="1"/>
    <xf numFmtId="1" fontId="5" fillId="0" borderId="0" xfId="0" applyNumberFormat="1" applyFont="1"/>
    <xf numFmtId="9" fontId="5" fillId="0" borderId="0" xfId="0" applyNumberFormat="1" applyFont="1"/>
    <xf numFmtId="1" fontId="6" fillId="0" borderId="0" xfId="0" applyNumberFormat="1" applyFont="1"/>
    <xf numFmtId="9" fontId="7" fillId="0" borderId="0" xfId="0" applyNumberFormat="1" applyFont="1"/>
    <xf numFmtId="0" fontId="7" fillId="0" borderId="0" xfId="0" applyFont="1"/>
    <xf numFmtId="9" fontId="0" fillId="0" borderId="0" xfId="1" applyFont="1" applyFill="1" applyBorder="1"/>
    <xf numFmtId="9" fontId="0" fillId="0" borderId="0" xfId="1" applyFont="1" applyFill="1"/>
    <xf numFmtId="1" fontId="1" fillId="0" borderId="0" xfId="0" applyNumberFormat="1" applyFont="1"/>
    <xf numFmtId="9" fontId="0" fillId="0" borderId="0" xfId="1" applyFont="1"/>
    <xf numFmtId="9" fontId="8" fillId="0" borderId="0" xfId="1" applyFont="1"/>
    <xf numFmtId="1" fontId="9" fillId="0" borderId="0" xfId="0" applyNumberFormat="1" applyFont="1"/>
    <xf numFmtId="9" fontId="8" fillId="0" borderId="0" xfId="0" applyNumberFormat="1" applyFont="1"/>
    <xf numFmtId="164" fontId="9" fillId="0" borderId="0" xfId="0" applyNumberFormat="1" applyFont="1"/>
    <xf numFmtId="1" fontId="10" fillId="0" borderId="0" xfId="0" applyNumberFormat="1" applyFont="1"/>
    <xf numFmtId="0" fontId="0" fillId="3" borderId="0" xfId="0" applyFill="1"/>
    <xf numFmtId="165" fontId="0" fillId="0" borderId="0" xfId="1" applyNumberFormat="1" applyFont="1"/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0" fontId="11" fillId="3" borderId="0" xfId="0" quotePrefix="1" applyFont="1" applyFill="1"/>
    <xf numFmtId="0" fontId="11" fillId="3" borderId="0" xfId="0" applyFont="1" applyFill="1"/>
    <xf numFmtId="0" fontId="12" fillId="3" borderId="0" xfId="0" applyFont="1" applyFill="1"/>
    <xf numFmtId="9" fontId="5" fillId="0" borderId="0" xfId="1" applyFont="1" applyFill="1"/>
    <xf numFmtId="9" fontId="8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7A4F03C7-6FAC-3C48-AF7C-BF2274BB688D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6" dT="2022-12-29T20:54:43.53" personId="{7A4F03C7-6FAC-3C48-AF7C-BF2274BB688D}" id="{48E9A1F5-ED3E-E248-BE5E-A9462DA25B3C}">
    <text>FY22 Service Guidance of $730-733m -&gt; $196m 4Q22 Target</text>
  </threadedComment>
  <threadedComment ref="A9" dT="2022-12-29T03:37:29.87" personId="{7A4F03C7-6FAC-3C48-AF7C-BF2274BB688D}" id="{4C9BE920-53B1-BF42-B036-9FB53294FFC2}">
    <text>Chegg Study Pack:
Homework Help
Quiz &amp; Exam Help
Math Help
Writing Help
Unlimited Course-specific Docs</text>
  </threadedComment>
  <threadedComment ref="AA9" dT="2022-12-29T21:17:12.35" personId="{7A4F03C7-6FAC-3C48-AF7C-BF2274BB688D}" id="{73928AF2-9EDF-594F-8717-D9949EE1FBD4}">
    <text>Mid-July price increase to $15.95</text>
  </threadedComment>
  <threadedComment ref="A10" dT="2022-12-29T21:12:59.27" personId="{7A4F03C7-6FAC-3C48-AF7C-BF2274BB688D}" id="{273D4219-46B3-9842-8E88-2EB5026403EF}">
    <text>Chegg Study:
Homework Help</text>
  </threadedComment>
  <threadedComment ref="Z11" dT="2022-12-29T21:19:28.35" personId="{7A4F03C7-6FAC-3C48-AF7C-BF2274BB688D}" id="{B4930009-0B00-1747-8AF0-56858635AEA9}">
    <text>0.6m from Busuu</text>
  </threadedComment>
  <threadedComment ref="AC47" dT="2022-12-29T20:55:24.35" personId="{7A4F03C7-6FAC-3C48-AF7C-BF2274BB688D}" id="{E9BE3CEE-F1F8-584E-B425-742D5DF09843}">
    <text>Guidance: 73-74% Gross Margin</text>
  </threadedComment>
  <threadedComment ref="AB63" dT="2023-01-05T15:35:43.52" personId="{7A4F03C7-6FAC-3C48-AF7C-BF2274BB688D}" id="{6D8DF308-257D-9548-886C-E957A88FD933}">
    <text>Valuation Allowance</text>
  </threadedComment>
  <threadedComment ref="Y156" dT="2022-12-28T14:06:45.21" personId="{7A4F03C7-6FAC-3C48-AF7C-BF2274BB688D}" id="{BC357B61-9DFE-F144-A6BC-403D96FAA50F}">
    <text>Not in 2021 10K CFS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EFF2-837A-B145-94AB-7E14952F219B}">
  <dimension ref="B1:B100"/>
  <sheetViews>
    <sheetView workbookViewId="0">
      <selection activeCell="B9" sqref="B9"/>
    </sheetView>
  </sheetViews>
  <sheetFormatPr baseColWidth="10" defaultRowHeight="16" x14ac:dyDescent="0.2"/>
  <cols>
    <col min="1" max="16384" width="10.83203125" style="34"/>
  </cols>
  <sheetData>
    <row r="1" spans="2:2" x14ac:dyDescent="0.2">
      <c r="B1" s="33"/>
    </row>
    <row r="2" spans="2:2" x14ac:dyDescent="0.2">
      <c r="B2" s="33"/>
    </row>
    <row r="3" spans="2:2" x14ac:dyDescent="0.2">
      <c r="B3" s="33"/>
    </row>
    <row r="4" spans="2:2" ht="30" x14ac:dyDescent="0.3">
      <c r="B4" s="35" t="s">
        <v>293</v>
      </c>
    </row>
    <row r="5" spans="2:2" x14ac:dyDescent="0.2">
      <c r="B5" s="34" t="s">
        <v>321</v>
      </c>
    </row>
    <row r="17" s="34" customFormat="1" x14ac:dyDescent="0.2"/>
    <row r="18" s="34" customFormat="1" x14ac:dyDescent="0.2"/>
    <row r="19" s="34" customFormat="1" x14ac:dyDescent="0.2"/>
    <row r="20" s="34" customFormat="1" x14ac:dyDescent="0.2"/>
    <row r="21" s="34" customFormat="1" x14ac:dyDescent="0.2"/>
    <row r="22" s="34" customFormat="1" x14ac:dyDescent="0.2"/>
    <row r="23" s="34" customFormat="1" x14ac:dyDescent="0.2"/>
    <row r="24" s="34" customFormat="1" x14ac:dyDescent="0.2"/>
    <row r="25" s="34" customFormat="1" x14ac:dyDescent="0.2"/>
    <row r="26" s="34" customFormat="1" x14ac:dyDescent="0.2"/>
    <row r="27" s="34" customFormat="1" x14ac:dyDescent="0.2"/>
    <row r="28" s="34" customFormat="1" x14ac:dyDescent="0.2"/>
    <row r="29" s="34" customFormat="1" x14ac:dyDescent="0.2"/>
    <row r="30" s="34" customFormat="1" x14ac:dyDescent="0.2"/>
    <row r="31" s="34" customFormat="1" x14ac:dyDescent="0.2"/>
    <row r="32" s="34" customFormat="1" x14ac:dyDescent="0.2"/>
    <row r="33" s="34" customFormat="1" x14ac:dyDescent="0.2"/>
    <row r="34" s="34" customFormat="1" x14ac:dyDescent="0.2"/>
    <row r="35" s="34" customFormat="1" x14ac:dyDescent="0.2"/>
    <row r="36" s="34" customFormat="1" x14ac:dyDescent="0.2"/>
    <row r="37" s="34" customFormat="1" x14ac:dyDescent="0.2"/>
    <row r="38" s="34" customFormat="1" x14ac:dyDescent="0.2"/>
    <row r="39" s="34" customFormat="1" x14ac:dyDescent="0.2"/>
    <row r="40" s="34" customFormat="1" x14ac:dyDescent="0.2"/>
    <row r="41" s="34" customFormat="1" x14ac:dyDescent="0.2"/>
    <row r="42" s="34" customFormat="1" x14ac:dyDescent="0.2"/>
    <row r="43" s="34" customFormat="1" x14ac:dyDescent="0.2"/>
    <row r="44" s="34" customFormat="1" x14ac:dyDescent="0.2"/>
    <row r="45" s="34" customFormat="1" x14ac:dyDescent="0.2"/>
    <row r="46" s="34" customFormat="1" x14ac:dyDescent="0.2"/>
    <row r="47" s="34" customFormat="1" x14ac:dyDescent="0.2"/>
    <row r="48" s="34" customFormat="1" x14ac:dyDescent="0.2"/>
    <row r="49" s="34" customFormat="1" x14ac:dyDescent="0.2"/>
    <row r="50" s="34" customFormat="1" x14ac:dyDescent="0.2"/>
    <row r="51" s="34" customFormat="1" x14ac:dyDescent="0.2"/>
    <row r="52" s="34" customFormat="1" x14ac:dyDescent="0.2"/>
    <row r="53" s="34" customFormat="1" x14ac:dyDescent="0.2"/>
    <row r="54" s="34" customFormat="1" x14ac:dyDescent="0.2"/>
    <row r="55" s="34" customFormat="1" x14ac:dyDescent="0.2"/>
    <row r="56" s="34" customFormat="1" x14ac:dyDescent="0.2"/>
    <row r="57" s="34" customFormat="1" x14ac:dyDescent="0.2"/>
    <row r="58" s="34" customFormat="1" x14ac:dyDescent="0.2"/>
    <row r="59" s="34" customFormat="1" x14ac:dyDescent="0.2"/>
    <row r="60" s="34" customFormat="1" x14ac:dyDescent="0.2"/>
    <row r="61" s="34" customFormat="1" x14ac:dyDescent="0.2"/>
    <row r="62" s="34" customFormat="1" x14ac:dyDescent="0.2"/>
    <row r="63" s="34" customFormat="1" x14ac:dyDescent="0.2"/>
    <row r="64" s="34" customFormat="1" x14ac:dyDescent="0.2"/>
    <row r="65" s="34" customFormat="1" x14ac:dyDescent="0.2"/>
    <row r="66" s="34" customFormat="1" x14ac:dyDescent="0.2"/>
    <row r="67" s="34" customFormat="1" x14ac:dyDescent="0.2"/>
    <row r="68" s="34" customFormat="1" x14ac:dyDescent="0.2"/>
    <row r="69" s="34" customFormat="1" x14ac:dyDescent="0.2"/>
    <row r="70" s="34" customFormat="1" x14ac:dyDescent="0.2"/>
    <row r="71" s="34" customFormat="1" x14ac:dyDescent="0.2"/>
    <row r="72" s="34" customFormat="1" x14ac:dyDescent="0.2"/>
    <row r="73" s="34" customFormat="1" x14ac:dyDescent="0.2"/>
    <row r="74" s="34" customFormat="1" x14ac:dyDescent="0.2"/>
    <row r="75" s="34" customFormat="1" x14ac:dyDescent="0.2"/>
    <row r="76" s="34" customFormat="1" x14ac:dyDescent="0.2"/>
    <row r="77" s="34" customFormat="1" x14ac:dyDescent="0.2"/>
    <row r="78" s="34" customFormat="1" x14ac:dyDescent="0.2"/>
    <row r="79" s="34" customFormat="1" x14ac:dyDescent="0.2"/>
    <row r="80" s="34" customFormat="1" x14ac:dyDescent="0.2"/>
    <row r="81" s="34" customFormat="1" x14ac:dyDescent="0.2"/>
    <row r="82" s="34" customFormat="1" x14ac:dyDescent="0.2"/>
    <row r="83" s="34" customFormat="1" x14ac:dyDescent="0.2"/>
    <row r="84" s="34" customFormat="1" x14ac:dyDescent="0.2"/>
    <row r="85" s="34" customFormat="1" x14ac:dyDescent="0.2"/>
    <row r="86" s="34" customFormat="1" x14ac:dyDescent="0.2"/>
    <row r="87" s="34" customFormat="1" x14ac:dyDescent="0.2"/>
    <row r="88" s="34" customFormat="1" x14ac:dyDescent="0.2"/>
    <row r="89" s="34" customFormat="1" x14ac:dyDescent="0.2"/>
    <row r="90" s="34" customFormat="1" x14ac:dyDescent="0.2"/>
    <row r="91" s="34" customFormat="1" x14ac:dyDescent="0.2"/>
    <row r="92" s="34" customFormat="1" x14ac:dyDescent="0.2"/>
    <row r="93" s="34" customFormat="1" x14ac:dyDescent="0.2"/>
    <row r="94" s="34" customFormat="1" x14ac:dyDescent="0.2"/>
    <row r="95" s="34" customFormat="1" x14ac:dyDescent="0.2"/>
    <row r="96" s="34" customFormat="1" x14ac:dyDescent="0.2"/>
    <row r="97" s="34" customFormat="1" x14ac:dyDescent="0.2"/>
    <row r="98" s="34" customFormat="1" x14ac:dyDescent="0.2"/>
    <row r="99" s="34" customFormat="1" x14ac:dyDescent="0.2"/>
    <row r="100" s="34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8505-DBD7-CE42-AB09-237B6D10F05E}">
  <dimension ref="A2:G18"/>
  <sheetViews>
    <sheetView workbookViewId="0">
      <selection activeCell="C22" sqref="C22"/>
    </sheetView>
  </sheetViews>
  <sheetFormatPr baseColWidth="10" defaultRowHeight="16" x14ac:dyDescent="0.2"/>
  <sheetData>
    <row r="2" spans="1:7" x14ac:dyDescent="0.2">
      <c r="A2" t="s">
        <v>259</v>
      </c>
    </row>
    <row r="3" spans="1:7" x14ac:dyDescent="0.2">
      <c r="A3" t="s">
        <v>257</v>
      </c>
      <c r="B3" t="s">
        <v>258</v>
      </c>
    </row>
    <row r="4" spans="1:7" x14ac:dyDescent="0.2">
      <c r="A4" t="s">
        <v>254</v>
      </c>
      <c r="B4" t="s">
        <v>255</v>
      </c>
    </row>
    <row r="5" spans="1:7" x14ac:dyDescent="0.2">
      <c r="A5" t="s">
        <v>262</v>
      </c>
      <c r="B5" t="s">
        <v>256</v>
      </c>
    </row>
    <row r="6" spans="1:7" x14ac:dyDescent="0.2">
      <c r="A6" t="s">
        <v>260</v>
      </c>
      <c r="B6" t="s">
        <v>261</v>
      </c>
    </row>
    <row r="10" spans="1:7" x14ac:dyDescent="0.2">
      <c r="B10" t="s">
        <v>301</v>
      </c>
      <c r="C10" t="s">
        <v>304</v>
      </c>
      <c r="D10" t="s">
        <v>300</v>
      </c>
      <c r="F10" t="s">
        <v>305</v>
      </c>
      <c r="G10" t="s">
        <v>304</v>
      </c>
    </row>
    <row r="11" spans="1:7" x14ac:dyDescent="0.2">
      <c r="A11" s="2" t="s">
        <v>299</v>
      </c>
    </row>
    <row r="12" spans="1:7" x14ac:dyDescent="0.2">
      <c r="A12" t="s">
        <v>300</v>
      </c>
      <c r="B12">
        <v>6.95</v>
      </c>
      <c r="C12">
        <f>B12*3</f>
        <v>20.85</v>
      </c>
      <c r="D12">
        <f>B12*12</f>
        <v>83.4</v>
      </c>
      <c r="F12">
        <f>B12*12*1000</f>
        <v>83400</v>
      </c>
      <c r="G12">
        <f>F12/4</f>
        <v>20850</v>
      </c>
    </row>
    <row r="13" spans="1:7" x14ac:dyDescent="0.2">
      <c r="A13" t="s">
        <v>302</v>
      </c>
      <c r="B13">
        <v>8.4499999999999993</v>
      </c>
      <c r="C13">
        <f t="shared" ref="C13:C14" si="0">B13*3</f>
        <v>25.349999999999998</v>
      </c>
      <c r="D13">
        <f t="shared" ref="D13:D14" si="1">B13*12</f>
        <v>101.39999999999999</v>
      </c>
      <c r="F13">
        <f t="shared" ref="F13:F14" si="2">B13*12*1000</f>
        <v>101399.99999999999</v>
      </c>
      <c r="G13">
        <f>F13/4</f>
        <v>25349.999999999996</v>
      </c>
    </row>
    <row r="14" spans="1:7" x14ac:dyDescent="0.2">
      <c r="A14" t="s">
        <v>303</v>
      </c>
      <c r="B14">
        <v>13.95</v>
      </c>
      <c r="C14">
        <f t="shared" si="0"/>
        <v>41.849999999999994</v>
      </c>
      <c r="D14">
        <f t="shared" si="1"/>
        <v>167.39999999999998</v>
      </c>
      <c r="F14">
        <f t="shared" si="2"/>
        <v>167399.99999999997</v>
      </c>
      <c r="G14">
        <f>F14/4</f>
        <v>41849.999999999993</v>
      </c>
    </row>
    <row r="16" spans="1:7" x14ac:dyDescent="0.2">
      <c r="A16" s="2" t="s">
        <v>308</v>
      </c>
    </row>
    <row r="17" spans="1:4" x14ac:dyDescent="0.2">
      <c r="A17" t="s">
        <v>307</v>
      </c>
      <c r="B17">
        <v>19.95</v>
      </c>
      <c r="C17">
        <f t="shared" ref="C17:C18" si="3">B17*3</f>
        <v>59.849999999999994</v>
      </c>
      <c r="D17">
        <f t="shared" ref="D17" si="4">B17*12</f>
        <v>239.39999999999998</v>
      </c>
    </row>
    <row r="18" spans="1:4" x14ac:dyDescent="0.2">
      <c r="A18" t="s">
        <v>306</v>
      </c>
      <c r="B18">
        <v>15.95</v>
      </c>
      <c r="C18">
        <f t="shared" si="3"/>
        <v>47.849999999999994</v>
      </c>
      <c r="D18">
        <f t="shared" ref="D18" si="5">B18*12</f>
        <v>191.39999999999998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0EFE-FCDC-2B46-8511-3E168D1AB5E7}">
  <dimension ref="A1:AW205"/>
  <sheetViews>
    <sheetView tabSelected="1" zoomScale="108" zoomScaleNormal="81" workbookViewId="0">
      <pane xSplit="1" ySplit="4" topLeftCell="AB50" activePane="bottomRight" state="frozen"/>
      <selection pane="topRight" activeCell="B1" sqref="B1"/>
      <selection pane="bottomLeft" activeCell="A3" sqref="A3"/>
      <selection pane="bottomRight" activeCell="AA79" sqref="AA79"/>
    </sheetView>
  </sheetViews>
  <sheetFormatPr baseColWidth="10" defaultRowHeight="16" outlineLevelRow="1" outlineLevelCol="1" x14ac:dyDescent="0.2"/>
  <cols>
    <col min="1" max="1" width="45.33203125" customWidth="1"/>
    <col min="2" max="13" width="0" hidden="1" customWidth="1" outlineLevel="1"/>
    <col min="14" max="14" width="10.83203125" collapsed="1"/>
    <col min="28" max="29" width="10.83203125" customWidth="1"/>
  </cols>
  <sheetData>
    <row r="1" spans="1:49" s="27" customFormat="1" ht="45" customHeight="1" x14ac:dyDescent="0.2">
      <c r="A1" s="29"/>
      <c r="AC1"/>
    </row>
    <row r="2" spans="1:49" s="27" customFormat="1" ht="25" customHeight="1" x14ac:dyDescent="0.25">
      <c r="A2" s="30" t="s">
        <v>165</v>
      </c>
    </row>
    <row r="3" spans="1:49" s="2" customFormat="1" x14ac:dyDescent="0.2">
      <c r="A3" t="s">
        <v>164</v>
      </c>
      <c r="B3" s="2" t="s">
        <v>199</v>
      </c>
      <c r="C3" s="2" t="s">
        <v>200</v>
      </c>
      <c r="D3" s="2" t="s">
        <v>201</v>
      </c>
      <c r="E3" s="2" t="s">
        <v>202</v>
      </c>
      <c r="F3" s="2" t="s">
        <v>203</v>
      </c>
      <c r="G3" s="2" t="s">
        <v>204</v>
      </c>
      <c r="H3" s="2" t="s">
        <v>205</v>
      </c>
      <c r="I3" s="2" t="s">
        <v>206</v>
      </c>
      <c r="J3" s="2" t="s">
        <v>207</v>
      </c>
      <c r="K3" s="2" t="s">
        <v>208</v>
      </c>
      <c r="L3" s="2" t="s">
        <v>209</v>
      </c>
      <c r="M3" s="2" t="s">
        <v>210</v>
      </c>
      <c r="N3" s="2" t="s">
        <v>211</v>
      </c>
      <c r="O3" s="2" t="s">
        <v>212</v>
      </c>
      <c r="P3" s="2" t="s">
        <v>213</v>
      </c>
      <c r="Q3" s="2" t="s">
        <v>214</v>
      </c>
      <c r="R3" s="2" t="s">
        <v>155</v>
      </c>
      <c r="S3" s="2" t="s">
        <v>156</v>
      </c>
      <c r="T3" s="2" t="s">
        <v>157</v>
      </c>
      <c r="U3" s="2" t="s">
        <v>158</v>
      </c>
      <c r="V3" s="2" t="s">
        <v>8</v>
      </c>
      <c r="W3" s="2" t="s">
        <v>91</v>
      </c>
      <c r="X3" s="2" t="s">
        <v>92</v>
      </c>
      <c r="Y3" s="2" t="s">
        <v>93</v>
      </c>
      <c r="Z3" s="2" t="s">
        <v>9</v>
      </c>
      <c r="AA3" s="2" t="s">
        <v>94</v>
      </c>
      <c r="AB3" s="2" t="s">
        <v>298</v>
      </c>
      <c r="AC3" s="2" t="s">
        <v>322</v>
      </c>
      <c r="AD3" s="2" t="s">
        <v>323</v>
      </c>
      <c r="AE3" s="2" t="s">
        <v>324</v>
      </c>
      <c r="AF3" s="2" t="s">
        <v>325</v>
      </c>
      <c r="AG3" s="2" t="s">
        <v>326</v>
      </c>
      <c r="AH3" s="2" t="s">
        <v>327</v>
      </c>
      <c r="AI3" s="2" t="s">
        <v>328</v>
      </c>
      <c r="AJ3" s="2" t="s">
        <v>329</v>
      </c>
      <c r="AK3" s="2" t="s">
        <v>330</v>
      </c>
      <c r="AL3" s="2" t="s">
        <v>331</v>
      </c>
      <c r="AM3" s="2" t="s">
        <v>332</v>
      </c>
      <c r="AN3" s="2" t="s">
        <v>333</v>
      </c>
      <c r="AO3" s="2" t="s">
        <v>334</v>
      </c>
      <c r="AQ3" s="2" t="s">
        <v>148</v>
      </c>
      <c r="AR3" s="2" t="s">
        <v>153</v>
      </c>
      <c r="AS3" s="2" t="s">
        <v>0</v>
      </c>
      <c r="AT3" s="2" t="s">
        <v>1</v>
      </c>
      <c r="AU3" s="2" t="s">
        <v>141</v>
      </c>
      <c r="AV3" s="2" t="s">
        <v>142</v>
      </c>
      <c r="AW3" s="2" t="s">
        <v>143</v>
      </c>
    </row>
    <row r="4" spans="1:49" x14ac:dyDescent="0.2">
      <c r="A4" t="s">
        <v>166</v>
      </c>
      <c r="B4" s="1">
        <v>42460</v>
      </c>
      <c r="C4" s="1">
        <v>42551</v>
      </c>
      <c r="D4" s="1">
        <v>42643</v>
      </c>
      <c r="E4" s="1">
        <v>42735</v>
      </c>
      <c r="F4" s="1">
        <f>B4+365</f>
        <v>42825</v>
      </c>
      <c r="G4" s="1">
        <f t="shared" ref="G4:Q4" si="0">C4+365</f>
        <v>42916</v>
      </c>
      <c r="H4" s="1">
        <f t="shared" si="0"/>
        <v>43008</v>
      </c>
      <c r="I4" s="1">
        <f t="shared" si="0"/>
        <v>43100</v>
      </c>
      <c r="J4" s="1">
        <f t="shared" si="0"/>
        <v>43190</v>
      </c>
      <c r="K4" s="1">
        <f t="shared" si="0"/>
        <v>43281</v>
      </c>
      <c r="L4" s="1">
        <f t="shared" si="0"/>
        <v>43373</v>
      </c>
      <c r="M4" s="1">
        <f t="shared" si="0"/>
        <v>43465</v>
      </c>
      <c r="N4" s="1">
        <f t="shared" si="0"/>
        <v>43555</v>
      </c>
      <c r="O4" s="1">
        <f t="shared" si="0"/>
        <v>43646</v>
      </c>
      <c r="P4" s="1">
        <f t="shared" si="0"/>
        <v>43738</v>
      </c>
      <c r="Q4" s="1">
        <f t="shared" si="0"/>
        <v>43830</v>
      </c>
      <c r="R4" s="1">
        <v>43921</v>
      </c>
      <c r="S4" s="1">
        <v>44012</v>
      </c>
      <c r="T4" s="1">
        <v>44104</v>
      </c>
      <c r="U4" s="1">
        <v>44196</v>
      </c>
      <c r="V4" s="1">
        <v>44286</v>
      </c>
      <c r="W4" s="1">
        <v>44377</v>
      </c>
      <c r="X4" s="1">
        <v>44469</v>
      </c>
      <c r="Y4" s="1">
        <v>44561</v>
      </c>
      <c r="Z4" s="1">
        <f t="shared" ref="Z4:AC4" si="1">V4+365</f>
        <v>44651</v>
      </c>
      <c r="AA4" s="1">
        <f t="shared" si="1"/>
        <v>44742</v>
      </c>
      <c r="AB4" s="1">
        <f t="shared" si="1"/>
        <v>44834</v>
      </c>
      <c r="AC4" s="1">
        <f t="shared" si="1"/>
        <v>44926</v>
      </c>
      <c r="AD4" s="1">
        <f>Z4+365</f>
        <v>45016</v>
      </c>
      <c r="AE4" s="1">
        <f>AA4+365</f>
        <v>45107</v>
      </c>
      <c r="AF4" s="1">
        <f>AB4+365</f>
        <v>45199</v>
      </c>
      <c r="AG4" s="1">
        <f>AC4+365</f>
        <v>45291</v>
      </c>
      <c r="AH4" s="1">
        <f>AD4+366</f>
        <v>45382</v>
      </c>
      <c r="AI4" s="1">
        <f>AE4+366</f>
        <v>45473</v>
      </c>
      <c r="AJ4" s="1">
        <f>AF4+366</f>
        <v>45565</v>
      </c>
      <c r="AK4" s="1">
        <f>AG4+366</f>
        <v>45657</v>
      </c>
      <c r="AL4" s="1">
        <f>AH4+365</f>
        <v>45747</v>
      </c>
      <c r="AM4" s="1">
        <f>AI4+365</f>
        <v>45838</v>
      </c>
      <c r="AN4" s="1">
        <f>AJ4+365</f>
        <v>45930</v>
      </c>
      <c r="AO4" s="1">
        <f>AK4+365</f>
        <v>46022</v>
      </c>
      <c r="AQ4">
        <v>2019</v>
      </c>
      <c r="AR4">
        <v>2020</v>
      </c>
      <c r="AS4">
        <v>2021</v>
      </c>
      <c r="AT4">
        <v>2022</v>
      </c>
      <c r="AU4">
        <v>2023</v>
      </c>
      <c r="AV4">
        <v>2024</v>
      </c>
      <c r="AW4">
        <v>2025</v>
      </c>
    </row>
    <row r="5" spans="1:49" s="3" customFormat="1" x14ac:dyDescent="0.2">
      <c r="A5" s="3" t="s">
        <v>14</v>
      </c>
      <c r="V5" s="4"/>
      <c r="W5" s="4"/>
      <c r="X5" s="4"/>
      <c r="Y5" s="4"/>
      <c r="Z5" s="4"/>
    </row>
    <row r="6" spans="1:49" x14ac:dyDescent="0.2">
      <c r="A6" t="s">
        <v>100</v>
      </c>
      <c r="J6">
        <v>56277</v>
      </c>
      <c r="K6">
        <v>61849</v>
      </c>
      <c r="L6">
        <v>54201</v>
      </c>
      <c r="M6">
        <f>253985-L6-K6-J6</f>
        <v>81658</v>
      </c>
      <c r="N6">
        <v>75292</v>
      </c>
      <c r="O6">
        <v>80307</v>
      </c>
      <c r="P6">
        <v>69304</v>
      </c>
      <c r="Q6">
        <f>332221-P6-O6-N6</f>
        <v>107318</v>
      </c>
      <c r="R6">
        <v>100359</v>
      </c>
      <c r="S6">
        <v>126004</v>
      </c>
      <c r="T6">
        <v>118895</v>
      </c>
      <c r="U6">
        <f>521228-T6-S6-R6</f>
        <v>175970</v>
      </c>
      <c r="V6">
        <v>162351</v>
      </c>
      <c r="W6">
        <v>173513</v>
      </c>
      <c r="X6">
        <v>146790</v>
      </c>
      <c r="Y6">
        <f>669894-X6-W6-V6</f>
        <v>187240</v>
      </c>
      <c r="Z6">
        <v>184812</v>
      </c>
      <c r="AA6">
        <v>189076</v>
      </c>
      <c r="AB6">
        <v>159264</v>
      </c>
      <c r="AC6" s="6">
        <v>205193</v>
      </c>
      <c r="AD6" s="6">
        <v>168440</v>
      </c>
      <c r="AE6" s="6">
        <f>AA6*(1+AE28)</f>
        <v>160714.6</v>
      </c>
      <c r="AF6" s="6">
        <f>AB6*(1+AF28)</f>
        <v>143337.60000000001</v>
      </c>
      <c r="AG6" s="6">
        <f>AC6*(1+AG28)</f>
        <v>164154.40000000002</v>
      </c>
      <c r="AH6" s="6">
        <f>AD6*(1+AH28)</f>
        <v>134752</v>
      </c>
      <c r="AI6" s="6">
        <f>AE6*(1+AI28)</f>
        <v>128571.68000000001</v>
      </c>
      <c r="AJ6" s="6">
        <f>AF6*(1+AJ28)</f>
        <v>114670.08000000002</v>
      </c>
      <c r="AK6" s="6">
        <f>AG6*(1+AK28)</f>
        <v>131323.52000000002</v>
      </c>
      <c r="AL6" s="6">
        <f>AH6*(1+AL28)</f>
        <v>107801.60000000001</v>
      </c>
      <c r="AM6" s="6">
        <f>AI6*(1+AM28)</f>
        <v>102857.34400000001</v>
      </c>
      <c r="AN6" s="6">
        <f>AJ6*(1+AN28)</f>
        <v>91736.064000000013</v>
      </c>
      <c r="AO6" s="6">
        <f>AK6*(1+AO28)</f>
        <v>105058.81600000002</v>
      </c>
      <c r="AQ6" s="6">
        <f>SUM(N6:Q6)</f>
        <v>332221</v>
      </c>
      <c r="AR6">
        <f>SUM(R6:U6)</f>
        <v>521228</v>
      </c>
      <c r="AS6">
        <f>SUM(V6:Y6)</f>
        <v>669894</v>
      </c>
      <c r="AT6">
        <f>SUM(Z6:AC6)</f>
        <v>738345</v>
      </c>
      <c r="AU6" s="6">
        <f>SUM(AD6:AG6)</f>
        <v>636646.6</v>
      </c>
      <c r="AV6" s="6">
        <f>SUM(AH6:AK6)</f>
        <v>509317.28</v>
      </c>
      <c r="AW6" s="6">
        <f>SUM(AL6:AO6)</f>
        <v>407453.82400000002</v>
      </c>
    </row>
    <row r="7" spans="1:49" x14ac:dyDescent="0.2">
      <c r="A7" t="s">
        <v>335</v>
      </c>
      <c r="AC7" s="6"/>
      <c r="AD7" s="6">
        <v>19161</v>
      </c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Q7" s="6"/>
      <c r="AU7" s="6">
        <f>SUM(AD7:AG7)</f>
        <v>19161</v>
      </c>
      <c r="AV7" s="6">
        <f>SUM(AH7:AK7)</f>
        <v>0</v>
      </c>
      <c r="AW7" s="6">
        <f>SUM(AL7:AO7)</f>
        <v>0</v>
      </c>
    </row>
    <row r="8" spans="1:49" x14ac:dyDescent="0.2">
      <c r="Z8" s="6"/>
      <c r="AA8" s="6"/>
      <c r="AB8" s="6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</row>
    <row r="9" spans="1:49" x14ac:dyDescent="0.2">
      <c r="A9" t="s">
        <v>232</v>
      </c>
      <c r="N9" s="7">
        <v>14.95</v>
      </c>
      <c r="O9" s="7">
        <v>14.95</v>
      </c>
      <c r="P9" s="7">
        <v>14.95</v>
      </c>
      <c r="Q9" s="7">
        <v>14.95</v>
      </c>
      <c r="R9" s="7">
        <v>14.95</v>
      </c>
      <c r="S9" s="7">
        <v>14.95</v>
      </c>
      <c r="T9" s="7">
        <v>14.95</v>
      </c>
      <c r="U9" s="7">
        <v>14.95</v>
      </c>
      <c r="V9" s="7">
        <v>14.95</v>
      </c>
      <c r="W9" s="7">
        <v>14.95</v>
      </c>
      <c r="X9" s="7">
        <v>14.95</v>
      </c>
      <c r="Y9" s="7">
        <v>14.95</v>
      </c>
      <c r="Z9" s="7">
        <v>14.95</v>
      </c>
      <c r="AA9" s="7">
        <v>15.95</v>
      </c>
      <c r="AB9" s="7">
        <v>15.95</v>
      </c>
      <c r="AC9" s="7">
        <v>15.95</v>
      </c>
      <c r="AD9" s="7">
        <v>15.95</v>
      </c>
      <c r="AE9" s="7">
        <v>15.95</v>
      </c>
      <c r="AF9" s="7">
        <v>15.95</v>
      </c>
      <c r="AG9" s="7">
        <v>15.95</v>
      </c>
      <c r="AH9" s="7">
        <v>15.95</v>
      </c>
      <c r="AI9" s="7">
        <v>15.95</v>
      </c>
      <c r="AJ9" s="7">
        <v>15.95</v>
      </c>
      <c r="AK9" s="7">
        <v>15.95</v>
      </c>
      <c r="AL9" s="7">
        <v>15.95</v>
      </c>
      <c r="AM9" s="7">
        <v>15.95</v>
      </c>
      <c r="AN9" s="7">
        <v>15.95</v>
      </c>
      <c r="AO9" s="7">
        <v>15.95</v>
      </c>
    </row>
    <row r="10" spans="1:49" x14ac:dyDescent="0.2">
      <c r="A10" t="s">
        <v>233</v>
      </c>
      <c r="N10" s="7">
        <v>19.95</v>
      </c>
      <c r="O10" s="7">
        <v>19.95</v>
      </c>
      <c r="P10" s="7">
        <v>19.95</v>
      </c>
      <c r="Q10" s="7">
        <v>19.95</v>
      </c>
      <c r="R10" s="7">
        <v>19.95</v>
      </c>
      <c r="S10" s="7">
        <v>19.95</v>
      </c>
      <c r="T10" s="7">
        <v>19.95</v>
      </c>
      <c r="U10" s="7">
        <v>19.95</v>
      </c>
      <c r="V10" s="7">
        <v>19.95</v>
      </c>
      <c r="W10" s="7">
        <v>19.95</v>
      </c>
      <c r="X10" s="7">
        <v>19.95</v>
      </c>
      <c r="Y10" s="7">
        <v>19.95</v>
      </c>
      <c r="Z10" s="7">
        <v>19.95</v>
      </c>
      <c r="AA10" s="7">
        <v>19.95</v>
      </c>
      <c r="AB10" s="7">
        <v>19.95</v>
      </c>
      <c r="AC10" s="7">
        <v>19.95</v>
      </c>
      <c r="AD10" s="7">
        <v>19.95</v>
      </c>
      <c r="AE10" s="7">
        <v>19.95</v>
      </c>
      <c r="AF10" s="7">
        <v>19.95</v>
      </c>
      <c r="AG10" s="7">
        <v>19.95</v>
      </c>
      <c r="AH10" s="7">
        <v>19.95</v>
      </c>
      <c r="AI10" s="7">
        <v>19.95</v>
      </c>
      <c r="AJ10" s="7">
        <v>19.95</v>
      </c>
      <c r="AK10" s="7">
        <v>19.95</v>
      </c>
      <c r="AL10" s="7">
        <v>19.95</v>
      </c>
      <c r="AM10" s="7">
        <v>19.95</v>
      </c>
      <c r="AN10" s="7">
        <v>19.95</v>
      </c>
      <c r="AO10" s="7">
        <v>19.95</v>
      </c>
    </row>
    <row r="11" spans="1:49" x14ac:dyDescent="0.2">
      <c r="A11" t="s">
        <v>275</v>
      </c>
      <c r="V11">
        <v>4.8</v>
      </c>
      <c r="W11">
        <v>4.9000000000000004</v>
      </c>
      <c r="X11">
        <v>4.4000000000000004</v>
      </c>
      <c r="Y11">
        <v>4.5999999999999996</v>
      </c>
      <c r="Z11">
        <v>5.4</v>
      </c>
      <c r="AA11" s="8">
        <v>5.3</v>
      </c>
      <c r="AB11" s="8">
        <v>4.7</v>
      </c>
      <c r="AC11" s="8">
        <v>5</v>
      </c>
      <c r="AD11" s="8">
        <v>5.0999999999999996</v>
      </c>
      <c r="AE11" s="8">
        <f>AA11*0.95</f>
        <v>5.0349999999999993</v>
      </c>
      <c r="AF11" s="8">
        <f t="shared" ref="AF11:AO11" si="2">AB11*0.95</f>
        <v>4.4649999999999999</v>
      </c>
      <c r="AG11" s="8">
        <f t="shared" si="2"/>
        <v>4.75</v>
      </c>
      <c r="AH11" s="8">
        <f t="shared" si="2"/>
        <v>4.8449999999999998</v>
      </c>
      <c r="AI11" s="8">
        <f t="shared" si="2"/>
        <v>4.7832499999999989</v>
      </c>
      <c r="AJ11" s="8">
        <f t="shared" si="2"/>
        <v>4.2417499999999997</v>
      </c>
      <c r="AK11" s="8">
        <f t="shared" si="2"/>
        <v>4.5125000000000002</v>
      </c>
      <c r="AL11" s="8">
        <f t="shared" si="2"/>
        <v>4.6027499999999995</v>
      </c>
      <c r="AM11" s="8">
        <f t="shared" si="2"/>
        <v>4.5440874999999989</v>
      </c>
      <c r="AN11" s="8">
        <f t="shared" si="2"/>
        <v>4.0296624999999997</v>
      </c>
      <c r="AO11" s="8">
        <f t="shared" si="2"/>
        <v>4.2868750000000002</v>
      </c>
      <c r="AQ11" s="25" t="e">
        <f>AQ6/AQ12/1000</f>
        <v>#DIV/0!</v>
      </c>
      <c r="AR11" s="25" t="e">
        <f>AR6/AR12/1000</f>
        <v>#DIV/0!</v>
      </c>
      <c r="AS11" s="25">
        <f>AS6/AS12/1000</f>
        <v>4.674777551530191</v>
      </c>
      <c r="AT11" s="25">
        <f>AT6/AT12/1000</f>
        <v>5.0942210831587165</v>
      </c>
      <c r="AU11" s="25">
        <f>AU6/AU12/1000</f>
        <v>4.8374371697275151</v>
      </c>
      <c r="AV11" s="25">
        <f>AV6/AV12/1000</f>
        <v>4.5955653112411401</v>
      </c>
      <c r="AW11" s="25">
        <f>AW6/AW12/1000</f>
        <v>4.3657870456790828</v>
      </c>
    </row>
    <row r="12" spans="1:49" x14ac:dyDescent="0.2">
      <c r="A12" t="s">
        <v>234</v>
      </c>
      <c r="V12" s="8">
        <f>V6/V11/1000</f>
        <v>33.823124999999997</v>
      </c>
      <c r="W12" s="8">
        <f>W6/W11/1000</f>
        <v>35.410816326530608</v>
      </c>
      <c r="X12" s="8">
        <f>X6/X11/1000</f>
        <v>33.361363636363635</v>
      </c>
      <c r="Y12" s="8">
        <f>Y6/Y11/1000</f>
        <v>40.704347826086959</v>
      </c>
      <c r="Z12" s="8">
        <f>Z6/Z11/1000</f>
        <v>34.224444444444444</v>
      </c>
      <c r="AA12" s="8">
        <f>AA6/AA11/1000</f>
        <v>35.674716981132079</v>
      </c>
      <c r="AB12" s="6">
        <v>34</v>
      </c>
      <c r="AC12" s="6">
        <f>AC6/AC11/1000</f>
        <v>41.038599999999995</v>
      </c>
      <c r="AD12" s="6">
        <f>AD6/AD11/1000</f>
        <v>33.02745098039216</v>
      </c>
      <c r="AE12" s="6">
        <f>AE6/AE11/1000</f>
        <v>31.919483614697125</v>
      </c>
      <c r="AF12" s="6">
        <f>AF6/AF11/1000</f>
        <v>32.102486002239644</v>
      </c>
      <c r="AG12" s="6">
        <f>AG6/AG11/1000</f>
        <v>34.558821052631579</v>
      </c>
      <c r="AH12" s="6">
        <f>AH6/AH11/1000</f>
        <v>27.812590299277606</v>
      </c>
      <c r="AI12" s="6">
        <f>AI6/AI11/1000</f>
        <v>26.879565149218639</v>
      </c>
      <c r="AJ12" s="6">
        <f>AJ6/AJ11/1000</f>
        <v>27.033672422938654</v>
      </c>
      <c r="AK12" s="6">
        <f>AK6/AK11/1000</f>
        <v>29.102165096952913</v>
      </c>
      <c r="AL12" s="6">
        <f>AL6/AL11/1000</f>
        <v>23.421128673075884</v>
      </c>
      <c r="AM12" s="6">
        <f>AM6/AM11/1000</f>
        <v>22.635423283552537</v>
      </c>
      <c r="AN12" s="6">
        <f>AN6/AN11/1000</f>
        <v>22.765197829843075</v>
      </c>
      <c r="AO12" s="6">
        <f>AO6/AO11/1000</f>
        <v>24.507086397434033</v>
      </c>
      <c r="AQ12">
        <f>SUM(N12:Q12)</f>
        <v>0</v>
      </c>
      <c r="AR12">
        <f>SUM(R12:U12)</f>
        <v>0</v>
      </c>
      <c r="AS12" s="6">
        <f>SUM(V12:Y12)</f>
        <v>143.29965278898121</v>
      </c>
      <c r="AT12" s="6">
        <f>SUM(Z12:AC12)</f>
        <v>144.93776142557653</v>
      </c>
      <c r="AU12" s="6">
        <f>SUM(AD12:AG12)</f>
        <v>131.60824164996052</v>
      </c>
      <c r="AV12" s="6">
        <f>SUM(AH12:AK12)</f>
        <v>110.82799296838782</v>
      </c>
      <c r="AW12" s="6">
        <f>SUM(AL12:AO12)</f>
        <v>93.328836183905537</v>
      </c>
    </row>
    <row r="13" spans="1:49" x14ac:dyDescent="0.2">
      <c r="AA13" s="8"/>
      <c r="AB13" s="8"/>
    </row>
    <row r="14" spans="1:49" x14ac:dyDescent="0.2">
      <c r="A14" t="s">
        <v>101</v>
      </c>
      <c r="J14">
        <v>20672</v>
      </c>
      <c r="K14">
        <v>12373</v>
      </c>
      <c r="L14">
        <v>20036</v>
      </c>
      <c r="M14">
        <f>67009-L14-K14-J14</f>
        <v>13928</v>
      </c>
      <c r="N14">
        <v>22177</v>
      </c>
      <c r="O14">
        <v>13555</v>
      </c>
      <c r="P14">
        <v>24847</v>
      </c>
      <c r="Q14">
        <f>78705-P14-O14-N14</f>
        <v>18126</v>
      </c>
      <c r="R14">
        <v>31231</v>
      </c>
      <c r="S14">
        <v>27005</v>
      </c>
      <c r="T14">
        <v>35123</v>
      </c>
      <c r="U14">
        <f>123110-T14-S14-R14</f>
        <v>29751</v>
      </c>
      <c r="V14">
        <v>36027</v>
      </c>
      <c r="W14">
        <v>24965</v>
      </c>
      <c r="X14">
        <v>25152</v>
      </c>
      <c r="Y14">
        <f>106371-X14-W14-V14</f>
        <v>20227</v>
      </c>
      <c r="Z14">
        <v>17432</v>
      </c>
      <c r="AA14">
        <v>5645</v>
      </c>
      <c r="AB14">
        <v>5475</v>
      </c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Q14" s="2">
        <f>SUM(N14:Q14)</f>
        <v>78705</v>
      </c>
      <c r="AR14" s="2">
        <f>SUM(R14:U14)</f>
        <v>123110</v>
      </c>
      <c r="AS14" s="2">
        <f>SUM(V14:Y14)</f>
        <v>106371</v>
      </c>
      <c r="AT14" s="20">
        <f>SUM(Z14:AC14)</f>
        <v>28552</v>
      </c>
      <c r="AU14" s="20">
        <f>SUM(AD14:AG14)</f>
        <v>0</v>
      </c>
      <c r="AV14" s="20">
        <f>SUM(AH14:AK14)</f>
        <v>0</v>
      </c>
      <c r="AW14" s="20">
        <f>SUM(AL14:AO14)</f>
        <v>0</v>
      </c>
    </row>
    <row r="15" spans="1:49" hidden="1" outlineLevel="1" x14ac:dyDescent="0.2">
      <c r="A15" t="s">
        <v>104</v>
      </c>
      <c r="R15">
        <v>12300</v>
      </c>
      <c r="S15">
        <v>11100</v>
      </c>
      <c r="T15">
        <v>12000</v>
      </c>
      <c r="U15">
        <f>50800-T15-S15-R15</f>
        <v>15400</v>
      </c>
      <c r="V15">
        <v>10700</v>
      </c>
      <c r="W15">
        <v>10000</v>
      </c>
      <c r="X15">
        <v>6200</v>
      </c>
      <c r="Y15">
        <f>34600-X15-W15-V15</f>
        <v>7700</v>
      </c>
      <c r="Z15">
        <v>4800</v>
      </c>
      <c r="AA15">
        <v>300</v>
      </c>
    </row>
    <row r="16" spans="1:49" s="2" customFormat="1" collapsed="1" x14ac:dyDescent="0.2">
      <c r="A16" s="2" t="s">
        <v>2</v>
      </c>
      <c r="N16" s="2">
        <f>N14+N6</f>
        <v>97469</v>
      </c>
      <c r="O16" s="2">
        <f>O14+O6</f>
        <v>93862</v>
      </c>
      <c r="P16" s="2">
        <f>P14+P6</f>
        <v>94151</v>
      </c>
      <c r="Q16" s="2">
        <f>Q14+Q6</f>
        <v>125444</v>
      </c>
      <c r="R16" s="2">
        <f>R14+R6</f>
        <v>131590</v>
      </c>
      <c r="S16" s="2">
        <f>S14+S6</f>
        <v>153009</v>
      </c>
      <c r="T16" s="2">
        <f>T14+T6</f>
        <v>154018</v>
      </c>
      <c r="U16" s="2">
        <f>U14+U6</f>
        <v>205721</v>
      </c>
      <c r="V16" s="2">
        <f>V14+V6</f>
        <v>198378</v>
      </c>
      <c r="W16" s="2">
        <f>W14+W6</f>
        <v>198478</v>
      </c>
      <c r="X16" s="2">
        <f>X14+X6</f>
        <v>171942</v>
      </c>
      <c r="Y16" s="2">
        <f>Y14+Y6</f>
        <v>207467</v>
      </c>
      <c r="Z16" s="2">
        <f>Z14+Z6</f>
        <v>202244</v>
      </c>
      <c r="AA16" s="2">
        <f>AA14+AA6</f>
        <v>194721</v>
      </c>
      <c r="AB16" s="20">
        <f>AB14+AB6</f>
        <v>164739</v>
      </c>
      <c r="AC16" s="20">
        <f>AC14+AC6</f>
        <v>205193</v>
      </c>
      <c r="AD16" s="20">
        <f>AD14+AD6+AD7</f>
        <v>187601</v>
      </c>
      <c r="AE16" s="20">
        <f>AE14+AE6</f>
        <v>160714.6</v>
      </c>
      <c r="AF16" s="20">
        <f>AF14+AF6</f>
        <v>143337.60000000001</v>
      </c>
      <c r="AG16" s="20">
        <f>AG14+AG6</f>
        <v>164154.40000000002</v>
      </c>
      <c r="AH16" s="20">
        <f>AH14+AH6</f>
        <v>134752</v>
      </c>
      <c r="AI16" s="20">
        <f>AI14+AI6</f>
        <v>128571.68000000001</v>
      </c>
      <c r="AJ16" s="20">
        <f>AJ14+AJ6</f>
        <v>114670.08000000002</v>
      </c>
      <c r="AK16" s="20">
        <f>AK14+AK6</f>
        <v>131323.52000000002</v>
      </c>
      <c r="AL16" s="20">
        <f>AL14+AL6</f>
        <v>107801.60000000001</v>
      </c>
      <c r="AM16" s="20">
        <f>AM14+AM6</f>
        <v>102857.34400000001</v>
      </c>
      <c r="AN16" s="20">
        <f>AN14+AN6</f>
        <v>91736.064000000013</v>
      </c>
      <c r="AO16" s="20">
        <f>AO14+AO6</f>
        <v>105058.81600000002</v>
      </c>
      <c r="AQ16" s="2">
        <f>SUM(N16:Q16)</f>
        <v>410926</v>
      </c>
      <c r="AR16" s="2">
        <f>SUM(R16:U16)</f>
        <v>644338</v>
      </c>
      <c r="AS16" s="2">
        <f>SUM(V16:Y16)</f>
        <v>776265</v>
      </c>
      <c r="AT16" s="20">
        <f>SUM(Z16:AC16)</f>
        <v>766897</v>
      </c>
      <c r="AU16" s="20">
        <f>SUM(AD16:AG16)</f>
        <v>655807.6</v>
      </c>
      <c r="AV16" s="20">
        <f>SUM(AH16:AK16)</f>
        <v>509317.28</v>
      </c>
      <c r="AW16" s="20">
        <f>SUM(AL16:AO16)</f>
        <v>407453.82400000002</v>
      </c>
    </row>
    <row r="17" spans="1:49" s="2" customFormat="1" x14ac:dyDescent="0.2"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T17" s="20"/>
      <c r="AU17" s="20"/>
      <c r="AV17" s="20"/>
      <c r="AW17" s="20"/>
    </row>
    <row r="18" spans="1:49" s="2" customFormat="1" x14ac:dyDescent="0.2"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T18" s="20"/>
      <c r="AU18" s="20"/>
      <c r="AV18" s="20"/>
      <c r="AW18" s="20"/>
    </row>
    <row r="19" spans="1:49" s="2" customFormat="1" x14ac:dyDescent="0.2"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T19" s="20"/>
      <c r="AU19" s="20"/>
      <c r="AV19" s="20"/>
      <c r="AW19" s="20"/>
    </row>
    <row r="20" spans="1:49" s="11" customFormat="1" x14ac:dyDescent="0.2">
      <c r="A20" s="11" t="s">
        <v>271</v>
      </c>
      <c r="Z20" s="12">
        <f>Z11/V11-1</f>
        <v>0.12500000000000022</v>
      </c>
      <c r="AA20" s="12">
        <f>AA11/W11-1</f>
        <v>8.1632653061224358E-2</v>
      </c>
      <c r="AB20" s="12">
        <f>AB11/X11-1</f>
        <v>6.8181818181818121E-2</v>
      </c>
      <c r="AC20" s="36">
        <f>AC11/Y11-1</f>
        <v>8.6956521739130599E-2</v>
      </c>
      <c r="AD20" s="12">
        <f>AD11/Z11-1</f>
        <v>-5.5555555555555691E-2</v>
      </c>
      <c r="AE20" s="12">
        <f>AE11/AA11-1</f>
        <v>-5.0000000000000155E-2</v>
      </c>
      <c r="AF20" s="12">
        <f>AF11/AB11-1</f>
        <v>-5.0000000000000044E-2</v>
      </c>
      <c r="AG20" s="12">
        <f>AG11/AC11-1</f>
        <v>-5.0000000000000044E-2</v>
      </c>
      <c r="AH20" s="12">
        <f>AH11/AD11-1</f>
        <v>-4.9999999999999933E-2</v>
      </c>
      <c r="AI20" s="12">
        <f>AI11/AE11-1</f>
        <v>-5.0000000000000044E-2</v>
      </c>
      <c r="AJ20" s="12">
        <f>AJ11/AF11-1</f>
        <v>-5.0000000000000044E-2</v>
      </c>
      <c r="AK20" s="12">
        <f>AK11/AG11-1</f>
        <v>-4.9999999999999933E-2</v>
      </c>
      <c r="AL20" s="12">
        <f>AL11/AH11-1</f>
        <v>-5.0000000000000044E-2</v>
      </c>
      <c r="AM20" s="12">
        <f>AM11/AI11-1</f>
        <v>-5.0000000000000044E-2</v>
      </c>
      <c r="AN20" s="12">
        <f>AN11/AJ11-1</f>
        <v>-5.0000000000000044E-2</v>
      </c>
      <c r="AO20" s="12">
        <f>AO11/AK11-1</f>
        <v>-5.0000000000000044E-2</v>
      </c>
    </row>
    <row r="21" spans="1:49" s="11" customFormat="1" x14ac:dyDescent="0.2">
      <c r="A21" s="11" t="s">
        <v>272</v>
      </c>
      <c r="W21" s="12">
        <f>W11/V11-1</f>
        <v>2.0833333333333481E-2</v>
      </c>
      <c r="X21" s="12">
        <f>X11/W11-1</f>
        <v>-0.10204081632653061</v>
      </c>
      <c r="Y21" s="12">
        <f>Y11/X11-1</f>
        <v>4.5454545454545192E-2</v>
      </c>
      <c r="Z21" s="12">
        <f>Z11/Y11-1</f>
        <v>0.17391304347826098</v>
      </c>
      <c r="AA21" s="12">
        <f>AA11/Z11-1</f>
        <v>-1.8518518518518601E-2</v>
      </c>
      <c r="AB21" s="12">
        <f>AB11/AA11-1</f>
        <v>-0.1132075471698113</v>
      </c>
      <c r="AC21" s="36">
        <f>AC11/AB11-1</f>
        <v>6.3829787234042534E-2</v>
      </c>
      <c r="AD21" s="12">
        <f>AD11/AC11-1</f>
        <v>2.0000000000000018E-2</v>
      </c>
      <c r="AE21" s="12">
        <f>AE11/AD11-1</f>
        <v>-1.2745098039215752E-2</v>
      </c>
      <c r="AF21" s="12">
        <f>AF11/AE11-1</f>
        <v>-0.11320754716981118</v>
      </c>
      <c r="AG21" s="12">
        <f>AG11/AF11-1</f>
        <v>6.3829787234042534E-2</v>
      </c>
      <c r="AH21" s="12">
        <f>AH11/AG11-1</f>
        <v>2.0000000000000018E-2</v>
      </c>
      <c r="AI21" s="12">
        <f>AI11/AH11-1</f>
        <v>-1.2745098039215863E-2</v>
      </c>
      <c r="AJ21" s="12">
        <f>AJ11/AI11-1</f>
        <v>-0.11320754716981118</v>
      </c>
      <c r="AK21" s="12">
        <f>AK11/AJ11-1</f>
        <v>6.3829787234042756E-2</v>
      </c>
      <c r="AL21" s="12">
        <f>AL11/AK11-1</f>
        <v>1.9999999999999796E-2</v>
      </c>
      <c r="AM21" s="12">
        <f>AM11/AL11-1</f>
        <v>-1.2745098039215752E-2</v>
      </c>
      <c r="AN21" s="12">
        <f>AN11/AM11-1</f>
        <v>-0.11320754716981118</v>
      </c>
      <c r="AO21" s="12">
        <f>AO11/AN11-1</f>
        <v>6.3829787234042756E-2</v>
      </c>
    </row>
    <row r="22" spans="1:49" s="11" customFormat="1" x14ac:dyDescent="0.2">
      <c r="A22" s="11" t="s">
        <v>282</v>
      </c>
      <c r="W22" s="12"/>
      <c r="X22" s="12"/>
      <c r="Y22" s="12"/>
      <c r="Z22" s="12" t="e">
        <f>#REF!/#REF!-1</f>
        <v>#REF!</v>
      </c>
      <c r="AA22" s="12" t="e">
        <f>#REF!/#REF!-1</f>
        <v>#REF!</v>
      </c>
      <c r="AB22" s="12" t="e">
        <f>#REF!/#REF!-1</f>
        <v>#REF!</v>
      </c>
      <c r="AC22" s="37">
        <v>-0.08</v>
      </c>
      <c r="AD22" s="22">
        <v>-0.08</v>
      </c>
      <c r="AE22" s="22">
        <v>-0.08</v>
      </c>
      <c r="AF22" s="22">
        <v>-0.08</v>
      </c>
      <c r="AG22" s="22">
        <v>-0.08</v>
      </c>
      <c r="AH22" s="22">
        <v>-0.08</v>
      </c>
      <c r="AI22" s="22">
        <v>-0.08</v>
      </c>
      <c r="AJ22" s="22">
        <v>-0.08</v>
      </c>
      <c r="AK22" s="22">
        <v>-0.08</v>
      </c>
      <c r="AL22" s="22">
        <v>-0.08</v>
      </c>
      <c r="AM22" s="22">
        <v>-0.08</v>
      </c>
      <c r="AN22" s="22">
        <v>-0.08</v>
      </c>
      <c r="AO22" s="22">
        <v>-0.08</v>
      </c>
    </row>
    <row r="23" spans="1:49" s="11" customFormat="1" x14ac:dyDescent="0.2">
      <c r="A23" s="11" t="s">
        <v>283</v>
      </c>
      <c r="W23" s="12"/>
      <c r="X23" s="12"/>
      <c r="Y23" s="12"/>
      <c r="Z23" s="12"/>
      <c r="AA23" s="22">
        <v>-0.05</v>
      </c>
      <c r="AB23" s="22">
        <v>-0.05</v>
      </c>
      <c r="AC23" s="37">
        <v>-0.05</v>
      </c>
      <c r="AD23" s="22">
        <v>-0.05</v>
      </c>
      <c r="AE23" s="22">
        <v>-0.05</v>
      </c>
      <c r="AF23" s="22">
        <v>-0.05</v>
      </c>
      <c r="AG23" s="22">
        <v>-0.05</v>
      </c>
      <c r="AH23" s="22">
        <v>-0.05</v>
      </c>
      <c r="AI23" s="22">
        <v>-0.05</v>
      </c>
      <c r="AJ23" s="22">
        <v>-0.05</v>
      </c>
      <c r="AK23" s="22">
        <v>-0.05</v>
      </c>
      <c r="AL23" s="22">
        <v>-0.05</v>
      </c>
      <c r="AM23" s="22">
        <v>-0.05</v>
      </c>
      <c r="AN23" s="22">
        <v>-0.05</v>
      </c>
      <c r="AO23" s="22">
        <v>-0.05</v>
      </c>
    </row>
    <row r="24" spans="1:49" s="11" customFormat="1" x14ac:dyDescent="0.2">
      <c r="W24" s="12"/>
      <c r="X24" s="12"/>
      <c r="Y24" s="12"/>
      <c r="Z24" s="12"/>
      <c r="AA24" s="12"/>
      <c r="AB24" s="12"/>
      <c r="AC24" s="36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 spans="1:49" s="11" customFormat="1" x14ac:dyDescent="0.2">
      <c r="A25" s="11" t="s">
        <v>273</v>
      </c>
      <c r="Z25" s="12">
        <f>Z12/V12-1</f>
        <v>1.1865238485339491E-2</v>
      </c>
      <c r="AA25" s="12">
        <f>AA12/W12-1</f>
        <v>7.4525436569432557E-3</v>
      </c>
      <c r="AB25" s="12">
        <f>AB12/X12-1</f>
        <v>1.9142993391920493E-2</v>
      </c>
      <c r="AC25" s="36">
        <f>AC12/Y12-1</f>
        <v>8.2117069002347609E-3</v>
      </c>
      <c r="AD25" s="12">
        <f>AD12/Z12-1</f>
        <v>-3.4974810650186816E-2</v>
      </c>
      <c r="AE25" s="12">
        <f>AE12/AA12-1</f>
        <v>-0.10526315789473684</v>
      </c>
      <c r="AF25" s="12">
        <f>AF12/AB12-1</f>
        <v>-5.5809235228245768E-2</v>
      </c>
      <c r="AG25" s="12">
        <f>AG12/AC12-1</f>
        <v>-0.1578947368421052</v>
      </c>
      <c r="AH25" s="12">
        <f>AH12/AD12-1</f>
        <v>-0.15789473684210531</v>
      </c>
      <c r="AI25" s="12">
        <f>AI12/AE12-1</f>
        <v>-0.15789473684210509</v>
      </c>
      <c r="AJ25" s="12">
        <f>AJ12/AF12-1</f>
        <v>-0.15789473684210509</v>
      </c>
      <c r="AK25" s="12">
        <f>AK12/AG12-1</f>
        <v>-0.1578947368421052</v>
      </c>
      <c r="AL25" s="12">
        <f>AL12/AH12-1</f>
        <v>-0.15789473684210509</v>
      </c>
      <c r="AM25" s="12">
        <f>AM12/AI12-1</f>
        <v>-0.15789473684210531</v>
      </c>
      <c r="AN25" s="12">
        <f>AN12/AJ12-1</f>
        <v>-0.15789473684210531</v>
      </c>
      <c r="AO25" s="12">
        <f>AO12/AK12-1</f>
        <v>-0.1578947368421052</v>
      </c>
    </row>
    <row r="26" spans="1:49" s="11" customFormat="1" x14ac:dyDescent="0.2">
      <c r="A26" s="11" t="s">
        <v>274</v>
      </c>
      <c r="W26" s="12">
        <f>W12/V12-1</f>
        <v>4.6941000470258398E-2</v>
      </c>
      <c r="X26" s="12">
        <f>X12/W12-1</f>
        <v>-5.7876459872275632E-2</v>
      </c>
      <c r="Y26" s="12">
        <f>Y12/X12-1</f>
        <v>0.22010443786894629</v>
      </c>
      <c r="Z26" s="12">
        <f>Z12/Y12-1</f>
        <v>-0.15919437916874368</v>
      </c>
      <c r="AA26" s="12">
        <f>AA12/Z12-1</f>
        <v>4.2375341958927004E-2</v>
      </c>
      <c r="AB26" s="12">
        <f>AB12/AA12-1</f>
        <v>-4.6944085976009742E-2</v>
      </c>
      <c r="AC26" s="36">
        <f>AC12/AB12-1</f>
        <v>0.20701764705882342</v>
      </c>
      <c r="AD26" s="12">
        <f>AD12/AC12-1</f>
        <v>-0.19521009536406786</v>
      </c>
      <c r="AE26" s="12">
        <f>AE12/AD12-1</f>
        <v>-3.3546862770391095E-2</v>
      </c>
      <c r="AF26" s="12">
        <f>AF12/AE12-1</f>
        <v>5.7332502540314856E-3</v>
      </c>
      <c r="AG26" s="12">
        <f>AG12/AF12-1</f>
        <v>7.6515415355077776E-2</v>
      </c>
      <c r="AH26" s="12">
        <f>AH12/AG12-1</f>
        <v>-0.19521009536406808</v>
      </c>
      <c r="AI26" s="12">
        <f>AI12/AH12-1</f>
        <v>-3.3546862770390762E-2</v>
      </c>
      <c r="AJ26" s="12">
        <f>AJ12/AI12-1</f>
        <v>5.7332502540314856E-3</v>
      </c>
      <c r="AK26" s="12">
        <f>AK12/AJ12-1</f>
        <v>7.6515415355077554E-2</v>
      </c>
      <c r="AL26" s="12">
        <f>AL12/AK12-1</f>
        <v>-0.19521009536406797</v>
      </c>
      <c r="AM26" s="12">
        <f>AM12/AL12-1</f>
        <v>-3.3546862770390984E-2</v>
      </c>
      <c r="AN26" s="12">
        <f>AN12/AM12-1</f>
        <v>5.7332502540314856E-3</v>
      </c>
      <c r="AO26" s="12">
        <f>AO12/AN12-1</f>
        <v>7.6515415355077776E-2</v>
      </c>
    </row>
    <row r="28" spans="1:49" s="11" customFormat="1" x14ac:dyDescent="0.2">
      <c r="A28" s="11" t="s">
        <v>223</v>
      </c>
      <c r="R28" s="12">
        <f>R6/N6-1</f>
        <v>0.33293045741911498</v>
      </c>
      <c r="S28" s="12">
        <f>S6/O6-1</f>
        <v>0.56902885178128937</v>
      </c>
      <c r="T28" s="12">
        <f>T6/P6-1</f>
        <v>0.71555754357612833</v>
      </c>
      <c r="U28" s="12">
        <f>U6/Q6-1</f>
        <v>0.63970629344564744</v>
      </c>
      <c r="V28" s="12">
        <f>V6/R6-1</f>
        <v>0.61770244821092279</v>
      </c>
      <c r="W28" s="12">
        <f>W6/S6-1</f>
        <v>0.37704358591790732</v>
      </c>
      <c r="X28" s="12">
        <f>X6/T6-1</f>
        <v>0.23461878127759794</v>
      </c>
      <c r="Y28" s="12">
        <f>Y6/U6-1</f>
        <v>6.4045007671762244E-2</v>
      </c>
      <c r="Z28" s="12">
        <f>Z6/V6-1</f>
        <v>0.13834839329600679</v>
      </c>
      <c r="AA28" s="12">
        <f>AA6/W6-1</f>
        <v>8.9693567628938542E-2</v>
      </c>
      <c r="AB28" s="12">
        <f>AB6/X6-1</f>
        <v>8.4978540772532085E-2</v>
      </c>
      <c r="AC28" s="24">
        <v>0.05</v>
      </c>
      <c r="AD28" s="24">
        <v>-0.1</v>
      </c>
      <c r="AE28" s="24">
        <v>-0.15</v>
      </c>
      <c r="AF28" s="24">
        <v>-0.1</v>
      </c>
      <c r="AG28" s="24">
        <v>-0.2</v>
      </c>
      <c r="AH28" s="24">
        <v>-0.2</v>
      </c>
      <c r="AI28" s="24">
        <v>-0.2</v>
      </c>
      <c r="AJ28" s="24">
        <v>-0.2</v>
      </c>
      <c r="AK28" s="24">
        <v>-0.2</v>
      </c>
      <c r="AL28" s="24">
        <v>-0.2</v>
      </c>
      <c r="AM28" s="24">
        <v>-0.2</v>
      </c>
      <c r="AN28" s="24">
        <v>-0.2</v>
      </c>
      <c r="AO28" s="24">
        <v>-0.2</v>
      </c>
      <c r="AR28" s="12">
        <f>AR6/AQ6-1</f>
        <v>0.56891948431917316</v>
      </c>
      <c r="AS28" s="12">
        <f>AS6/AR6-1</f>
        <v>0.28522258973040593</v>
      </c>
      <c r="AT28" s="12">
        <f>AT6/AS6-1</f>
        <v>0.10218183772358014</v>
      </c>
      <c r="AU28" s="12">
        <f>AU6/AT6-1</f>
        <v>-0.13773832016198395</v>
      </c>
      <c r="AV28" s="12">
        <f>AV6/AU6-1</f>
        <v>-0.19999999999999996</v>
      </c>
      <c r="AW28" s="12">
        <f>AW6/AV6-1</f>
        <v>-0.19999999999999996</v>
      </c>
    </row>
    <row r="29" spans="1:49" s="11" customFormat="1" x14ac:dyDescent="0.2">
      <c r="A29" s="11" t="s">
        <v>224</v>
      </c>
      <c r="R29" s="12">
        <f>R6/Q6-1</f>
        <v>-6.4844667250601007E-2</v>
      </c>
      <c r="S29" s="12">
        <f>S6/R6-1</f>
        <v>0.25553263783018965</v>
      </c>
      <c r="T29" s="12">
        <f>T6/S6-1</f>
        <v>-5.6418843846227085E-2</v>
      </c>
      <c r="U29" s="12">
        <f>U6/T6-1</f>
        <v>0.48004541822616598</v>
      </c>
      <c r="V29" s="12">
        <f>V6/U6-1</f>
        <v>-7.7393873955787895E-2</v>
      </c>
      <c r="W29" s="12">
        <f>W6/V6-1</f>
        <v>6.8752271313388791E-2</v>
      </c>
      <c r="X29" s="12">
        <f>X6/W6-1</f>
        <v>-0.15401151498734966</v>
      </c>
      <c r="Y29" s="12">
        <f>Y6/X6-1</f>
        <v>0.27556373049935279</v>
      </c>
      <c r="Z29" s="12">
        <f>Z6/Y6-1</f>
        <v>-1.296731467635126E-2</v>
      </c>
      <c r="AA29" s="12">
        <f>AA6/Z6-1</f>
        <v>2.307209488561357E-2</v>
      </c>
      <c r="AB29" s="12">
        <f>AB6/AA6-1</f>
        <v>-0.15767204721910766</v>
      </c>
      <c r="AC29" s="36">
        <f>AC6/AB6-1</f>
        <v>0.28838281093027929</v>
      </c>
      <c r="AD29" s="12">
        <f>AD6/AC6-1</f>
        <v>-0.17911429727134942</v>
      </c>
      <c r="AE29" s="12">
        <f>AE6/AD6-1</f>
        <v>-4.5864402754690059E-2</v>
      </c>
      <c r="AF29" s="12">
        <f>AF6/AE6-1</f>
        <v>-0.10812334411434932</v>
      </c>
      <c r="AG29" s="12">
        <f>AG6/AF6-1</f>
        <v>0.14522916527135954</v>
      </c>
      <c r="AH29" s="12">
        <f>AH6/AG6-1</f>
        <v>-0.17911429727134953</v>
      </c>
      <c r="AI29" s="12">
        <f>AI6/AH6-1</f>
        <v>-4.5864402754690059E-2</v>
      </c>
      <c r="AJ29" s="12">
        <f>AJ6/AI6-1</f>
        <v>-0.10812334411434921</v>
      </c>
      <c r="AK29" s="12">
        <f>AK6/AJ6-1</f>
        <v>0.14522916527135932</v>
      </c>
      <c r="AL29" s="12">
        <f>AL6/AK6-1</f>
        <v>-0.17911429727134953</v>
      </c>
      <c r="AM29" s="12">
        <f>AM6/AL6-1</f>
        <v>-4.5864402754690059E-2</v>
      </c>
      <c r="AN29" s="12">
        <f>AN6/AM6-1</f>
        <v>-0.10812334411434932</v>
      </c>
      <c r="AO29" s="12">
        <f>AO6/AN6-1</f>
        <v>0.14522916527135932</v>
      </c>
    </row>
    <row r="30" spans="1:49" s="11" customFormat="1" x14ac:dyDescent="0.2">
      <c r="A30" s="11" t="s">
        <v>225</v>
      </c>
      <c r="R30" s="12">
        <f>R14/N14-1</f>
        <v>0.40826081074987597</v>
      </c>
      <c r="S30" s="12">
        <f>S14/O14-1</f>
        <v>0.99225378089265948</v>
      </c>
      <c r="T30" s="12">
        <f>T14/P14-1</f>
        <v>0.41357105485571699</v>
      </c>
      <c r="U30" s="12">
        <f>U14/Q14-1</f>
        <v>0.64134392585236677</v>
      </c>
      <c r="V30" s="12">
        <f>V14/R14-1</f>
        <v>0.1535653677435882</v>
      </c>
      <c r="W30" s="12">
        <f>W14/S14-1</f>
        <v>-7.5541566376596925E-2</v>
      </c>
      <c r="X30" s="12">
        <f>X14/T14-1</f>
        <v>-0.28388805056515676</v>
      </c>
      <c r="Y30" s="12">
        <f>Y14/U14-1</f>
        <v>-0.32012369332123292</v>
      </c>
      <c r="Z30" s="12">
        <f>Z14/V14-1</f>
        <v>-0.51614067227357263</v>
      </c>
      <c r="AA30" s="12">
        <f>AA14/W14-1</f>
        <v>-0.77388343681153615</v>
      </c>
      <c r="AB30" s="12">
        <f>AB14/X14-1</f>
        <v>-0.78232347328244278</v>
      </c>
      <c r="AC30" s="24">
        <v>-0.72</v>
      </c>
      <c r="AD30" s="24">
        <v>-0.7</v>
      </c>
      <c r="AE30" s="24">
        <v>-0.15</v>
      </c>
      <c r="AF30" s="24">
        <v>-0.15</v>
      </c>
      <c r="AG30" s="24">
        <v>-0.15</v>
      </c>
      <c r="AH30" s="24">
        <v>-0.15</v>
      </c>
      <c r="AI30" s="24">
        <v>-0.15</v>
      </c>
      <c r="AJ30" s="24">
        <v>-0.15</v>
      </c>
      <c r="AK30" s="24">
        <v>-0.15</v>
      </c>
      <c r="AL30" s="24">
        <v>-0.15</v>
      </c>
      <c r="AM30" s="24">
        <v>-0.15</v>
      </c>
      <c r="AN30" s="24">
        <v>-0.15</v>
      </c>
      <c r="AO30" s="24">
        <v>-0.15</v>
      </c>
      <c r="AR30" s="12">
        <f>AR14/AQ14-1</f>
        <v>0.56419541325201705</v>
      </c>
      <c r="AS30" s="12">
        <f>AS14/AR14-1</f>
        <v>-0.13596783364470799</v>
      </c>
      <c r="AT30" s="12">
        <f>AT14/AS14-1</f>
        <v>-0.73158097601789962</v>
      </c>
      <c r="AU30" s="12">
        <f>AU14/AT14-1</f>
        <v>-1</v>
      </c>
      <c r="AV30" s="12" t="e">
        <f>AV14/AU14-1</f>
        <v>#DIV/0!</v>
      </c>
      <c r="AW30" s="12" t="e">
        <f>AW14/AV14-1</f>
        <v>#DIV/0!</v>
      </c>
    </row>
    <row r="31" spans="1:49" s="11" customFormat="1" x14ac:dyDescent="0.2">
      <c r="A31" s="11" t="s">
        <v>226</v>
      </c>
      <c r="R31" s="12">
        <f>R14/Q14-1</f>
        <v>0.72299459340174344</v>
      </c>
      <c r="S31" s="12">
        <f>S14/R14-1</f>
        <v>-0.13531427107681471</v>
      </c>
      <c r="T31" s="12">
        <f>T14/S14-1</f>
        <v>0.30061099796334023</v>
      </c>
      <c r="U31" s="12">
        <f>U14/T14-1</f>
        <v>-0.15294821057426755</v>
      </c>
      <c r="V31" s="12">
        <f>V14/U14-1</f>
        <v>0.21095089240697784</v>
      </c>
      <c r="W31" s="12">
        <f>W14/V14-1</f>
        <v>-0.30704749215865879</v>
      </c>
      <c r="X31" s="12">
        <f>X14/W14-1</f>
        <v>7.4904866813538806E-3</v>
      </c>
      <c r="Y31" s="12">
        <f>Y14/X14-1</f>
        <v>-0.19580947837150131</v>
      </c>
      <c r="Z31" s="12">
        <f>Z14/Y14-1</f>
        <v>-0.13818163840411335</v>
      </c>
      <c r="AA31" s="12">
        <f>AA14/Z14-1</f>
        <v>-0.6761702615878844</v>
      </c>
      <c r="AB31" s="12">
        <f>AB14/AA14-1</f>
        <v>-3.0115146147032812E-2</v>
      </c>
      <c r="AC31" s="36">
        <f>AC14/AB14-1</f>
        <v>-1</v>
      </c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</row>
    <row r="32" spans="1:49" s="11" customFormat="1" x14ac:dyDescent="0.2">
      <c r="A32" s="11" t="s">
        <v>227</v>
      </c>
      <c r="R32" s="12">
        <f>R16/N16-1</f>
        <v>0.3500702787552965</v>
      </c>
      <c r="S32" s="12">
        <f>S16/O16-1</f>
        <v>0.63014851590633048</v>
      </c>
      <c r="T32" s="12">
        <f>T16/P16-1</f>
        <v>0.63586154156620744</v>
      </c>
      <c r="U32" s="12">
        <f>U16/Q16-1</f>
        <v>0.63994292273843301</v>
      </c>
      <c r="V32" s="12">
        <f>V16/R16-1</f>
        <v>0.50754616612204573</v>
      </c>
      <c r="W32" s="12">
        <f>W16/S16-1</f>
        <v>0.29716552621087655</v>
      </c>
      <c r="X32" s="12">
        <f>X16/T16-1</f>
        <v>0.116376007999065</v>
      </c>
      <c r="Y32" s="12">
        <f>Y16/U16-1</f>
        <v>8.4872229864718651E-3</v>
      </c>
      <c r="Z32" s="12">
        <f>Z16/V16-1</f>
        <v>1.9488048069846498E-2</v>
      </c>
      <c r="AA32" s="12">
        <f>AA16/W16-1</f>
        <v>-1.8929050071040621E-2</v>
      </c>
      <c r="AB32" s="12">
        <f>AB16/X16-1</f>
        <v>-4.1892033360086511E-2</v>
      </c>
      <c r="AC32" s="36">
        <f>AC16/Y16-1</f>
        <v>-1.0960779304660551E-2</v>
      </c>
      <c r="AD32" s="12">
        <f>AD16/Z16-1</f>
        <v>-7.2402642352801583E-2</v>
      </c>
      <c r="AE32" s="12">
        <f>AE16/AA16-1</f>
        <v>-0.17464166679505544</v>
      </c>
      <c r="AF32" s="12">
        <f>AF16/AB16-1</f>
        <v>-0.12991095004825814</v>
      </c>
      <c r="AG32" s="12">
        <f>AG16/AC16-1</f>
        <v>-0.19999999999999984</v>
      </c>
      <c r="AH32" s="12">
        <f>AH16/AD16-1</f>
        <v>-0.28170958576979865</v>
      </c>
      <c r="AI32" s="12">
        <f>AI16/AE16-1</f>
        <v>-0.19999999999999996</v>
      </c>
      <c r="AJ32" s="12">
        <f>AJ16/AF16-1</f>
        <v>-0.19999999999999996</v>
      </c>
      <c r="AK32" s="12">
        <f>AK16/AG16-1</f>
        <v>-0.19999999999999996</v>
      </c>
      <c r="AL32" s="12">
        <f>AL16/AH16-1</f>
        <v>-0.19999999999999996</v>
      </c>
      <c r="AM32" s="12">
        <f>AM16/AI16-1</f>
        <v>-0.19999999999999996</v>
      </c>
      <c r="AN32" s="12">
        <f>AN16/AJ16-1</f>
        <v>-0.19999999999999996</v>
      </c>
      <c r="AO32" s="12">
        <f>AO16/AK16-1</f>
        <v>-0.19999999999999996</v>
      </c>
      <c r="AR32" s="12">
        <f>AR16/AQ16-1</f>
        <v>0.56801467904196867</v>
      </c>
      <c r="AS32" s="12">
        <f>AS16/AR16-1</f>
        <v>0.2047481290875286</v>
      </c>
      <c r="AT32" s="12">
        <f>AT16/AS16-1</f>
        <v>-1.206804377371129E-2</v>
      </c>
      <c r="AU32" s="12">
        <f>AU16/AT16-1</f>
        <v>-0.14485569770125584</v>
      </c>
      <c r="AV32" s="12">
        <f>AV16/AU16-1</f>
        <v>-0.22337392857295335</v>
      </c>
      <c r="AW32" s="12">
        <f>AW16/AV16-1</f>
        <v>-0.19999999999999996</v>
      </c>
    </row>
    <row r="33" spans="1:49" s="11" customFormat="1" x14ac:dyDescent="0.2">
      <c r="A33" s="11" t="s">
        <v>228</v>
      </c>
      <c r="R33" s="12">
        <f>R16/Q16-1</f>
        <v>4.8993973406460167E-2</v>
      </c>
      <c r="S33" s="12">
        <f>S16/R16-1</f>
        <v>0.16277072725891029</v>
      </c>
      <c r="T33" s="12">
        <f>T16/S16-1</f>
        <v>6.594383336927967E-3</v>
      </c>
      <c r="U33" s="12">
        <f>U16/T16-1</f>
        <v>0.33569452921087151</v>
      </c>
      <c r="V33" s="12">
        <f>V16/U16-1</f>
        <v>-3.5693973877241492E-2</v>
      </c>
      <c r="W33" s="12">
        <f>W16/V16-1</f>
        <v>5.040881549365217E-4</v>
      </c>
      <c r="X33" s="12">
        <f>X16/W16-1</f>
        <v>-0.13369743749937024</v>
      </c>
      <c r="Y33" s="12">
        <f>Y16/X16-1</f>
        <v>0.20661036861267168</v>
      </c>
      <c r="Z33" s="12">
        <f>Z16/Y16-1</f>
        <v>-2.5175088086298092E-2</v>
      </c>
      <c r="AA33" s="12">
        <f>AA16/Z16-1</f>
        <v>-3.7197642451691992E-2</v>
      </c>
      <c r="AB33" s="12">
        <f>AB16/AA16-1</f>
        <v>-0.15397414762660422</v>
      </c>
      <c r="AC33" s="36">
        <f>AC16/AB16-1</f>
        <v>0.24556419548497921</v>
      </c>
      <c r="AD33" s="12">
        <f>AD16/AC16-1</f>
        <v>-8.5733918798399533E-2</v>
      </c>
      <c r="AE33" s="12">
        <f>AE16/AD16-1</f>
        <v>-0.14331693327860717</v>
      </c>
      <c r="AF33" s="12">
        <f>AF16/AE16-1</f>
        <v>-0.10812334411434932</v>
      </c>
      <c r="AG33" s="12">
        <f>AG16/AF16-1</f>
        <v>0.14522916527135954</v>
      </c>
      <c r="AH33" s="12">
        <f>AH16/AG16-1</f>
        <v>-0.17911429727134953</v>
      </c>
      <c r="AI33" s="12">
        <f>AI16/AH16-1</f>
        <v>-4.5864402754690059E-2</v>
      </c>
      <c r="AJ33" s="12">
        <f>AJ16/AI16-1</f>
        <v>-0.10812334411434921</v>
      </c>
      <c r="AK33" s="12">
        <f>AK16/AJ16-1</f>
        <v>0.14522916527135932</v>
      </c>
      <c r="AL33" s="12">
        <f>AL16/AK16-1</f>
        <v>-0.17911429727134953</v>
      </c>
      <c r="AM33" s="12">
        <f>AM16/AL16-1</f>
        <v>-4.5864402754690059E-2</v>
      </c>
      <c r="AN33" s="12">
        <f>AN16/AM16-1</f>
        <v>-0.10812334411434932</v>
      </c>
      <c r="AO33" s="12">
        <f>AO16/AN16-1</f>
        <v>0.14522916527135932</v>
      </c>
    </row>
    <row r="34" spans="1:49" s="3" customFormat="1" x14ac:dyDescent="0.2">
      <c r="A34" s="3" t="s">
        <v>147</v>
      </c>
    </row>
    <row r="35" spans="1:49" x14ac:dyDescent="0.2">
      <c r="A35" t="s">
        <v>236</v>
      </c>
      <c r="N35" s="6">
        <f>N6+N164</f>
        <v>75292</v>
      </c>
      <c r="O35" s="6">
        <f>O6+O164</f>
        <v>80307</v>
      </c>
      <c r="P35" s="6">
        <f>P6+P164</f>
        <v>69304</v>
      </c>
      <c r="Q35" s="6">
        <f>Q6+Q164</f>
        <v>107318</v>
      </c>
      <c r="R35" s="6">
        <f>R6+R164</f>
        <v>100359</v>
      </c>
      <c r="S35" s="6">
        <f>S6+S164</f>
        <v>126004</v>
      </c>
      <c r="T35" s="6">
        <f>T6+T164</f>
        <v>118895</v>
      </c>
      <c r="U35" s="6">
        <f>U6+U164</f>
        <v>175970</v>
      </c>
      <c r="V35" s="6">
        <f>V6+V164</f>
        <v>178339</v>
      </c>
      <c r="W35" s="6">
        <f>W6+W164</f>
        <v>159587</v>
      </c>
      <c r="X35" s="6">
        <f>X6+X164</f>
        <v>162091</v>
      </c>
      <c r="Y35" s="6">
        <f>Y6+Y164</f>
        <v>172400</v>
      </c>
      <c r="Z35" s="6">
        <f>Z6+Z164</f>
        <v>193366</v>
      </c>
      <c r="AA35" s="6">
        <f>AA6+AA164</f>
        <v>184778</v>
      </c>
      <c r="AB35" s="6">
        <f>AB6+AB164</f>
        <v>166442</v>
      </c>
      <c r="AC35" s="6">
        <f>AC6+AC164</f>
        <v>201297</v>
      </c>
      <c r="AD35" s="6">
        <f>AD6+AD164</f>
        <v>160705.79999999999</v>
      </c>
      <c r="AE35" s="6">
        <f>AE6+AE164</f>
        <v>176507.42</v>
      </c>
      <c r="AF35" s="6">
        <f>AF6+AF164</f>
        <v>137083.69200000001</v>
      </c>
      <c r="AG35" s="6">
        <f>AG6+AG164</f>
        <v>169376.36800000002</v>
      </c>
      <c r="AH35" s="6">
        <f>AH6+AH164</f>
        <v>143572.72</v>
      </c>
      <c r="AI35" s="6">
        <f>AI6+AI164</f>
        <v>130425.77600000001</v>
      </c>
      <c r="AJ35" s="6">
        <f>AJ6+AJ164</f>
        <v>118840.56000000001</v>
      </c>
      <c r="AK35" s="6">
        <f>AK6+AK164</f>
        <v>126327.48800000001</v>
      </c>
      <c r="AL35" s="6">
        <f>AL6+AL164</f>
        <v>114858.17600000001</v>
      </c>
      <c r="AM35" s="6">
        <f>AM6+AM164</f>
        <v>104340.6208</v>
      </c>
      <c r="AN35" s="6">
        <f>AN6+AN164</f>
        <v>95072.448000000019</v>
      </c>
      <c r="AO35" s="6">
        <f>AO6+AO164</f>
        <v>101061.99040000001</v>
      </c>
      <c r="AQ35">
        <f>SUM(N35:Q35)</f>
        <v>332221</v>
      </c>
      <c r="AR35">
        <f>SUM(R35:U35)</f>
        <v>521228</v>
      </c>
      <c r="AS35">
        <f>SUM(V35:Y35)</f>
        <v>672417</v>
      </c>
      <c r="AT35" s="6">
        <f>SUM(Z35:AC35)</f>
        <v>745883</v>
      </c>
      <c r="AU35" s="6">
        <f>SUM(AD35:AG35)</f>
        <v>643673.28</v>
      </c>
      <c r="AV35" s="6">
        <f>SUM(AH35:AK35)</f>
        <v>519166.54400000005</v>
      </c>
      <c r="AW35" s="6">
        <f>SUM(AL35:AO35)</f>
        <v>415333.23520000005</v>
      </c>
    </row>
    <row r="36" spans="1:49" x14ac:dyDescent="0.2">
      <c r="A36" s="11" t="s">
        <v>237</v>
      </c>
      <c r="V36" s="19">
        <f>1-V37/V35</f>
        <v>0.91035051222671426</v>
      </c>
      <c r="W36" s="19">
        <f t="shared" ref="W36:AG36" si="3">1-W37/W35</f>
        <v>1.0872627469656049</v>
      </c>
      <c r="X36" s="19">
        <f t="shared" si="3"/>
        <v>0.90560240852360707</v>
      </c>
      <c r="Y36" s="19">
        <f t="shared" si="3"/>
        <v>1.0860788863109048</v>
      </c>
      <c r="Z36" s="19">
        <f t="shared" si="3"/>
        <v>0.95576264700102398</v>
      </c>
      <c r="AA36" s="19">
        <f t="shared" si="3"/>
        <v>1.0232603448462478</v>
      </c>
      <c r="AB36" s="19">
        <f t="shared" si="3"/>
        <v>0.9568738659713294</v>
      </c>
      <c r="AC36" s="19">
        <f t="shared" si="3"/>
        <v>1.0193544861572701</v>
      </c>
      <c r="AD36" s="19">
        <f t="shared" si="3"/>
        <v>1.0481264521877867</v>
      </c>
      <c r="AE36" s="19">
        <f t="shared" si="3"/>
        <v>0.91052602774432934</v>
      </c>
      <c r="AF36" s="19">
        <f t="shared" si="3"/>
        <v>1.0456210940102197</v>
      </c>
      <c r="AG36" s="19">
        <f t="shared" si="3"/>
        <v>0.96916944163072383</v>
      </c>
      <c r="AH36" s="19">
        <f t="shared" ref="AH36:AO36" si="4">1-AH37/AH35</f>
        <v>0.93856270188375612</v>
      </c>
      <c r="AI36" s="19">
        <f t="shared" si="4"/>
        <v>0.98578428239522231</v>
      </c>
      <c r="AJ36" s="19">
        <f t="shared" si="4"/>
        <v>0.96490693076505196</v>
      </c>
      <c r="AK36" s="19">
        <f t="shared" si="4"/>
        <v>1.0395482573040635</v>
      </c>
      <c r="AL36" s="19">
        <f t="shared" si="4"/>
        <v>0.93856270188375612</v>
      </c>
      <c r="AM36" s="19">
        <f t="shared" si="4"/>
        <v>0.98578428239522231</v>
      </c>
      <c r="AN36" s="19">
        <f t="shared" si="4"/>
        <v>0.96490693076505196</v>
      </c>
      <c r="AO36" s="19">
        <f t="shared" si="4"/>
        <v>1.0395482573040635</v>
      </c>
    </row>
    <row r="37" spans="1:49" x14ac:dyDescent="0.2">
      <c r="A37" s="11" t="s">
        <v>235</v>
      </c>
      <c r="V37" s="6">
        <f>V164</f>
        <v>15988</v>
      </c>
      <c r="W37" s="6">
        <f t="shared" ref="W37:AG37" si="5">W164</f>
        <v>-13926</v>
      </c>
      <c r="X37" s="6">
        <f t="shared" si="5"/>
        <v>15301</v>
      </c>
      <c r="Y37" s="6">
        <f t="shared" si="5"/>
        <v>-14840</v>
      </c>
      <c r="Z37" s="6">
        <f t="shared" si="5"/>
        <v>8554</v>
      </c>
      <c r="AA37" s="6">
        <f t="shared" si="5"/>
        <v>-4298</v>
      </c>
      <c r="AB37" s="6">
        <f t="shared" si="5"/>
        <v>7178</v>
      </c>
      <c r="AC37" s="6">
        <f t="shared" si="5"/>
        <v>-3896</v>
      </c>
      <c r="AD37" s="6">
        <f t="shared" si="5"/>
        <v>-7734.2000000000044</v>
      </c>
      <c r="AE37" s="6">
        <f t="shared" si="5"/>
        <v>15792.820000000007</v>
      </c>
      <c r="AF37" s="6">
        <f t="shared" si="5"/>
        <v>-6253.9080000000031</v>
      </c>
      <c r="AG37" s="6">
        <f t="shared" si="5"/>
        <v>5221.9679999999935</v>
      </c>
      <c r="AH37" s="6">
        <f t="shared" ref="AH37:AO37" si="6">AH164</f>
        <v>8820.7200000000084</v>
      </c>
      <c r="AI37" s="6">
        <f t="shared" si="6"/>
        <v>1854.0959999999977</v>
      </c>
      <c r="AJ37" s="6">
        <f t="shared" si="6"/>
        <v>4170.4799999999959</v>
      </c>
      <c r="AK37" s="6">
        <f t="shared" si="6"/>
        <v>-4996.0319999999992</v>
      </c>
      <c r="AL37" s="6">
        <f t="shared" si="6"/>
        <v>7056.5760000000046</v>
      </c>
      <c r="AM37" s="6">
        <f t="shared" si="6"/>
        <v>1483.276799999996</v>
      </c>
      <c r="AN37" s="6">
        <f t="shared" si="6"/>
        <v>3336.3840000000018</v>
      </c>
      <c r="AO37" s="6">
        <f t="shared" si="6"/>
        <v>-3996.8256000000038</v>
      </c>
      <c r="AQ37">
        <f>SUM(N37:Q37)</f>
        <v>0</v>
      </c>
      <c r="AR37">
        <f>SUM(R37:U37)</f>
        <v>0</v>
      </c>
      <c r="AS37">
        <f>SUM(V37:Y37)</f>
        <v>2523</v>
      </c>
      <c r="AT37" s="6">
        <f>SUM(Z37:AC37)</f>
        <v>7538</v>
      </c>
      <c r="AU37" s="6">
        <f>SUM(AD37:AG37)</f>
        <v>7026.679999999993</v>
      </c>
      <c r="AV37" s="6">
        <f>SUM(AH37:AK37)</f>
        <v>9849.2640000000029</v>
      </c>
      <c r="AW37" s="6">
        <f>SUM(AL37:AO37)</f>
        <v>7879.4111999999986</v>
      </c>
    </row>
    <row r="38" spans="1:49" x14ac:dyDescent="0.2">
      <c r="A38" s="11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9" x14ac:dyDescent="0.2">
      <c r="A39" t="s">
        <v>101</v>
      </c>
      <c r="N39" s="6">
        <f>N14</f>
        <v>22177</v>
      </c>
      <c r="O39" s="6">
        <f>O14</f>
        <v>13555</v>
      </c>
      <c r="P39" s="6">
        <f>P14</f>
        <v>24847</v>
      </c>
      <c r="Q39" s="6">
        <f>Q14</f>
        <v>18126</v>
      </c>
      <c r="R39" s="6">
        <f>R14</f>
        <v>31231</v>
      </c>
      <c r="S39" s="6">
        <f>S14</f>
        <v>27005</v>
      </c>
      <c r="T39" s="6">
        <f>T14</f>
        <v>35123</v>
      </c>
      <c r="U39" s="6">
        <f>U14</f>
        <v>29751</v>
      </c>
      <c r="V39" s="6">
        <f>V14</f>
        <v>36027</v>
      </c>
      <c r="W39" s="6">
        <f>W14</f>
        <v>24965</v>
      </c>
      <c r="X39" s="6">
        <f>X14</f>
        <v>25152</v>
      </c>
      <c r="Y39" s="6">
        <f>Y14</f>
        <v>20227</v>
      </c>
      <c r="Z39" s="6">
        <f>Z14</f>
        <v>17432</v>
      </c>
      <c r="AA39" s="6">
        <f>AA14</f>
        <v>5645</v>
      </c>
      <c r="AB39" s="6">
        <f>AB14</f>
        <v>5475</v>
      </c>
      <c r="AC39" s="6">
        <f>AC14</f>
        <v>0</v>
      </c>
      <c r="AD39" s="6">
        <f>AD14</f>
        <v>0</v>
      </c>
      <c r="AE39" s="6">
        <f>AE14</f>
        <v>0</v>
      </c>
      <c r="AF39" s="6">
        <f>AF14</f>
        <v>0</v>
      </c>
      <c r="AG39" s="6">
        <f>AG14</f>
        <v>0</v>
      </c>
      <c r="AH39" s="6">
        <f>AH14</f>
        <v>0</v>
      </c>
      <c r="AI39" s="6">
        <f>AI14</f>
        <v>0</v>
      </c>
      <c r="AJ39" s="6">
        <f>AJ14</f>
        <v>0</v>
      </c>
      <c r="AK39" s="6">
        <f>AK14</f>
        <v>0</v>
      </c>
      <c r="AL39" s="6">
        <f>AL14</f>
        <v>0</v>
      </c>
      <c r="AM39" s="6">
        <f>AM14</f>
        <v>0</v>
      </c>
      <c r="AN39" s="6">
        <f>AN14</f>
        <v>0</v>
      </c>
      <c r="AO39" s="6">
        <f>AO14</f>
        <v>0</v>
      </c>
      <c r="AQ39">
        <f>SUM(N39:Q39)</f>
        <v>78705</v>
      </c>
      <c r="AR39">
        <f>SUM(R39:U39)</f>
        <v>123110</v>
      </c>
      <c r="AS39">
        <f>SUM(V39:Y39)</f>
        <v>106371</v>
      </c>
      <c r="AT39" s="6">
        <f>SUM(Z39:AC39)</f>
        <v>28552</v>
      </c>
      <c r="AU39" s="6">
        <f>SUM(AD39:AG39)</f>
        <v>0</v>
      </c>
      <c r="AV39" s="6">
        <f>SUM(AH39:AK39)</f>
        <v>0</v>
      </c>
      <c r="AW39" s="6">
        <f>SUM(AL39:AO39)</f>
        <v>0</v>
      </c>
    </row>
    <row r="40" spans="1:49" x14ac:dyDescent="0.2">
      <c r="A40" t="s">
        <v>281</v>
      </c>
      <c r="V40" s="6">
        <f>V39+V35</f>
        <v>214366</v>
      </c>
      <c r="W40" s="6">
        <f t="shared" ref="W40:AG40" si="7">W39+W35</f>
        <v>184552</v>
      </c>
      <c r="X40" s="6">
        <f t="shared" si="7"/>
        <v>187243</v>
      </c>
      <c r="Y40" s="6">
        <f t="shared" si="7"/>
        <v>192627</v>
      </c>
      <c r="Z40" s="6">
        <f t="shared" si="7"/>
        <v>210798</v>
      </c>
      <c r="AA40" s="6">
        <f t="shared" si="7"/>
        <v>190423</v>
      </c>
      <c r="AB40" s="6">
        <f t="shared" si="7"/>
        <v>171917</v>
      </c>
      <c r="AC40" s="6">
        <f t="shared" si="7"/>
        <v>201297</v>
      </c>
      <c r="AD40" s="6">
        <f t="shared" si="7"/>
        <v>160705.79999999999</v>
      </c>
      <c r="AE40" s="6">
        <f t="shared" si="7"/>
        <v>176507.42</v>
      </c>
      <c r="AF40" s="6">
        <f t="shared" si="7"/>
        <v>137083.69200000001</v>
      </c>
      <c r="AG40" s="6">
        <f t="shared" si="7"/>
        <v>169376.36800000002</v>
      </c>
      <c r="AH40" s="6">
        <f t="shared" ref="AH40:AO40" si="8">AH39+AH35</f>
        <v>143572.72</v>
      </c>
      <c r="AI40" s="6">
        <f t="shared" si="8"/>
        <v>130425.77600000001</v>
      </c>
      <c r="AJ40" s="6">
        <f t="shared" si="8"/>
        <v>118840.56000000001</v>
      </c>
      <c r="AK40" s="6">
        <f t="shared" si="8"/>
        <v>126327.48800000001</v>
      </c>
      <c r="AL40" s="6">
        <f t="shared" si="8"/>
        <v>114858.17600000001</v>
      </c>
      <c r="AM40" s="6">
        <f t="shared" si="8"/>
        <v>104340.6208</v>
      </c>
      <c r="AN40" s="6">
        <f t="shared" si="8"/>
        <v>95072.448000000019</v>
      </c>
      <c r="AO40" s="6">
        <f t="shared" si="8"/>
        <v>101061.99040000001</v>
      </c>
      <c r="AQ40">
        <f>SUM(N40:Q40)</f>
        <v>0</v>
      </c>
      <c r="AR40">
        <f>SUM(R40:U40)</f>
        <v>0</v>
      </c>
      <c r="AS40">
        <f>SUM(V40:Y40)</f>
        <v>778788</v>
      </c>
      <c r="AT40" s="6">
        <f>SUM(Z40:AC40)</f>
        <v>774435</v>
      </c>
      <c r="AU40" s="6">
        <f>SUM(AD40:AG40)</f>
        <v>643673.28</v>
      </c>
      <c r="AV40" s="6">
        <f>SUM(AH40:AK40)</f>
        <v>519166.54400000005</v>
      </c>
      <c r="AW40" s="6">
        <f>SUM(AL40:AO40)</f>
        <v>415333.23520000005</v>
      </c>
    </row>
    <row r="41" spans="1:49" s="2" customFormat="1" x14ac:dyDescent="0.2">
      <c r="A41"/>
    </row>
    <row r="42" spans="1:49" s="2" customFormat="1" x14ac:dyDescent="0.2"/>
    <row r="43" spans="1:49" s="3" customFormat="1" x14ac:dyDescent="0.2">
      <c r="A43" s="3" t="s">
        <v>13</v>
      </c>
    </row>
    <row r="44" spans="1:49" s="2" customFormat="1" x14ac:dyDescent="0.2">
      <c r="A44" s="2" t="s">
        <v>2</v>
      </c>
      <c r="J44" s="2">
        <f>J14+J6</f>
        <v>76949</v>
      </c>
      <c r="K44" s="2">
        <f>K14+K6</f>
        <v>74222</v>
      </c>
      <c r="L44" s="2">
        <f>L14+L6</f>
        <v>74237</v>
      </c>
      <c r="M44" s="2">
        <f>M14+M6</f>
        <v>95586</v>
      </c>
      <c r="N44" s="2">
        <f>N14+N6</f>
        <v>97469</v>
      </c>
      <c r="O44" s="2">
        <f>O14+O6</f>
        <v>93862</v>
      </c>
      <c r="P44" s="2">
        <f>P14+P6</f>
        <v>94151</v>
      </c>
      <c r="Q44" s="2">
        <f>Q14+Q6</f>
        <v>125444</v>
      </c>
      <c r="R44" s="2">
        <f>R14+R6</f>
        <v>131590</v>
      </c>
      <c r="S44" s="2">
        <f>S14+S6</f>
        <v>153009</v>
      </c>
      <c r="T44" s="2">
        <f>T14+T6</f>
        <v>154018</v>
      </c>
      <c r="U44" s="2">
        <f>U14+U6</f>
        <v>205721</v>
      </c>
      <c r="V44" s="2">
        <f>V14+V6</f>
        <v>198378</v>
      </c>
      <c r="W44" s="2">
        <f>W14+W6</f>
        <v>198478</v>
      </c>
      <c r="X44" s="2">
        <f>X14+X6</f>
        <v>171942</v>
      </c>
      <c r="Y44" s="2">
        <f>Y14+Y6</f>
        <v>207467</v>
      </c>
      <c r="Z44" s="2">
        <f>Z14+Z6</f>
        <v>202244</v>
      </c>
      <c r="AA44" s="2">
        <f>AA14+AA6</f>
        <v>194721</v>
      </c>
      <c r="AB44" s="20">
        <f>AB14+AB6</f>
        <v>164739</v>
      </c>
      <c r="AC44" s="20">
        <f>AC16</f>
        <v>205193</v>
      </c>
      <c r="AD44" s="20">
        <f>AD16</f>
        <v>187601</v>
      </c>
      <c r="AE44" s="20">
        <f t="shared" ref="AE44:AO44" si="9">AE16</f>
        <v>160714.6</v>
      </c>
      <c r="AF44" s="20">
        <f t="shared" si="9"/>
        <v>143337.60000000001</v>
      </c>
      <c r="AG44" s="20">
        <f t="shared" si="9"/>
        <v>164154.40000000002</v>
      </c>
      <c r="AH44" s="20">
        <f t="shared" si="9"/>
        <v>134752</v>
      </c>
      <c r="AI44" s="20">
        <f t="shared" si="9"/>
        <v>128571.68000000001</v>
      </c>
      <c r="AJ44" s="20">
        <f t="shared" si="9"/>
        <v>114670.08000000002</v>
      </c>
      <c r="AK44" s="20">
        <f t="shared" si="9"/>
        <v>131323.52000000002</v>
      </c>
      <c r="AL44" s="20">
        <f t="shared" si="9"/>
        <v>107801.60000000001</v>
      </c>
      <c r="AM44" s="20">
        <f t="shared" si="9"/>
        <v>102857.34400000001</v>
      </c>
      <c r="AN44" s="20">
        <f t="shared" si="9"/>
        <v>91736.064000000013</v>
      </c>
      <c r="AO44" s="20">
        <f t="shared" si="9"/>
        <v>105058.81600000002</v>
      </c>
      <c r="AQ44">
        <f>SUM(N44:Q44)</f>
        <v>410926</v>
      </c>
      <c r="AR44">
        <f>SUM(R44:U44)</f>
        <v>644338</v>
      </c>
      <c r="AS44">
        <f>SUM(V44:Y44)</f>
        <v>776265</v>
      </c>
      <c r="AT44" s="6">
        <f>SUM(Z44:AC44)</f>
        <v>766897</v>
      </c>
      <c r="AU44" s="6">
        <f>SUM(AD44:AG44)</f>
        <v>655807.6</v>
      </c>
      <c r="AV44" s="6">
        <f>SUM(AH44:AK44)</f>
        <v>509317.28</v>
      </c>
      <c r="AW44" s="6">
        <f>SUM(AL44:AO44)</f>
        <v>407453.82400000002</v>
      </c>
    </row>
    <row r="45" spans="1:49" x14ac:dyDescent="0.2">
      <c r="A45" t="s">
        <v>3</v>
      </c>
      <c r="N45">
        <v>23335</v>
      </c>
      <c r="O45">
        <v>20518</v>
      </c>
      <c r="P45">
        <v>22164</v>
      </c>
      <c r="Q45">
        <f>92182-P45-O45-N45</f>
        <v>26165</v>
      </c>
      <c r="R45">
        <v>42390</v>
      </c>
      <c r="S45">
        <v>43524</v>
      </c>
      <c r="T45">
        <v>62370</v>
      </c>
      <c r="U45">
        <f>205417-T45-S45-R45</f>
        <v>57133</v>
      </c>
      <c r="V45">
        <v>71384</v>
      </c>
      <c r="W45">
        <v>60708</v>
      </c>
      <c r="X45">
        <v>67102</v>
      </c>
      <c r="Y45">
        <f>254904-X45-W45-V45</f>
        <v>55710</v>
      </c>
      <c r="Z45">
        <v>55085</v>
      </c>
      <c r="AA45">
        <v>45684</v>
      </c>
      <c r="AB45">
        <v>45203</v>
      </c>
      <c r="AC45" s="6">
        <v>51424</v>
      </c>
      <c r="AD45" s="6">
        <v>49150</v>
      </c>
      <c r="AE45" s="6">
        <f>AE44*(1-AE47)</f>
        <v>43392.942000000003</v>
      </c>
      <c r="AF45" s="6">
        <f>AF44*(1-AF47)</f>
        <v>38701.152000000002</v>
      </c>
      <c r="AG45" s="6">
        <f>AG44*(1-AG47)</f>
        <v>44321.688000000009</v>
      </c>
      <c r="AH45" s="6">
        <f t="shared" ref="AH45:AO45" si="10">AH44*(1-AH47)</f>
        <v>36383.040000000001</v>
      </c>
      <c r="AI45" s="6">
        <f t="shared" si="10"/>
        <v>34714.353600000002</v>
      </c>
      <c r="AJ45" s="6">
        <f t="shared" si="10"/>
        <v>30960.921600000005</v>
      </c>
      <c r="AK45" s="6">
        <f t="shared" si="10"/>
        <v>35457.35040000001</v>
      </c>
      <c r="AL45" s="6">
        <f t="shared" si="10"/>
        <v>29106.432000000004</v>
      </c>
      <c r="AM45" s="6">
        <f t="shared" si="10"/>
        <v>27771.482880000007</v>
      </c>
      <c r="AN45" s="6">
        <f t="shared" si="10"/>
        <v>24768.737280000005</v>
      </c>
      <c r="AO45" s="6">
        <f t="shared" si="10"/>
        <v>28365.880320000007</v>
      </c>
      <c r="AQ45">
        <f>SUM(N45:Q45)</f>
        <v>92182</v>
      </c>
      <c r="AR45">
        <f>SUM(R45:U45)</f>
        <v>205417</v>
      </c>
      <c r="AS45">
        <f>SUM(V45:Y45)</f>
        <v>254904</v>
      </c>
      <c r="AT45" s="6">
        <f>SUM(Z45:AC45)</f>
        <v>197396</v>
      </c>
      <c r="AU45" s="6">
        <f>SUM(AD45:AG45)</f>
        <v>175565.78200000001</v>
      </c>
      <c r="AV45" s="6">
        <f>SUM(AH45:AK45)</f>
        <v>137515.66560000001</v>
      </c>
      <c r="AW45" s="6">
        <f>SUM(AL45:AO45)</f>
        <v>110012.53248000002</v>
      </c>
    </row>
    <row r="46" spans="1:49" s="2" customFormat="1" x14ac:dyDescent="0.2">
      <c r="A46" s="2" t="s">
        <v>194</v>
      </c>
      <c r="J46" s="2">
        <f t="shared" ref="J46:R46" si="11">J44-J45</f>
        <v>76949</v>
      </c>
      <c r="K46" s="2">
        <f t="shared" si="11"/>
        <v>74222</v>
      </c>
      <c r="L46" s="2">
        <f t="shared" si="11"/>
        <v>74237</v>
      </c>
      <c r="M46" s="2">
        <f t="shared" si="11"/>
        <v>95586</v>
      </c>
      <c r="N46" s="2">
        <f t="shared" si="11"/>
        <v>74134</v>
      </c>
      <c r="O46" s="2">
        <f t="shared" si="11"/>
        <v>73344</v>
      </c>
      <c r="P46" s="2">
        <f t="shared" si="11"/>
        <v>71987</v>
      </c>
      <c r="Q46" s="2">
        <f t="shared" si="11"/>
        <v>99279</v>
      </c>
      <c r="R46" s="2">
        <f t="shared" si="11"/>
        <v>89200</v>
      </c>
      <c r="S46" s="2">
        <f t="shared" ref="S46:AC46" si="12">S44-S45</f>
        <v>109485</v>
      </c>
      <c r="T46" s="2">
        <f t="shared" si="12"/>
        <v>91648</v>
      </c>
      <c r="U46" s="2">
        <f t="shared" si="12"/>
        <v>148588</v>
      </c>
      <c r="V46" s="2">
        <f t="shared" si="12"/>
        <v>126994</v>
      </c>
      <c r="W46" s="2">
        <f t="shared" si="12"/>
        <v>137770</v>
      </c>
      <c r="X46" s="2">
        <f t="shared" si="12"/>
        <v>104840</v>
      </c>
      <c r="Y46" s="2">
        <f t="shared" si="12"/>
        <v>151757</v>
      </c>
      <c r="Z46" s="2">
        <f t="shared" si="12"/>
        <v>147159</v>
      </c>
      <c r="AA46" s="2">
        <f t="shared" si="12"/>
        <v>149037</v>
      </c>
      <c r="AB46" s="2">
        <f t="shared" si="12"/>
        <v>119536</v>
      </c>
      <c r="AC46" s="20">
        <f t="shared" si="12"/>
        <v>153769</v>
      </c>
      <c r="AD46" s="20">
        <f>AD44-AD45</f>
        <v>138451</v>
      </c>
      <c r="AE46" s="20">
        <f>AE44-AE45</f>
        <v>117321.658</v>
      </c>
      <c r="AF46" s="20">
        <f>AF44-AF45</f>
        <v>104636.448</v>
      </c>
      <c r="AG46" s="20">
        <f t="shared" ref="AG46:AO46" si="13">AG44-AG45</f>
        <v>119832.71200000001</v>
      </c>
      <c r="AH46" s="20">
        <f t="shared" si="13"/>
        <v>98368.959999999992</v>
      </c>
      <c r="AI46" s="20">
        <f t="shared" si="13"/>
        <v>93857.326400000005</v>
      </c>
      <c r="AJ46" s="20">
        <f t="shared" si="13"/>
        <v>83709.158400000015</v>
      </c>
      <c r="AK46" s="20">
        <f t="shared" si="13"/>
        <v>95866.169600000008</v>
      </c>
      <c r="AL46" s="20">
        <f t="shared" si="13"/>
        <v>78695.168000000005</v>
      </c>
      <c r="AM46" s="20">
        <f t="shared" si="13"/>
        <v>75085.861120000001</v>
      </c>
      <c r="AN46" s="20">
        <f t="shared" si="13"/>
        <v>66967.326720000012</v>
      </c>
      <c r="AO46" s="20">
        <f t="shared" si="13"/>
        <v>76692.93568000001</v>
      </c>
      <c r="AQ46"/>
      <c r="AR46"/>
      <c r="AS46"/>
      <c r="AT46"/>
      <c r="AU46"/>
      <c r="AV46"/>
      <c r="AW46"/>
    </row>
    <row r="47" spans="1:49" x14ac:dyDescent="0.2">
      <c r="A47" t="s">
        <v>195</v>
      </c>
      <c r="J47" s="10">
        <f t="shared" ref="J47:R47" si="14">J46/J44</f>
        <v>1</v>
      </c>
      <c r="K47" s="10">
        <f t="shared" si="14"/>
        <v>1</v>
      </c>
      <c r="L47" s="10">
        <f t="shared" si="14"/>
        <v>1</v>
      </c>
      <c r="M47" s="10">
        <f t="shared" si="14"/>
        <v>1</v>
      </c>
      <c r="N47" s="10">
        <f t="shared" si="14"/>
        <v>0.76059054673793725</v>
      </c>
      <c r="O47" s="10">
        <f t="shared" si="14"/>
        <v>0.78140248449851912</v>
      </c>
      <c r="P47" s="10">
        <f t="shared" si="14"/>
        <v>0.76459092309162935</v>
      </c>
      <c r="Q47" s="18">
        <f t="shared" si="14"/>
        <v>0.79142087305889486</v>
      </c>
      <c r="R47" s="10">
        <f t="shared" si="14"/>
        <v>0.67786305950300174</v>
      </c>
      <c r="S47" s="10">
        <f t="shared" ref="S47:AD47" si="15">S46/S44</f>
        <v>0.7155461443444503</v>
      </c>
      <c r="T47" s="10">
        <f t="shared" si="15"/>
        <v>0.59504733213001082</v>
      </c>
      <c r="U47" s="10">
        <f t="shared" si="15"/>
        <v>0.72227920338711171</v>
      </c>
      <c r="V47" s="10">
        <f t="shared" si="15"/>
        <v>0.64016171148010359</v>
      </c>
      <c r="W47" s="10">
        <f t="shared" si="15"/>
        <v>0.69413234716190209</v>
      </c>
      <c r="X47" s="10">
        <f t="shared" si="15"/>
        <v>0.60974049388747364</v>
      </c>
      <c r="Y47" s="10">
        <f t="shared" si="15"/>
        <v>0.73147536716682648</v>
      </c>
      <c r="Z47" s="10">
        <f t="shared" si="15"/>
        <v>0.72763098039991303</v>
      </c>
      <c r="AA47" s="10">
        <f t="shared" si="15"/>
        <v>0.76538740043446774</v>
      </c>
      <c r="AB47" s="10">
        <f t="shared" si="15"/>
        <v>0.72560838659940874</v>
      </c>
      <c r="AC47" s="18">
        <f t="shared" si="15"/>
        <v>0.74938716233009894</v>
      </c>
      <c r="AD47" s="18">
        <f t="shared" si="15"/>
        <v>0.73800779313543108</v>
      </c>
      <c r="AE47" s="9">
        <v>0.73</v>
      </c>
      <c r="AF47" s="9">
        <v>0.73</v>
      </c>
      <c r="AG47" s="9">
        <v>0.73</v>
      </c>
      <c r="AH47" s="9">
        <v>0.73</v>
      </c>
      <c r="AI47" s="9">
        <v>0.73</v>
      </c>
      <c r="AJ47" s="9">
        <v>0.73</v>
      </c>
      <c r="AK47" s="9">
        <v>0.73</v>
      </c>
      <c r="AL47" s="9">
        <v>0.73</v>
      </c>
      <c r="AM47" s="9">
        <v>0.73</v>
      </c>
      <c r="AN47" s="9">
        <v>0.73</v>
      </c>
      <c r="AO47" s="9">
        <v>0.73</v>
      </c>
    </row>
    <row r="48" spans="1:49" x14ac:dyDescent="0.2">
      <c r="A48" t="s">
        <v>4</v>
      </c>
      <c r="N48">
        <v>32692</v>
      </c>
      <c r="O48">
        <v>32065</v>
      </c>
      <c r="P48">
        <v>36442</v>
      </c>
      <c r="Q48">
        <f>139772-P48-O48-N48</f>
        <v>38573</v>
      </c>
      <c r="R48">
        <v>39541</v>
      </c>
      <c r="S48">
        <v>40374</v>
      </c>
      <c r="T48">
        <v>44041</v>
      </c>
      <c r="U48">
        <f>170905-T48-S48-R48</f>
        <v>46949</v>
      </c>
      <c r="V48">
        <v>46131</v>
      </c>
      <c r="W48">
        <v>41595</v>
      </c>
      <c r="X48">
        <v>43269</v>
      </c>
      <c r="Y48">
        <f>178821-X48-W48-V48</f>
        <v>47826</v>
      </c>
      <c r="Z48">
        <v>52415</v>
      </c>
      <c r="AA48">
        <v>52480</v>
      </c>
      <c r="AB48">
        <v>45426</v>
      </c>
      <c r="AC48" s="6">
        <v>46316</v>
      </c>
      <c r="AD48" s="6">
        <v>46907</v>
      </c>
      <c r="AE48" s="6">
        <f>AD48*0.99</f>
        <v>46437.93</v>
      </c>
      <c r="AF48" s="6">
        <f t="shared" ref="AF48:AO48" si="16">AE48*0.99</f>
        <v>45973.5507</v>
      </c>
      <c r="AG48" s="6">
        <f t="shared" si="16"/>
        <v>45513.815193000002</v>
      </c>
      <c r="AH48" s="6">
        <f t="shared" si="16"/>
        <v>45058.677041070005</v>
      </c>
      <c r="AI48" s="6">
        <f t="shared" si="16"/>
        <v>44608.090270659304</v>
      </c>
      <c r="AJ48" s="6">
        <f t="shared" si="16"/>
        <v>44162.009367952713</v>
      </c>
      <c r="AK48" s="6">
        <f t="shared" si="16"/>
        <v>43720.389274273184</v>
      </c>
      <c r="AL48" s="6">
        <f t="shared" si="16"/>
        <v>43283.185381530449</v>
      </c>
      <c r="AM48" s="6">
        <f t="shared" si="16"/>
        <v>42850.353527715146</v>
      </c>
      <c r="AN48" s="6">
        <f t="shared" si="16"/>
        <v>42421.849992437994</v>
      </c>
      <c r="AO48" s="6">
        <f t="shared" si="16"/>
        <v>41997.63149251361</v>
      </c>
      <c r="AQ48">
        <f>SUM(N48:Q48)</f>
        <v>139772</v>
      </c>
      <c r="AR48">
        <f>SUM(R48:U48)</f>
        <v>170905</v>
      </c>
      <c r="AS48">
        <f>SUM(V48:Y48)</f>
        <v>178821</v>
      </c>
      <c r="AT48" s="6">
        <f>SUM(Z48:AC48)</f>
        <v>196637</v>
      </c>
      <c r="AU48" s="6">
        <f>SUM(AD48:AG48)</f>
        <v>184832.29589299997</v>
      </c>
      <c r="AV48" s="6">
        <f>SUM(AH48:AK48)</f>
        <v>177549.16595395521</v>
      </c>
      <c r="AW48" s="6">
        <f>SUM(AL48:AO48)</f>
        <v>170553.0203941972</v>
      </c>
    </row>
    <row r="49" spans="1:49" x14ac:dyDescent="0.2">
      <c r="A49" t="s">
        <v>5</v>
      </c>
      <c r="N49">
        <v>18717</v>
      </c>
      <c r="O49">
        <v>11795</v>
      </c>
      <c r="P49">
        <v>16822</v>
      </c>
      <c r="Q49">
        <f>63569-P49-O49-N49</f>
        <v>16235</v>
      </c>
      <c r="R49">
        <v>20238</v>
      </c>
      <c r="S49">
        <v>15758</v>
      </c>
      <c r="T49">
        <v>24625</v>
      </c>
      <c r="U49">
        <f>81914-T49-S49-R49</f>
        <v>21293</v>
      </c>
      <c r="V49">
        <v>26214</v>
      </c>
      <c r="W49">
        <v>21686</v>
      </c>
      <c r="X49">
        <v>27239</v>
      </c>
      <c r="Y49">
        <f>105414-X49-W49-V49</f>
        <v>30275</v>
      </c>
      <c r="Z49">
        <v>42498</v>
      </c>
      <c r="AA49">
        <v>35279</v>
      </c>
      <c r="AB49">
        <v>31803</v>
      </c>
      <c r="AC49" s="6">
        <v>38080</v>
      </c>
      <c r="AD49" s="6">
        <v>37017</v>
      </c>
      <c r="AE49" s="6">
        <f>AD49*0.99</f>
        <v>36646.83</v>
      </c>
      <c r="AF49" s="6">
        <f t="shared" ref="AF49:AO49" si="17">AE49*0.99</f>
        <v>36280.361700000001</v>
      </c>
      <c r="AG49" s="6">
        <f t="shared" si="17"/>
        <v>35917.558083000004</v>
      </c>
      <c r="AH49" s="6">
        <f t="shared" si="17"/>
        <v>35558.382502170003</v>
      </c>
      <c r="AI49" s="6">
        <f t="shared" si="17"/>
        <v>35202.798677148305</v>
      </c>
      <c r="AJ49" s="6">
        <f t="shared" si="17"/>
        <v>34850.770690376819</v>
      </c>
      <c r="AK49" s="6">
        <f t="shared" si="17"/>
        <v>34502.262983473054</v>
      </c>
      <c r="AL49" s="6">
        <f t="shared" si="17"/>
        <v>34157.240353638321</v>
      </c>
      <c r="AM49" s="6">
        <f t="shared" si="17"/>
        <v>33815.667950101939</v>
      </c>
      <c r="AN49" s="6">
        <f t="shared" si="17"/>
        <v>33477.511270600917</v>
      </c>
      <c r="AO49" s="6">
        <f t="shared" si="17"/>
        <v>33142.736157894906</v>
      </c>
      <c r="AQ49">
        <f>SUM(N49:Q49)</f>
        <v>63569</v>
      </c>
      <c r="AR49">
        <f>SUM(R49:U49)</f>
        <v>81914</v>
      </c>
      <c r="AS49">
        <f>SUM(V49:Y49)</f>
        <v>105414</v>
      </c>
      <c r="AT49" s="6">
        <f>SUM(Z49:AC49)</f>
        <v>147660</v>
      </c>
      <c r="AU49" s="6">
        <f>SUM(AD49:AG49)</f>
        <v>145861.74978300001</v>
      </c>
      <c r="AV49" s="6">
        <f>SUM(AH49:AK49)</f>
        <v>140114.21485316817</v>
      </c>
      <c r="AW49" s="6">
        <f>SUM(AL49:AO49)</f>
        <v>134593.1557322361</v>
      </c>
    </row>
    <row r="50" spans="1:49" x14ac:dyDescent="0.2">
      <c r="A50" t="s">
        <v>10</v>
      </c>
      <c r="N50">
        <v>23620</v>
      </c>
      <c r="O50">
        <v>22622</v>
      </c>
      <c r="P50">
        <v>23752</v>
      </c>
      <c r="Q50">
        <f>97489-P50-O50-N50</f>
        <v>27495</v>
      </c>
      <c r="R50">
        <v>26145</v>
      </c>
      <c r="S50">
        <v>31292</v>
      </c>
      <c r="T50">
        <v>40784</v>
      </c>
      <c r="U50">
        <f>129349-T50-S50-R50</f>
        <v>31128</v>
      </c>
      <c r="V50">
        <v>37870</v>
      </c>
      <c r="W50">
        <v>39719</v>
      </c>
      <c r="X50">
        <v>33971</v>
      </c>
      <c r="Y50">
        <f>159019-X50-W50-V50</f>
        <v>47459</v>
      </c>
      <c r="Z50">
        <v>46870</v>
      </c>
      <c r="AA50">
        <v>53935</v>
      </c>
      <c r="AB50">
        <v>53742</v>
      </c>
      <c r="AC50" s="6">
        <v>61700</v>
      </c>
      <c r="AD50" s="6">
        <v>58973</v>
      </c>
      <c r="AE50" s="6">
        <f>AD50*0.99</f>
        <v>58383.27</v>
      </c>
      <c r="AF50" s="6">
        <f t="shared" ref="AF50:AO50" si="18">AE50*0.99</f>
        <v>57799.437299999998</v>
      </c>
      <c r="AG50" s="6">
        <f t="shared" si="18"/>
        <v>57221.442926999996</v>
      </c>
      <c r="AH50" s="6">
        <f t="shared" si="18"/>
        <v>56649.228497729993</v>
      </c>
      <c r="AI50" s="6">
        <f t="shared" si="18"/>
        <v>56082.736212752694</v>
      </c>
      <c r="AJ50" s="6">
        <f t="shared" si="18"/>
        <v>55521.908850625165</v>
      </c>
      <c r="AK50" s="6">
        <f t="shared" si="18"/>
        <v>54966.689762118913</v>
      </c>
      <c r="AL50" s="6">
        <f t="shared" si="18"/>
        <v>54417.022864497725</v>
      </c>
      <c r="AM50" s="6">
        <f t="shared" si="18"/>
        <v>53872.852635852745</v>
      </c>
      <c r="AN50" s="6">
        <f t="shared" si="18"/>
        <v>53334.124109494216</v>
      </c>
      <c r="AO50" s="6">
        <f t="shared" si="18"/>
        <v>52800.78286839927</v>
      </c>
      <c r="AQ50">
        <f>SUM(N50:Q50)</f>
        <v>97489</v>
      </c>
      <c r="AR50">
        <f>SUM(R50:U50)</f>
        <v>129349</v>
      </c>
      <c r="AS50">
        <f>SUM(V50:Y50)</f>
        <v>159019</v>
      </c>
      <c r="AT50" s="6">
        <f>SUM(Z50:AC50)</f>
        <v>216247</v>
      </c>
      <c r="AU50" s="6">
        <f>SUM(AD50:AG50)</f>
        <v>232377.15022699998</v>
      </c>
      <c r="AV50" s="6">
        <f>SUM(AH50:AK50)</f>
        <v>223220.56332322676</v>
      </c>
      <c r="AW50" s="6">
        <f>SUM(AL50:AO50)</f>
        <v>214424.78247824393</v>
      </c>
    </row>
    <row r="51" spans="1:49" x14ac:dyDescent="0.2">
      <c r="A51" t="s">
        <v>167</v>
      </c>
      <c r="N51">
        <v>66</v>
      </c>
      <c r="O51">
        <v>47</v>
      </c>
      <c r="P51">
        <v>28</v>
      </c>
      <c r="Q51">
        <f>97-P51-O51-N51</f>
        <v>-44</v>
      </c>
      <c r="AQ51">
        <f>SUM(N51:Q51)</f>
        <v>97</v>
      </c>
      <c r="AR51">
        <f>SUM(R51:U51)</f>
        <v>0</v>
      </c>
      <c r="AS51">
        <f>SUM(V51:Y51)</f>
        <v>0</v>
      </c>
      <c r="AT51" s="6">
        <f>SUM(Z51:AC51)</f>
        <v>0</v>
      </c>
      <c r="AU51" s="6">
        <f>SUM(AD51:AG51)</f>
        <v>0</v>
      </c>
      <c r="AV51" s="6">
        <f>SUM(AH51:AK51)</f>
        <v>0</v>
      </c>
      <c r="AW51" s="6">
        <f>SUM(AL51:AO51)</f>
        <v>0</v>
      </c>
    </row>
    <row r="52" spans="1:49" x14ac:dyDescent="0.2">
      <c r="A52" t="s">
        <v>196</v>
      </c>
      <c r="J52">
        <f t="shared" ref="J52:R52" si="19">J50+J49+J48+J51</f>
        <v>0</v>
      </c>
      <c r="K52">
        <f t="shared" si="19"/>
        <v>0</v>
      </c>
      <c r="L52">
        <f t="shared" si="19"/>
        <v>0</v>
      </c>
      <c r="M52">
        <f t="shared" si="19"/>
        <v>0</v>
      </c>
      <c r="N52">
        <f t="shared" si="19"/>
        <v>75095</v>
      </c>
      <c r="O52">
        <f t="shared" si="19"/>
        <v>66529</v>
      </c>
      <c r="P52">
        <f t="shared" si="19"/>
        <v>77044</v>
      </c>
      <c r="Q52">
        <f t="shared" si="19"/>
        <v>82259</v>
      </c>
      <c r="R52">
        <f t="shared" si="19"/>
        <v>85924</v>
      </c>
      <c r="S52">
        <f t="shared" ref="S52:AB52" si="20">S50+S49+S48</f>
        <v>87424</v>
      </c>
      <c r="T52">
        <f t="shared" si="20"/>
        <v>109450</v>
      </c>
      <c r="U52">
        <f t="shared" si="20"/>
        <v>99370</v>
      </c>
      <c r="V52">
        <f t="shared" si="20"/>
        <v>110215</v>
      </c>
      <c r="W52">
        <f t="shared" si="20"/>
        <v>103000</v>
      </c>
      <c r="X52">
        <f t="shared" si="20"/>
        <v>104479</v>
      </c>
      <c r="Y52">
        <f t="shared" si="20"/>
        <v>125560</v>
      </c>
      <c r="Z52">
        <f t="shared" si="20"/>
        <v>141783</v>
      </c>
      <c r="AA52">
        <f t="shared" si="20"/>
        <v>141694</v>
      </c>
      <c r="AB52">
        <f t="shared" si="20"/>
        <v>130971</v>
      </c>
      <c r="AC52" s="6">
        <f>AC50+AC49+AC48</f>
        <v>146096</v>
      </c>
      <c r="AD52" s="6">
        <f>AD50+AD49+AD48</f>
        <v>142897</v>
      </c>
      <c r="AE52" s="6">
        <f>AE50+AE49+AE48</f>
        <v>141468.03</v>
      </c>
      <c r="AF52" s="6">
        <f>AF50+AF49+AF48</f>
        <v>140053.34969999999</v>
      </c>
      <c r="AG52" s="6">
        <f>AG50+AG49+AG48</f>
        <v>138652.81620300002</v>
      </c>
      <c r="AH52" s="6">
        <f t="shared" ref="AH52:AO52" si="21">AH50+AH49+AH48</f>
        <v>137266.28804097002</v>
      </c>
      <c r="AI52" s="6">
        <f t="shared" si="21"/>
        <v>135893.6251605603</v>
      </c>
      <c r="AJ52" s="6">
        <f t="shared" si="21"/>
        <v>134534.6889089547</v>
      </c>
      <c r="AK52" s="6">
        <f t="shared" si="21"/>
        <v>133189.34201986514</v>
      </c>
      <c r="AL52" s="6">
        <f t="shared" si="21"/>
        <v>131857.44859966647</v>
      </c>
      <c r="AM52" s="6">
        <f t="shared" si="21"/>
        <v>130538.87411366982</v>
      </c>
      <c r="AN52" s="6">
        <f t="shared" si="21"/>
        <v>129233.48537253312</v>
      </c>
      <c r="AO52" s="6">
        <f t="shared" si="21"/>
        <v>127941.15051880779</v>
      </c>
    </row>
    <row r="53" spans="1:49" s="2" customFormat="1" x14ac:dyDescent="0.2">
      <c r="A53" s="2" t="s">
        <v>197</v>
      </c>
      <c r="N53" s="2">
        <f>N46-N52</f>
        <v>-961</v>
      </c>
      <c r="O53" s="2">
        <f>O46-O52</f>
        <v>6815</v>
      </c>
      <c r="P53" s="2">
        <f>P46-P52</f>
        <v>-5057</v>
      </c>
      <c r="Q53" s="2">
        <f>Q46-Q52</f>
        <v>17020</v>
      </c>
      <c r="R53" s="2">
        <f>R46-R52</f>
        <v>3276</v>
      </c>
      <c r="S53" s="2">
        <f t="shared" ref="S53:AB53" si="22">S46-S52</f>
        <v>22061</v>
      </c>
      <c r="T53" s="2">
        <f t="shared" si="22"/>
        <v>-17802</v>
      </c>
      <c r="U53" s="2">
        <f t="shared" si="22"/>
        <v>49218</v>
      </c>
      <c r="V53" s="2">
        <f t="shared" si="22"/>
        <v>16779</v>
      </c>
      <c r="W53" s="2">
        <f t="shared" si="22"/>
        <v>34770</v>
      </c>
      <c r="X53" s="2">
        <f t="shared" si="22"/>
        <v>361</v>
      </c>
      <c r="Y53" s="2">
        <f t="shared" si="22"/>
        <v>26197</v>
      </c>
      <c r="Z53" s="2">
        <f t="shared" si="22"/>
        <v>5376</v>
      </c>
      <c r="AA53" s="2">
        <f t="shared" si="22"/>
        <v>7343</v>
      </c>
      <c r="AB53" s="20">
        <f t="shared" si="22"/>
        <v>-11435</v>
      </c>
      <c r="AC53" s="20">
        <f>AC46-AC52</f>
        <v>7673</v>
      </c>
      <c r="AD53" s="20">
        <f>AD46-AD52</f>
        <v>-4446</v>
      </c>
      <c r="AE53" s="20">
        <f>AE46-AE52</f>
        <v>-24146.372000000003</v>
      </c>
      <c r="AF53" s="20">
        <f>AF46-AF52</f>
        <v>-35416.901699999988</v>
      </c>
      <c r="AG53" s="20">
        <f t="shared" ref="AG53:AO53" si="23">AG46-AG52</f>
        <v>-18820.10420300001</v>
      </c>
      <c r="AH53" s="20">
        <f t="shared" si="23"/>
        <v>-38897.328040970024</v>
      </c>
      <c r="AI53" s="20">
        <f t="shared" si="23"/>
        <v>-42036.298760560298</v>
      </c>
      <c r="AJ53" s="20">
        <f t="shared" si="23"/>
        <v>-50825.530508954689</v>
      </c>
      <c r="AK53" s="20">
        <f t="shared" si="23"/>
        <v>-37323.172419865135</v>
      </c>
      <c r="AL53" s="20">
        <f t="shared" si="23"/>
        <v>-53162.280599666468</v>
      </c>
      <c r="AM53" s="20">
        <f t="shared" si="23"/>
        <v>-55453.012993669821</v>
      </c>
      <c r="AN53" s="20">
        <f t="shared" si="23"/>
        <v>-62266.158652533108</v>
      </c>
      <c r="AO53" s="20">
        <f t="shared" si="23"/>
        <v>-51248.214838807777</v>
      </c>
      <c r="AQ53"/>
      <c r="AR53"/>
      <c r="AS53"/>
      <c r="AT53"/>
      <c r="AU53"/>
      <c r="AV53"/>
      <c r="AW53"/>
    </row>
    <row r="54" spans="1:49" x14ac:dyDescent="0.2">
      <c r="A54" t="s">
        <v>6</v>
      </c>
      <c r="N54">
        <v>-4232</v>
      </c>
      <c r="O54">
        <v>-13514</v>
      </c>
      <c r="P54">
        <v>-13548</v>
      </c>
      <c r="Q54">
        <f>-44851-P54-O54-N54</f>
        <v>-13557</v>
      </c>
      <c r="R54">
        <v>-13427</v>
      </c>
      <c r="S54">
        <v>-13425</v>
      </c>
      <c r="T54">
        <v>-17468</v>
      </c>
      <c r="U54">
        <f>-66297-T54-S54-R54</f>
        <v>-21977</v>
      </c>
      <c r="V54">
        <v>-1929</v>
      </c>
      <c r="W54">
        <v>-1701</v>
      </c>
      <c r="X54">
        <v>-1633</v>
      </c>
      <c r="Y54">
        <f>-6896-X54-W54-V54</f>
        <v>-1633</v>
      </c>
      <c r="Z54">
        <v>-1597</v>
      </c>
      <c r="AA54">
        <v>-1616</v>
      </c>
      <c r="AB54">
        <f>-1525</f>
        <v>-1525</v>
      </c>
      <c r="AC54" s="6">
        <v>-1302</v>
      </c>
      <c r="AD54" s="6">
        <v>-1268</v>
      </c>
      <c r="AE54" s="6">
        <f>Schedule!O163</f>
        <v>-1262.6757398784846</v>
      </c>
      <c r="AF54" s="6">
        <f>Schedule!P163</f>
        <v>-1262.6757398784846</v>
      </c>
      <c r="AG54" s="6">
        <f>Schedule!Q163</f>
        <v>-1262.6757398784846</v>
      </c>
      <c r="AH54" s="6">
        <f>Schedule!R163</f>
        <v>-1262.6757398784846</v>
      </c>
      <c r="AI54" s="6">
        <f>Schedule!S163</f>
        <v>-1262.6757398784846</v>
      </c>
      <c r="AJ54" s="6">
        <f>Schedule!T163</f>
        <v>-1262.6757398784846</v>
      </c>
      <c r="AK54" s="6">
        <f>Schedule!U163</f>
        <v>-1262.6757398784846</v>
      </c>
      <c r="AL54" s="6">
        <f>Schedule!V163</f>
        <v>-1262.6757398784846</v>
      </c>
      <c r="AM54" s="6">
        <f>Schedule!W163</f>
        <v>-1262.6757398784846</v>
      </c>
      <c r="AN54" s="6">
        <f>Schedule!X163</f>
        <v>0</v>
      </c>
      <c r="AO54" s="6">
        <f>Schedule!Y163</f>
        <v>0</v>
      </c>
      <c r="AQ54">
        <f>SUM(N54:Q54)</f>
        <v>-44851</v>
      </c>
      <c r="AR54">
        <f>SUM(R54:U54)</f>
        <v>-66297</v>
      </c>
      <c r="AS54">
        <f>SUM(V54:Y54)</f>
        <v>-6896</v>
      </c>
      <c r="AT54" s="6">
        <f>SUM(Z54:AC54)</f>
        <v>-6040</v>
      </c>
      <c r="AU54" s="6">
        <f>SUM(AD54:AG54)</f>
        <v>-5056.0272196354545</v>
      </c>
      <c r="AV54" s="6">
        <f t="shared" ref="AV54:AV60" si="24">SUM(AH54:AK54)</f>
        <v>-5050.7029595139384</v>
      </c>
      <c r="AW54" s="6">
        <f t="shared" ref="AW54:AW60" si="25">SUM(AL54:AO54)</f>
        <v>-2525.3514797569692</v>
      </c>
    </row>
    <row r="55" spans="1:49" outlineLevel="1" x14ac:dyDescent="0.2">
      <c r="A55" t="s">
        <v>309</v>
      </c>
      <c r="V55">
        <v>-78152</v>
      </c>
      <c r="AB55">
        <v>93519</v>
      </c>
      <c r="AC55" s="6"/>
      <c r="AQ55">
        <f>SUM(N55:Q55)</f>
        <v>0</v>
      </c>
      <c r="AR55">
        <f>SUM(R55:U55)</f>
        <v>0</v>
      </c>
      <c r="AS55">
        <f>SUM(V55:Y55)</f>
        <v>-78152</v>
      </c>
      <c r="AT55" s="6">
        <f>SUM(Z55:AC55)</f>
        <v>93519</v>
      </c>
      <c r="AU55" s="6">
        <f>SUM(AD55:AG55)</f>
        <v>0</v>
      </c>
      <c r="AV55" s="6">
        <f t="shared" si="24"/>
        <v>0</v>
      </c>
      <c r="AW55" s="6">
        <f t="shared" si="25"/>
        <v>0</v>
      </c>
    </row>
    <row r="56" spans="1:49" outlineLevel="1" x14ac:dyDescent="0.2">
      <c r="A56" t="s">
        <v>294</v>
      </c>
      <c r="V56">
        <v>-7148</v>
      </c>
      <c r="AC56" s="6"/>
      <c r="AQ56">
        <f>SUM(N56:Q56)</f>
        <v>0</v>
      </c>
      <c r="AR56">
        <f>SUM(R56:U56)</f>
        <v>0</v>
      </c>
      <c r="AS56">
        <f>SUM(V56:Y56)</f>
        <v>-7148</v>
      </c>
      <c r="AT56" s="6">
        <f>SUM(Z56:AC56)</f>
        <v>0</v>
      </c>
      <c r="AU56" s="6">
        <f>SUM(AD56:AG56)</f>
        <v>0</v>
      </c>
      <c r="AV56" s="6">
        <f t="shared" si="24"/>
        <v>0</v>
      </c>
      <c r="AW56" s="6">
        <f t="shared" si="25"/>
        <v>0</v>
      </c>
    </row>
    <row r="57" spans="1:49" outlineLevel="1" x14ac:dyDescent="0.2">
      <c r="A57" t="s">
        <v>295</v>
      </c>
      <c r="V57">
        <f>-V153</f>
        <v>5338</v>
      </c>
      <c r="X57">
        <f>-X153</f>
        <v>7158</v>
      </c>
      <c r="AC57" s="6"/>
      <c r="AQ57">
        <f>SUM(N57:Q57)</f>
        <v>0</v>
      </c>
      <c r="AR57">
        <f>SUM(R57:U57)</f>
        <v>0</v>
      </c>
      <c r="AS57">
        <f>SUM(V57:Y57)</f>
        <v>12496</v>
      </c>
      <c r="AT57" s="6">
        <f>SUM(Z57:AC57)</f>
        <v>0</v>
      </c>
      <c r="AU57" s="6">
        <f>SUM(AD57:AG57)</f>
        <v>0</v>
      </c>
      <c r="AV57" s="6">
        <f t="shared" si="24"/>
        <v>0</v>
      </c>
      <c r="AW57" s="6">
        <f t="shared" si="25"/>
        <v>0</v>
      </c>
    </row>
    <row r="58" spans="1:49" outlineLevel="1" x14ac:dyDescent="0.2">
      <c r="A58" t="s">
        <v>60</v>
      </c>
      <c r="Z58">
        <v>4628</v>
      </c>
      <c r="AC58" s="6"/>
      <c r="AQ58">
        <f>SUM(N58:Q58)</f>
        <v>0</v>
      </c>
      <c r="AR58">
        <f>SUM(R58:U58)</f>
        <v>0</v>
      </c>
      <c r="AS58">
        <f>SUM(V58:Y58)</f>
        <v>0</v>
      </c>
      <c r="AT58" s="6">
        <f>SUM(Z58:AC58)</f>
        <v>4628</v>
      </c>
      <c r="AU58" s="6">
        <f>SUM(AD58:AG58)</f>
        <v>0</v>
      </c>
      <c r="AV58" s="6">
        <f t="shared" si="24"/>
        <v>0</v>
      </c>
      <c r="AW58" s="6">
        <f t="shared" si="25"/>
        <v>0</v>
      </c>
    </row>
    <row r="59" spans="1:49" outlineLevel="1" x14ac:dyDescent="0.2">
      <c r="A59" t="s">
        <v>97</v>
      </c>
      <c r="T59">
        <v>3193</v>
      </c>
      <c r="V59">
        <v>2049</v>
      </c>
      <c r="W59">
        <v>1851</v>
      </c>
      <c r="X59">
        <v>1485</v>
      </c>
      <c r="Y59">
        <f>6700-X59-W59-V59</f>
        <v>1315</v>
      </c>
      <c r="Z59">
        <v>1477</v>
      </c>
      <c r="AA59">
        <v>2032</v>
      </c>
      <c r="AB59">
        <v>3737</v>
      </c>
      <c r="AC59" s="6">
        <f>Schedule!M174</f>
        <v>1881.5140000000001</v>
      </c>
      <c r="AD59" s="6">
        <f>Schedule!N174</f>
        <v>0</v>
      </c>
      <c r="AE59" s="6">
        <f>Schedule!O174</f>
        <v>0</v>
      </c>
      <c r="AF59" s="6">
        <f>Schedule!P174</f>
        <v>0</v>
      </c>
      <c r="AG59" s="6">
        <f>Schedule!Q174</f>
        <v>0</v>
      </c>
      <c r="AH59" s="6">
        <f>Schedule!R174</f>
        <v>0</v>
      </c>
      <c r="AI59" s="6">
        <f>Schedule!S174</f>
        <v>0</v>
      </c>
      <c r="AJ59" s="6">
        <f>Schedule!T174</f>
        <v>0</v>
      </c>
      <c r="AK59" s="6">
        <f>Schedule!U174</f>
        <v>0</v>
      </c>
      <c r="AL59" s="6">
        <f>Schedule!V174</f>
        <v>0</v>
      </c>
      <c r="AM59" s="6">
        <f>Schedule!W174</f>
        <v>0</v>
      </c>
      <c r="AN59" s="6">
        <f>Schedule!X174</f>
        <v>0</v>
      </c>
      <c r="AO59" s="6">
        <f>Schedule!Y174</f>
        <v>0</v>
      </c>
      <c r="AQ59">
        <f>SUM(N59:Q59)</f>
        <v>0</v>
      </c>
      <c r="AR59">
        <f>SUM(R59:U59)</f>
        <v>3193</v>
      </c>
      <c r="AS59">
        <f>SUM(V59:Y59)</f>
        <v>6700</v>
      </c>
      <c r="AT59" s="6">
        <f>SUM(Z59:AC59)</f>
        <v>9127.5139999999992</v>
      </c>
      <c r="AU59" s="6">
        <f>SUM(AD59:AG59)</f>
        <v>0</v>
      </c>
      <c r="AV59" s="6">
        <f t="shared" si="24"/>
        <v>0</v>
      </c>
      <c r="AW59" s="6">
        <f t="shared" si="25"/>
        <v>0</v>
      </c>
    </row>
    <row r="60" spans="1:49" outlineLevel="1" x14ac:dyDescent="0.2">
      <c r="A60" t="s">
        <v>296</v>
      </c>
      <c r="T60">
        <v>47</v>
      </c>
      <c r="V60">
        <v>705</v>
      </c>
      <c r="W60">
        <v>69</v>
      </c>
      <c r="X60">
        <v>27</v>
      </c>
      <c r="Y60">
        <f>632-X60-W60-V60</f>
        <v>-169</v>
      </c>
      <c r="Z60">
        <v>75</v>
      </c>
      <c r="AA60">
        <v>-223</v>
      </c>
      <c r="AB60">
        <v>2</v>
      </c>
      <c r="AC60" s="6"/>
      <c r="AQ60">
        <f>SUM(N60:Q60)</f>
        <v>0</v>
      </c>
      <c r="AR60">
        <f>SUM(R60:U60)</f>
        <v>47</v>
      </c>
      <c r="AS60">
        <f>SUM(V60:Y60)</f>
        <v>632</v>
      </c>
      <c r="AT60" s="6">
        <f>SUM(Z60:AC60)</f>
        <v>-146</v>
      </c>
      <c r="AU60" s="6">
        <f>SUM(AD60:AG60)</f>
        <v>0</v>
      </c>
      <c r="AV60" s="6">
        <f t="shared" si="24"/>
        <v>0</v>
      </c>
      <c r="AW60" s="6">
        <f t="shared" si="25"/>
        <v>0</v>
      </c>
    </row>
    <row r="61" spans="1:49" x14ac:dyDescent="0.2">
      <c r="A61" t="s">
        <v>7</v>
      </c>
      <c r="N61">
        <v>1567</v>
      </c>
      <c r="O61">
        <v>5253</v>
      </c>
      <c r="P61">
        <v>7751</v>
      </c>
      <c r="Q61">
        <f>20063-P61-N61-O61</f>
        <v>5492</v>
      </c>
      <c r="R61">
        <v>4960</v>
      </c>
      <c r="S61">
        <v>3240</v>
      </c>
      <c r="T61">
        <v>-804</v>
      </c>
      <c r="U61">
        <f>8683-T61-S61-R61</f>
        <v>1287</v>
      </c>
      <c r="V61">
        <f>V55+V56+V57+V59+V60+V58</f>
        <v>-77208</v>
      </c>
      <c r="W61">
        <f t="shared" ref="W61" si="26">W55+W56+W57+W59+W60+W58</f>
        <v>1920</v>
      </c>
      <c r="X61">
        <f t="shared" ref="X61" si="27">X55+X56+X57+X59+X60+X58</f>
        <v>8670</v>
      </c>
      <c r="Y61">
        <f t="shared" ref="Y61" si="28">Y55+Y56+Y57+Y59+Y60+Y58</f>
        <v>1146</v>
      </c>
      <c r="Z61">
        <f>Z55+Z56+Z57+Z59+Z60+Z58</f>
        <v>6180</v>
      </c>
      <c r="AA61">
        <f>AA55+AA56+AA57+AA59+AA60+AA58</f>
        <v>1809</v>
      </c>
      <c r="AB61">
        <f>AB55+AB56+AB57+AB59+AB60+AB58</f>
        <v>97258</v>
      </c>
      <c r="AC61">
        <v>-4218</v>
      </c>
      <c r="AD61">
        <v>12076</v>
      </c>
    </row>
    <row r="62" spans="1:49" s="2" customFormat="1" x14ac:dyDescent="0.2">
      <c r="A62" s="2" t="s">
        <v>198</v>
      </c>
      <c r="N62" s="2">
        <f t="shared" ref="N62:AO62" si="29">N53+N54+N61</f>
        <v>-3626</v>
      </c>
      <c r="O62" s="2">
        <f t="shared" si="29"/>
        <v>-1446</v>
      </c>
      <c r="P62" s="2">
        <f t="shared" si="29"/>
        <v>-10854</v>
      </c>
      <c r="Q62" s="2">
        <f t="shared" si="29"/>
        <v>8955</v>
      </c>
      <c r="R62" s="2">
        <f t="shared" si="29"/>
        <v>-5191</v>
      </c>
      <c r="S62" s="2">
        <f t="shared" si="29"/>
        <v>11876</v>
      </c>
      <c r="T62" s="2">
        <f t="shared" si="29"/>
        <v>-36074</v>
      </c>
      <c r="U62" s="2">
        <f t="shared" si="29"/>
        <v>28528</v>
      </c>
      <c r="V62" s="2">
        <f t="shared" si="29"/>
        <v>-62358</v>
      </c>
      <c r="W62" s="2">
        <f t="shared" si="29"/>
        <v>34989</v>
      </c>
      <c r="X62" s="2">
        <f t="shared" si="29"/>
        <v>7398</v>
      </c>
      <c r="Y62" s="2">
        <f t="shared" si="29"/>
        <v>25710</v>
      </c>
      <c r="Z62" s="2">
        <f t="shared" si="29"/>
        <v>9959</v>
      </c>
      <c r="AA62" s="2">
        <f t="shared" si="29"/>
        <v>7536</v>
      </c>
      <c r="AB62" s="2">
        <f t="shared" si="29"/>
        <v>84298</v>
      </c>
      <c r="AC62" s="20">
        <f t="shared" si="29"/>
        <v>2153</v>
      </c>
      <c r="AD62" s="20">
        <f>AD53+AD54+AD61</f>
        <v>6362</v>
      </c>
      <c r="AE62" s="20">
        <f t="shared" si="29"/>
        <v>-25409.047739878486</v>
      </c>
      <c r="AF62" s="20">
        <f t="shared" si="29"/>
        <v>-36679.577439878471</v>
      </c>
      <c r="AG62" s="20">
        <f t="shared" si="29"/>
        <v>-20082.779942878493</v>
      </c>
      <c r="AH62" s="20">
        <f t="shared" si="29"/>
        <v>-40160.003780848507</v>
      </c>
      <c r="AI62" s="20">
        <f t="shared" si="29"/>
        <v>-43298.974500438781</v>
      </c>
      <c r="AJ62" s="20">
        <f t="shared" si="29"/>
        <v>-52088.206248833172</v>
      </c>
      <c r="AK62" s="20">
        <f t="shared" si="29"/>
        <v>-38585.848159743618</v>
      </c>
      <c r="AL62" s="20">
        <f t="shared" si="29"/>
        <v>-54424.956339544951</v>
      </c>
      <c r="AM62" s="20">
        <f t="shared" si="29"/>
        <v>-56715.688733548304</v>
      </c>
      <c r="AN62" s="20">
        <f t="shared" si="29"/>
        <v>-62266.158652533108</v>
      </c>
      <c r="AO62" s="20">
        <f t="shared" si="29"/>
        <v>-51248.214838807777</v>
      </c>
      <c r="AQ62"/>
      <c r="AR62"/>
      <c r="AS62"/>
      <c r="AT62"/>
      <c r="AU62"/>
      <c r="AV62"/>
      <c r="AW62"/>
    </row>
    <row r="63" spans="1:49" x14ac:dyDescent="0.2">
      <c r="A63" t="s">
        <v>231</v>
      </c>
      <c r="N63">
        <v>626</v>
      </c>
      <c r="O63">
        <v>583</v>
      </c>
      <c r="P63">
        <v>623</v>
      </c>
      <c r="Q63">
        <f>2634-P63-O63-N63</f>
        <v>802</v>
      </c>
      <c r="R63">
        <v>522</v>
      </c>
      <c r="S63">
        <v>1287</v>
      </c>
      <c r="T63">
        <v>1066</v>
      </c>
      <c r="U63">
        <f>5360-T63-S63-R63</f>
        <v>2485</v>
      </c>
      <c r="V63">
        <v>2821</v>
      </c>
      <c r="W63">
        <v>2225</v>
      </c>
      <c r="X63">
        <v>747</v>
      </c>
      <c r="Y63">
        <f>7197-X63-W63-V63</f>
        <v>1404</v>
      </c>
      <c r="Z63">
        <v>4217</v>
      </c>
      <c r="AA63">
        <v>60</v>
      </c>
      <c r="AB63">
        <v>-167264</v>
      </c>
      <c r="AC63" s="6">
        <v>295</v>
      </c>
      <c r="AD63" s="6">
        <v>4176</v>
      </c>
      <c r="AE63" s="6">
        <f t="shared" ref="AD63:AO63" si="30">0.2*AE62</f>
        <v>-5081.8095479756976</v>
      </c>
      <c r="AF63" s="6">
        <f t="shared" si="30"/>
        <v>-7335.9154879756943</v>
      </c>
      <c r="AG63" s="6">
        <f t="shared" si="30"/>
        <v>-4016.5559885756988</v>
      </c>
      <c r="AH63" s="6">
        <f t="shared" si="30"/>
        <v>-8032.0007561697021</v>
      </c>
      <c r="AI63" s="6">
        <f t="shared" si="30"/>
        <v>-8659.7949000877561</v>
      </c>
      <c r="AJ63" s="6">
        <f t="shared" si="30"/>
        <v>-10417.641249766635</v>
      </c>
      <c r="AK63" s="6">
        <f t="shared" si="30"/>
        <v>-7717.1696319487237</v>
      </c>
      <c r="AL63" s="6">
        <f t="shared" si="30"/>
        <v>-10884.99126790899</v>
      </c>
      <c r="AM63" s="6">
        <f t="shared" si="30"/>
        <v>-11343.137746709661</v>
      </c>
      <c r="AN63" s="6">
        <f t="shared" si="30"/>
        <v>-12453.231730506623</v>
      </c>
      <c r="AO63" s="6">
        <f t="shared" si="30"/>
        <v>-10249.642967761556</v>
      </c>
      <c r="AQ63">
        <f>SUM(N63:Q63)</f>
        <v>2634</v>
      </c>
      <c r="AR63">
        <f>SUM(R63:U63)</f>
        <v>5360</v>
      </c>
      <c r="AS63">
        <f>SUM(V63:Y63)</f>
        <v>7197</v>
      </c>
      <c r="AT63" s="6">
        <f>SUM(Z63:AC63)</f>
        <v>-162692</v>
      </c>
      <c r="AU63" s="6">
        <f>SUM(AD63:AG63)</f>
        <v>-12258.281024527092</v>
      </c>
      <c r="AV63" s="6">
        <f>SUM(AH63:AK63)</f>
        <v>-34826.606537972817</v>
      </c>
      <c r="AW63" s="6">
        <f>SUM(AL63:AO63)</f>
        <v>-44931.003712886828</v>
      </c>
    </row>
    <row r="65" spans="1:41" s="2" customFormat="1" x14ac:dyDescent="0.2">
      <c r="A65" s="2" t="s">
        <v>55</v>
      </c>
      <c r="N65" s="2">
        <f>N62-N63</f>
        <v>-4252</v>
      </c>
      <c r="O65" s="2">
        <f>O62-O63</f>
        <v>-2029</v>
      </c>
      <c r="P65" s="2">
        <f>P62-P63</f>
        <v>-11477</v>
      </c>
      <c r="Q65" s="2">
        <f>Q62-Q63</f>
        <v>8153</v>
      </c>
      <c r="R65" s="2">
        <f t="shared" ref="R65:AG65" si="31">R62-R63</f>
        <v>-5713</v>
      </c>
      <c r="S65" s="2">
        <f t="shared" si="31"/>
        <v>10589</v>
      </c>
      <c r="T65" s="2">
        <f t="shared" si="31"/>
        <v>-37140</v>
      </c>
      <c r="U65" s="2">
        <f t="shared" si="31"/>
        <v>26043</v>
      </c>
      <c r="V65" s="2">
        <f t="shared" si="31"/>
        <v>-65179</v>
      </c>
      <c r="W65" s="2">
        <f t="shared" si="31"/>
        <v>32764</v>
      </c>
      <c r="X65" s="2">
        <f t="shared" si="31"/>
        <v>6651</v>
      </c>
      <c r="Y65" s="2">
        <f t="shared" si="31"/>
        <v>24306</v>
      </c>
      <c r="Z65" s="2">
        <f t="shared" si="31"/>
        <v>5742</v>
      </c>
      <c r="AA65" s="2">
        <f t="shared" si="31"/>
        <v>7476</v>
      </c>
      <c r="AB65" s="20">
        <f t="shared" si="31"/>
        <v>251562</v>
      </c>
      <c r="AC65" s="20">
        <f t="shared" si="31"/>
        <v>1858</v>
      </c>
      <c r="AD65" s="20">
        <f t="shared" si="31"/>
        <v>2186</v>
      </c>
      <c r="AE65" s="20">
        <f t="shared" si="31"/>
        <v>-20327.23819190279</v>
      </c>
      <c r="AF65" s="20">
        <f t="shared" si="31"/>
        <v>-29343.661951902777</v>
      </c>
      <c r="AG65" s="20">
        <f t="shared" si="31"/>
        <v>-16066.223954302794</v>
      </c>
      <c r="AH65" s="20">
        <f t="shared" ref="AH65:AO65" si="32">AH62-AH63</f>
        <v>-32128.003024678805</v>
      </c>
      <c r="AI65" s="20">
        <f t="shared" si="32"/>
        <v>-34639.179600351024</v>
      </c>
      <c r="AJ65" s="20">
        <f t="shared" si="32"/>
        <v>-41670.564999066541</v>
      </c>
      <c r="AK65" s="20">
        <f t="shared" si="32"/>
        <v>-30868.678527794895</v>
      </c>
      <c r="AL65" s="20">
        <f t="shared" si="32"/>
        <v>-43539.965071635961</v>
      </c>
      <c r="AM65" s="20">
        <f t="shared" si="32"/>
        <v>-45372.550986838643</v>
      </c>
      <c r="AN65" s="20">
        <f t="shared" si="32"/>
        <v>-49812.926922026483</v>
      </c>
      <c r="AO65" s="20">
        <f t="shared" si="32"/>
        <v>-40998.571871046224</v>
      </c>
    </row>
    <row r="67" spans="1:41" x14ac:dyDescent="0.2">
      <c r="A67" t="s">
        <v>11</v>
      </c>
      <c r="N67">
        <v>116730</v>
      </c>
      <c r="O67">
        <v>118790</v>
      </c>
      <c r="P67">
        <v>120085</v>
      </c>
      <c r="Q67">
        <f>119204*4-P67-O67-N67</f>
        <v>121211</v>
      </c>
      <c r="R67">
        <v>122428</v>
      </c>
      <c r="S67">
        <v>123842</v>
      </c>
      <c r="T67" s="6">
        <v>126194</v>
      </c>
      <c r="U67" s="6">
        <f>125367*4-T67-S67-R67</f>
        <v>129004</v>
      </c>
      <c r="V67">
        <v>134352</v>
      </c>
      <c r="W67">
        <v>143112</v>
      </c>
      <c r="X67">
        <v>144746</v>
      </c>
      <c r="Y67">
        <f>141262*4-X67-W67-V67</f>
        <v>142838</v>
      </c>
      <c r="Z67">
        <v>132162</v>
      </c>
      <c r="AA67">
        <v>126272</v>
      </c>
      <c r="AB67">
        <v>126132</v>
      </c>
      <c r="AC67">
        <v>125750</v>
      </c>
      <c r="AD67">
        <v>123710</v>
      </c>
    </row>
    <row r="68" spans="1:41" x14ac:dyDescent="0.2">
      <c r="A68" t="s">
        <v>12</v>
      </c>
      <c r="N68">
        <v>116730</v>
      </c>
      <c r="O68">
        <v>118790</v>
      </c>
      <c r="P68">
        <v>120085</v>
      </c>
      <c r="Q68">
        <f>119204*4-P68-O68-N68</f>
        <v>121211</v>
      </c>
      <c r="R68">
        <v>122428</v>
      </c>
      <c r="S68">
        <v>123842</v>
      </c>
      <c r="T68" s="6">
        <v>126194</v>
      </c>
      <c r="U68" s="6">
        <f>125367*4-T68-S68-R68</f>
        <v>129004</v>
      </c>
      <c r="V68">
        <v>134352</v>
      </c>
      <c r="W68">
        <v>168282</v>
      </c>
      <c r="X68">
        <v>146699</v>
      </c>
      <c r="Y68">
        <f>141262*4-X68-W68-V68</f>
        <v>115715</v>
      </c>
      <c r="Z68">
        <v>133270</v>
      </c>
      <c r="AA68">
        <v>149574</v>
      </c>
      <c r="AB68">
        <v>148045</v>
      </c>
      <c r="AC68">
        <v>127518</v>
      </c>
      <c r="AD68">
        <v>124304</v>
      </c>
    </row>
    <row r="69" spans="1:41" x14ac:dyDescent="0.2">
      <c r="T69" s="6"/>
      <c r="U69" s="6"/>
    </row>
    <row r="70" spans="1:41" x14ac:dyDescent="0.2">
      <c r="A70" t="s">
        <v>291</v>
      </c>
      <c r="N70" s="7">
        <f>N65/N67</f>
        <v>-3.6425940203889319E-2</v>
      </c>
      <c r="O70" s="7">
        <f t="shared" ref="O70:AB70" si="33">O65/O67</f>
        <v>-1.7080562336897046E-2</v>
      </c>
      <c r="P70" s="7">
        <f t="shared" si="33"/>
        <v>-9.5573968439022355E-2</v>
      </c>
      <c r="Q70" s="7">
        <f t="shared" si="33"/>
        <v>6.7262872181567679E-2</v>
      </c>
      <c r="R70" s="7">
        <f t="shared" si="33"/>
        <v>-4.6664161793053875E-2</v>
      </c>
      <c r="S70" s="7">
        <f t="shared" si="33"/>
        <v>8.5504110075741671E-2</v>
      </c>
      <c r="T70" s="7">
        <f t="shared" si="33"/>
        <v>-0.29430876269870199</v>
      </c>
      <c r="U70" s="7">
        <f t="shared" si="33"/>
        <v>0.20187746116399491</v>
      </c>
      <c r="V70" s="7">
        <f t="shared" si="33"/>
        <v>-0.48513606049779684</v>
      </c>
      <c r="W70" s="7">
        <f t="shared" si="33"/>
        <v>0.22893957180390184</v>
      </c>
      <c r="X70" s="7">
        <f t="shared" si="33"/>
        <v>4.5949456288947539E-2</v>
      </c>
      <c r="Y70" s="7">
        <f t="shared" si="33"/>
        <v>0.1701648020834792</v>
      </c>
      <c r="Z70" s="7">
        <f t="shared" si="33"/>
        <v>4.3446679075679846E-2</v>
      </c>
      <c r="AA70" s="7">
        <f t="shared" si="33"/>
        <v>5.9205524581855046E-2</v>
      </c>
      <c r="AB70" s="7">
        <f t="shared" si="33"/>
        <v>1.99443440205499</v>
      </c>
      <c r="AC70" s="7">
        <f t="shared" ref="AC70" si="34">AC65/AC67</f>
        <v>1.477534791252485E-2</v>
      </c>
    </row>
    <row r="71" spans="1:41" x14ac:dyDescent="0.2">
      <c r="A71" t="s">
        <v>292</v>
      </c>
      <c r="N71" s="7">
        <f>N65/N68</f>
        <v>-3.6425940203889319E-2</v>
      </c>
      <c r="O71" s="7">
        <f t="shared" ref="O71:AB71" si="35">O65/O68</f>
        <v>-1.7080562336897046E-2</v>
      </c>
      <c r="P71" s="7">
        <f t="shared" si="35"/>
        <v>-9.5573968439022355E-2</v>
      </c>
      <c r="Q71" s="7">
        <f t="shared" si="35"/>
        <v>6.7262872181567679E-2</v>
      </c>
      <c r="R71" s="7">
        <f t="shared" si="35"/>
        <v>-4.6664161793053875E-2</v>
      </c>
      <c r="S71" s="7">
        <f t="shared" si="35"/>
        <v>8.5504110075741671E-2</v>
      </c>
      <c r="T71" s="7">
        <f t="shared" si="35"/>
        <v>-0.29430876269870199</v>
      </c>
      <c r="U71" s="7">
        <f t="shared" si="35"/>
        <v>0.20187746116399491</v>
      </c>
      <c r="V71" s="7">
        <f t="shared" si="35"/>
        <v>-0.48513606049779684</v>
      </c>
      <c r="W71" s="7">
        <f t="shared" si="35"/>
        <v>0.19469699670790697</v>
      </c>
      <c r="X71" s="7">
        <f t="shared" si="35"/>
        <v>4.5337732363547129E-2</v>
      </c>
      <c r="Y71" s="7">
        <f t="shared" si="35"/>
        <v>0.21005055524348615</v>
      </c>
      <c r="Z71" s="7">
        <f t="shared" si="35"/>
        <v>4.3085465596158175E-2</v>
      </c>
      <c r="AA71" s="7">
        <f t="shared" si="35"/>
        <v>4.9981948734405715E-2</v>
      </c>
      <c r="AB71" s="7">
        <f t="shared" si="35"/>
        <v>1.6992265865108582</v>
      </c>
      <c r="AC71" s="7">
        <f t="shared" ref="AC71" si="36">AC65/AC68</f>
        <v>1.4570492008971283E-2</v>
      </c>
    </row>
    <row r="72" spans="1:41" x14ac:dyDescent="0.2">
      <c r="T72" s="6"/>
      <c r="U72" s="6"/>
    </row>
    <row r="73" spans="1:41" s="11" customFormat="1" x14ac:dyDescent="0.2">
      <c r="A73" s="11" t="s">
        <v>227</v>
      </c>
      <c r="R73" s="12">
        <f t="shared" ref="R73:AB73" si="37">R44/N44-1</f>
        <v>0.3500702787552965</v>
      </c>
      <c r="S73" s="12">
        <f t="shared" si="37"/>
        <v>0.63014851590633048</v>
      </c>
      <c r="T73" s="12">
        <f t="shared" si="37"/>
        <v>0.63586154156620744</v>
      </c>
      <c r="U73" s="12">
        <f t="shared" si="37"/>
        <v>0.63994292273843301</v>
      </c>
      <c r="V73" s="12">
        <f t="shared" si="37"/>
        <v>0.50754616612204573</v>
      </c>
      <c r="W73" s="12">
        <f t="shared" si="37"/>
        <v>0.29716552621087655</v>
      </c>
      <c r="X73" s="12">
        <f t="shared" si="37"/>
        <v>0.116376007999065</v>
      </c>
      <c r="Y73" s="12">
        <f t="shared" si="37"/>
        <v>8.4872229864718651E-3</v>
      </c>
      <c r="Z73" s="12">
        <f t="shared" si="37"/>
        <v>1.9488048069846498E-2</v>
      </c>
      <c r="AA73" s="12">
        <f t="shared" si="37"/>
        <v>-1.8929050071040621E-2</v>
      </c>
      <c r="AB73" s="12">
        <f t="shared" si="37"/>
        <v>-4.1892033360086511E-2</v>
      </c>
      <c r="AC73" s="36">
        <f t="shared" ref="AC73:AO73" si="38">AC44/Y44-1</f>
        <v>-1.0960779304660551E-2</v>
      </c>
      <c r="AD73" s="12">
        <f>AD44/Z44-1</f>
        <v>-7.2402642352801583E-2</v>
      </c>
      <c r="AE73" s="12">
        <f>AE44/AA44-1</f>
        <v>-0.17464166679505544</v>
      </c>
      <c r="AF73" s="12">
        <f>AF44/AB44-1</f>
        <v>-0.12991095004825814</v>
      </c>
      <c r="AG73" s="12">
        <f>AG44/AC44-1</f>
        <v>-0.19999999999999984</v>
      </c>
      <c r="AH73" s="12">
        <f>AH44/AD44-1</f>
        <v>-0.28170958576979865</v>
      </c>
      <c r="AI73" s="12">
        <f t="shared" si="38"/>
        <v>-0.19999999999999996</v>
      </c>
      <c r="AJ73" s="12">
        <f t="shared" si="38"/>
        <v>-0.19999999999999996</v>
      </c>
      <c r="AK73" s="12">
        <f t="shared" si="38"/>
        <v>-0.19999999999999996</v>
      </c>
      <c r="AL73" s="12">
        <f t="shared" si="38"/>
        <v>-0.19999999999999996</v>
      </c>
      <c r="AM73" s="12">
        <f t="shared" si="38"/>
        <v>-0.19999999999999996</v>
      </c>
      <c r="AN73" s="12">
        <f t="shared" si="38"/>
        <v>-0.19999999999999996</v>
      </c>
      <c r="AO73" s="12">
        <f t="shared" si="38"/>
        <v>-0.19999999999999996</v>
      </c>
    </row>
    <row r="74" spans="1:41" s="11" customFormat="1" x14ac:dyDescent="0.2">
      <c r="A74" s="11" t="s">
        <v>285</v>
      </c>
      <c r="R74" s="12">
        <f t="shared" ref="R74:AB74" si="39">S46/N46-1</f>
        <v>0.47685272614454899</v>
      </c>
      <c r="S74" s="12">
        <f t="shared" si="39"/>
        <v>0.24956369982547999</v>
      </c>
      <c r="T74" s="12">
        <f t="shared" si="39"/>
        <v>1.0640949060246987</v>
      </c>
      <c r="U74" s="12">
        <f t="shared" si="39"/>
        <v>0.27916276352501534</v>
      </c>
      <c r="V74" s="12">
        <f t="shared" si="39"/>
        <v>0.54450672645739906</v>
      </c>
      <c r="W74" s="12">
        <f t="shared" si="39"/>
        <v>-4.2425903091747763E-2</v>
      </c>
      <c r="X74" s="12">
        <f t="shared" si="39"/>
        <v>0.6558681040502794</v>
      </c>
      <c r="Y74" s="12">
        <f t="shared" si="39"/>
        <v>-9.6171965434624918E-3</v>
      </c>
      <c r="Z74" s="12">
        <f t="shared" si="39"/>
        <v>0.17357512953367871</v>
      </c>
      <c r="AA74" s="12">
        <f t="shared" si="39"/>
        <v>-0.1323510198156348</v>
      </c>
      <c r="AB74" s="12">
        <f t="shared" si="39"/>
        <v>0.4667016405951927</v>
      </c>
      <c r="AC74" s="36">
        <f>AD46/Y46-1</f>
        <v>-8.7679645749454749E-2</v>
      </c>
      <c r="AD74" s="12">
        <f>AE46/Z46-1</f>
        <v>-0.20275580834335649</v>
      </c>
      <c r="AE74" s="12">
        <f>AF46/AA46-1</f>
        <v>-0.2979163026630971</v>
      </c>
      <c r="AF74" s="12">
        <f>AG46/AB46-1</f>
        <v>2.482197831615629E-3</v>
      </c>
      <c r="AG74" s="12">
        <f>AH46/AC46-1</f>
        <v>-0.36028094089185736</v>
      </c>
      <c r="AH74" s="12">
        <f>AI46/AD46-1</f>
        <v>-0.32208993506728012</v>
      </c>
      <c r="AI74" s="12">
        <f t="shared" ref="AI74:AO74" si="40">AJ46/AE46-1</f>
        <v>-0.28649867529147932</v>
      </c>
      <c r="AJ74" s="12">
        <f t="shared" si="40"/>
        <v>-8.3816667782912413E-2</v>
      </c>
      <c r="AK74" s="12">
        <f t="shared" si="40"/>
        <v>-0.3432914378170796</v>
      </c>
      <c r="AL74" s="12">
        <f t="shared" si="40"/>
        <v>-0.236691522203752</v>
      </c>
      <c r="AM74" s="12">
        <f t="shared" si="40"/>
        <v>-0.28649867529147932</v>
      </c>
      <c r="AN74" s="12">
        <f t="shared" si="40"/>
        <v>-8.3816667782912524E-2</v>
      </c>
      <c r="AO74" s="12">
        <f t="shared" si="40"/>
        <v>-1</v>
      </c>
    </row>
    <row r="75" spans="1:41" s="11" customFormat="1" x14ac:dyDescent="0.2">
      <c r="A75" s="11" t="s">
        <v>286</v>
      </c>
      <c r="R75" s="12">
        <f t="shared" ref="R75:AB75" si="41">R53/N53-1</f>
        <v>-4.4089490114464098</v>
      </c>
      <c r="S75" s="12">
        <f t="shared" si="41"/>
        <v>2.2371239911958916</v>
      </c>
      <c r="T75" s="12">
        <f t="shared" si="41"/>
        <v>2.5202689341506823</v>
      </c>
      <c r="U75" s="12">
        <f t="shared" si="41"/>
        <v>1.8917743830787308</v>
      </c>
      <c r="V75" s="12">
        <f t="shared" si="41"/>
        <v>4.1217948717948714</v>
      </c>
      <c r="W75" s="12">
        <f t="shared" si="41"/>
        <v>0.57608449299669107</v>
      </c>
      <c r="X75" s="12">
        <f t="shared" si="41"/>
        <v>-1.0202786203797327</v>
      </c>
      <c r="Y75" s="12">
        <f t="shared" si="41"/>
        <v>-0.4677353813645414</v>
      </c>
      <c r="Z75" s="12">
        <f t="shared" si="41"/>
        <v>-0.67959949937421782</v>
      </c>
      <c r="AA75" s="12">
        <f t="shared" si="41"/>
        <v>-0.78881219442047745</v>
      </c>
      <c r="AB75" s="12">
        <f t="shared" si="41"/>
        <v>-32.67590027700831</v>
      </c>
      <c r="AC75" s="36">
        <f t="shared" ref="AC75:AO75" si="42">AC53/Y53-1</f>
        <v>-0.70710386685498339</v>
      </c>
      <c r="AD75" s="12">
        <f>AD53/Z53-1</f>
        <v>-1.8270089285714286</v>
      </c>
      <c r="AE75" s="12">
        <f>AE53/AA53-1</f>
        <v>-4.2883524445049712</v>
      </c>
      <c r="AF75" s="12">
        <f>AF53/AB53-1</f>
        <v>2.0972367031045027</v>
      </c>
      <c r="AG75" s="12">
        <f>AG53/AC53-1</f>
        <v>-3.4527699990877116</v>
      </c>
      <c r="AH75" s="12">
        <f>AH53/AD53-1</f>
        <v>7.748836716367526</v>
      </c>
      <c r="AI75" s="12">
        <f t="shared" si="42"/>
        <v>0.74089501978020933</v>
      </c>
      <c r="AJ75" s="12">
        <f t="shared" si="42"/>
        <v>0.4350642791815611</v>
      </c>
      <c r="AK75" s="12">
        <f t="shared" si="42"/>
        <v>0.98315439793981874</v>
      </c>
      <c r="AL75" s="12">
        <f t="shared" si="42"/>
        <v>0.36673348214744639</v>
      </c>
      <c r="AM75" s="12">
        <f t="shared" si="42"/>
        <v>0.31916973255736503</v>
      </c>
      <c r="AN75" s="12">
        <f t="shared" si="42"/>
        <v>0.22509608909173617</v>
      </c>
      <c r="AO75" s="12">
        <f t="shared" si="42"/>
        <v>0.37309375157860591</v>
      </c>
    </row>
    <row r="76" spans="1:41" s="11" customFormat="1" x14ac:dyDescent="0.2">
      <c r="A76" s="11" t="s">
        <v>287</v>
      </c>
      <c r="R76" s="12">
        <f>R62/N62-1</f>
        <v>0.4316050744622173</v>
      </c>
      <c r="S76" s="12">
        <f t="shared" ref="S76:AB76" si="43">S62/O62-1</f>
        <v>-9.2130013831258637</v>
      </c>
      <c r="T76" s="12">
        <f t="shared" si="43"/>
        <v>2.3235673484429702</v>
      </c>
      <c r="U76" s="12">
        <f t="shared" si="43"/>
        <v>2.1857063093243996</v>
      </c>
      <c r="V76" s="12">
        <f t="shared" si="43"/>
        <v>11.012714313234444</v>
      </c>
      <c r="W76" s="12">
        <f t="shared" si="43"/>
        <v>1.9461940047153923</v>
      </c>
      <c r="X76" s="12">
        <f t="shared" si="43"/>
        <v>-1.2050784498530798</v>
      </c>
      <c r="Y76" s="12">
        <f t="shared" si="43"/>
        <v>-9.8780145821648957E-2</v>
      </c>
      <c r="Z76" s="12">
        <f t="shared" si="43"/>
        <v>-1.1597068539722248</v>
      </c>
      <c r="AA76" s="12">
        <f t="shared" si="43"/>
        <v>-0.78461802280716797</v>
      </c>
      <c r="AB76" s="12">
        <f t="shared" si="43"/>
        <v>10.394701270613679</v>
      </c>
      <c r="AC76" s="36">
        <f t="shared" ref="AC76" si="44">AC62/Y62-1</f>
        <v>-0.91625826526643328</v>
      </c>
      <c r="AD76" s="12">
        <f>AD62/Z62-1</f>
        <v>-0.36118084144994478</v>
      </c>
      <c r="AE76" s="12">
        <f>AE62/AA62-1</f>
        <v>-4.3716889251431112</v>
      </c>
      <c r="AF76" s="12">
        <f>AF62/AB62-1</f>
        <v>-1.4351180032726574</v>
      </c>
      <c r="AG76" s="12">
        <f>AG62/AC62-1</f>
        <v>-10.327812328322571</v>
      </c>
      <c r="AH76" s="12">
        <f>AH62/AD62-1</f>
        <v>-7.3124809463766907</v>
      </c>
      <c r="AI76" s="12">
        <f t="shared" ref="AI76" si="45">AI62/AE62-1</f>
        <v>0.70407702577860753</v>
      </c>
      <c r="AJ76" s="12">
        <f t="shared" ref="AJ76" si="46">AJ62/AF62-1</f>
        <v>0.42008741333541799</v>
      </c>
      <c r="AK76" s="12">
        <f t="shared" ref="AK76" si="47">AK62/AG62-1</f>
        <v>0.9213399872673731</v>
      </c>
      <c r="AL76" s="12">
        <f t="shared" ref="AL76" si="48">AL62/AH62-1</f>
        <v>0.35520296851911937</v>
      </c>
      <c r="AM76" s="12">
        <f t="shared" ref="AM76" si="49">AM62/AI62-1</f>
        <v>0.30986217082285772</v>
      </c>
      <c r="AN76" s="12">
        <f t="shared" ref="AN76" si="50">AN62/AJ62-1</f>
        <v>0.19539840468067426</v>
      </c>
      <c r="AO76" s="12">
        <f t="shared" ref="AO76" si="51">AO62/AK62-1</f>
        <v>0.32816090051053304</v>
      </c>
    </row>
    <row r="77" spans="1:41" s="11" customFormat="1" x14ac:dyDescent="0.2">
      <c r="A77" s="11" t="s">
        <v>288</v>
      </c>
      <c r="R77" s="12">
        <f>R65/N65-1</f>
        <v>0.34360301034807139</v>
      </c>
      <c r="S77" s="12">
        <f t="shared" ref="S77:AB77" si="52">S65/O65-1</f>
        <v>-6.2188270083785113</v>
      </c>
      <c r="T77" s="12">
        <f t="shared" si="52"/>
        <v>2.2360372919752547</v>
      </c>
      <c r="U77" s="12">
        <f t="shared" si="52"/>
        <v>2.1942843125229978</v>
      </c>
      <c r="V77" s="12">
        <f t="shared" si="52"/>
        <v>10.408892000700158</v>
      </c>
      <c r="W77" s="12">
        <f t="shared" si="52"/>
        <v>2.0941543110775331</v>
      </c>
      <c r="X77" s="12">
        <f t="shared" si="52"/>
        <v>-1.1790791599353796</v>
      </c>
      <c r="Y77" s="12">
        <f t="shared" si="52"/>
        <v>-6.6697385093883232E-2</v>
      </c>
      <c r="Z77" s="12">
        <f t="shared" si="52"/>
        <v>-1.088095859095721</v>
      </c>
      <c r="AA77" s="12">
        <f t="shared" si="52"/>
        <v>-0.7718227322671225</v>
      </c>
      <c r="AB77" s="12">
        <f t="shared" si="52"/>
        <v>36.823184483536309</v>
      </c>
      <c r="AC77" s="36">
        <f t="shared" ref="AC77" si="53">AC65/Y65-1</f>
        <v>-0.92355796922570554</v>
      </c>
      <c r="AD77" s="12">
        <f>AD65/Z65-1</f>
        <v>-0.61929641239986066</v>
      </c>
      <c r="AE77" s="12">
        <f>AE65/AA65-1</f>
        <v>-3.7189992231009619</v>
      </c>
      <c r="AF77" s="12">
        <f>AF65/AB65-1</f>
        <v>-1.1166458445707332</v>
      </c>
      <c r="AG77" s="12">
        <f>AG65/AC65-1</f>
        <v>-9.6470527202921392</v>
      </c>
      <c r="AH77" s="12">
        <f>AH65/AD65-1</f>
        <v>-15.697165153101009</v>
      </c>
      <c r="AI77" s="12">
        <f t="shared" ref="AI77" si="54">AI65/AE65-1</f>
        <v>0.70407702577860731</v>
      </c>
      <c r="AJ77" s="12">
        <f t="shared" ref="AJ77" si="55">AJ65/AF65-1</f>
        <v>0.42008741333541799</v>
      </c>
      <c r="AK77" s="12">
        <f t="shared" ref="AK77" si="56">AK65/AG65-1</f>
        <v>0.9213399872673731</v>
      </c>
      <c r="AL77" s="12">
        <f t="shared" ref="AL77" si="57">AL65/AH65-1</f>
        <v>0.35520296851911937</v>
      </c>
      <c r="AM77" s="12">
        <f t="shared" ref="AM77" si="58">AM65/AI65-1</f>
        <v>0.30986217082285772</v>
      </c>
      <c r="AN77" s="12">
        <f t="shared" ref="AN77" si="59">AN65/AJ65-1</f>
        <v>0.19539840468067426</v>
      </c>
      <c r="AO77" s="12">
        <f t="shared" ref="AO77" si="60">AO65/AK65-1</f>
        <v>0.32816090051053304</v>
      </c>
    </row>
    <row r="78" spans="1:41" s="11" customFormat="1" x14ac:dyDescent="0.2">
      <c r="A78" s="11" t="s">
        <v>289</v>
      </c>
      <c r="R78" s="12">
        <f>R67/N67-1</f>
        <v>4.8813501242182866E-2</v>
      </c>
      <c r="S78" s="12">
        <f t="shared" ref="S78:AB78" si="61">S67/O67-1</f>
        <v>4.2528832393299076E-2</v>
      </c>
      <c r="T78" s="12">
        <f t="shared" si="61"/>
        <v>5.0872298788358306E-2</v>
      </c>
      <c r="U78" s="12">
        <f t="shared" si="61"/>
        <v>6.4292844708813579E-2</v>
      </c>
      <c r="V78" s="12">
        <f t="shared" si="61"/>
        <v>9.739602051818208E-2</v>
      </c>
      <c r="W78" s="12">
        <f t="shared" si="61"/>
        <v>0.1556014922239628</v>
      </c>
      <c r="X78" s="12">
        <f t="shared" si="61"/>
        <v>0.14701174382300275</v>
      </c>
      <c r="Y78" s="12">
        <f t="shared" si="61"/>
        <v>0.10723698489969302</v>
      </c>
      <c r="Z78" s="12">
        <f t="shared" si="61"/>
        <v>-1.6300464451589836E-2</v>
      </c>
      <c r="AA78" s="12">
        <f t="shared" si="61"/>
        <v>-0.11767007658337525</v>
      </c>
      <c r="AB78" s="12">
        <f t="shared" si="61"/>
        <v>-0.12859768145579153</v>
      </c>
      <c r="AC78" s="36">
        <f t="shared" ref="AC78:AC79" si="62">AC67/Y67-1</f>
        <v>-0.1196320306921127</v>
      </c>
      <c r="AD78" s="12">
        <f>AD67/Z67-1</f>
        <v>-6.395181670979555E-2</v>
      </c>
      <c r="AE78" s="12">
        <f>AE67/AA67-1</f>
        <v>-1</v>
      </c>
      <c r="AF78" s="12">
        <f>AF67/AB67-1</f>
        <v>-1</v>
      </c>
      <c r="AG78" s="12">
        <f>AG67/AC67-1</f>
        <v>-1</v>
      </c>
      <c r="AH78" s="12">
        <f>AH67/AD67-1</f>
        <v>-1</v>
      </c>
      <c r="AI78" s="12" t="e">
        <f t="shared" ref="AI78:AI79" si="63">AI67/AE67-1</f>
        <v>#DIV/0!</v>
      </c>
      <c r="AJ78" s="12" t="e">
        <f t="shared" ref="AJ78:AJ79" si="64">AJ67/AF67-1</f>
        <v>#DIV/0!</v>
      </c>
      <c r="AK78" s="12" t="e">
        <f t="shared" ref="AK78:AK79" si="65">AK67/AG67-1</f>
        <v>#DIV/0!</v>
      </c>
      <c r="AL78" s="12" t="e">
        <f t="shared" ref="AL78:AL79" si="66">AL67/AH67-1</f>
        <v>#DIV/0!</v>
      </c>
      <c r="AM78" s="12" t="e">
        <f t="shared" ref="AM78:AM79" si="67">AM67/AI67-1</f>
        <v>#DIV/0!</v>
      </c>
      <c r="AN78" s="12" t="e">
        <f t="shared" ref="AN78:AN79" si="68">AN67/AJ67-1</f>
        <v>#DIV/0!</v>
      </c>
      <c r="AO78" s="12" t="e">
        <f t="shared" ref="AO78:AO79" si="69">AO67/AK67-1</f>
        <v>#DIV/0!</v>
      </c>
    </row>
    <row r="79" spans="1:41" s="11" customFormat="1" x14ac:dyDescent="0.2">
      <c r="A79" s="11" t="s">
        <v>290</v>
      </c>
      <c r="R79" s="12">
        <f>R68/N68-1</f>
        <v>4.8813501242182866E-2</v>
      </c>
      <c r="S79" s="12">
        <f t="shared" ref="S79:AB79" si="70">S68/O68-1</f>
        <v>4.2528832393299076E-2</v>
      </c>
      <c r="T79" s="12">
        <f t="shared" si="70"/>
        <v>5.0872298788358306E-2</v>
      </c>
      <c r="U79" s="12">
        <f t="shared" si="70"/>
        <v>6.4292844708813579E-2</v>
      </c>
      <c r="V79" s="12">
        <f t="shared" si="70"/>
        <v>9.739602051818208E-2</v>
      </c>
      <c r="W79" s="12">
        <f t="shared" si="70"/>
        <v>0.35884433390933612</v>
      </c>
      <c r="X79" s="12">
        <f t="shared" si="70"/>
        <v>0.16248791543179553</v>
      </c>
      <c r="Y79" s="12">
        <f t="shared" si="70"/>
        <v>-0.10301230969582342</v>
      </c>
      <c r="Z79" s="12">
        <f t="shared" si="70"/>
        <v>-8.0534714779088024E-3</v>
      </c>
      <c r="AA79" s="12">
        <f t="shared" si="70"/>
        <v>-0.11117053517310227</v>
      </c>
      <c r="AB79" s="12">
        <f t="shared" si="70"/>
        <v>9.1752500017041605E-3</v>
      </c>
      <c r="AC79" s="36">
        <f t="shared" si="62"/>
        <v>0.10200060493453744</v>
      </c>
      <c r="AD79" s="12">
        <f>AD68/Z68-1</f>
        <v>-6.7276956554363276E-2</v>
      </c>
      <c r="AE79" s="12">
        <f>AE68/AA68-1</f>
        <v>-1</v>
      </c>
      <c r="AF79" s="12">
        <f>AF68/AB68-1</f>
        <v>-1</v>
      </c>
      <c r="AG79" s="12">
        <f>AG68/AC68-1</f>
        <v>-1</v>
      </c>
      <c r="AH79" s="12">
        <f>AH68/AD68-1</f>
        <v>-1</v>
      </c>
      <c r="AI79" s="12" t="e">
        <f t="shared" si="63"/>
        <v>#DIV/0!</v>
      </c>
      <c r="AJ79" s="12" t="e">
        <f t="shared" si="64"/>
        <v>#DIV/0!</v>
      </c>
      <c r="AK79" s="12" t="e">
        <f t="shared" si="65"/>
        <v>#DIV/0!</v>
      </c>
      <c r="AL79" s="12" t="e">
        <f t="shared" si="66"/>
        <v>#DIV/0!</v>
      </c>
      <c r="AM79" s="12" t="e">
        <f t="shared" si="67"/>
        <v>#DIV/0!</v>
      </c>
      <c r="AN79" s="12" t="e">
        <f t="shared" si="68"/>
        <v>#DIV/0!</v>
      </c>
      <c r="AO79" s="12" t="e">
        <f t="shared" si="69"/>
        <v>#DIV/0!</v>
      </c>
    </row>
    <row r="80" spans="1:41" s="3" customFormat="1" x14ac:dyDescent="0.2">
      <c r="A80" s="3" t="s">
        <v>16</v>
      </c>
    </row>
    <row r="82" spans="1:41" x14ac:dyDescent="0.2">
      <c r="A82" s="2" t="s">
        <v>52</v>
      </c>
    </row>
    <row r="83" spans="1:41" x14ac:dyDescent="0.2">
      <c r="A83" t="s">
        <v>17</v>
      </c>
      <c r="U83">
        <v>479853</v>
      </c>
      <c r="V83">
        <v>656168</v>
      </c>
      <c r="W83">
        <v>840056</v>
      </c>
      <c r="X83">
        <v>713837</v>
      </c>
      <c r="Y83">
        <v>854078</v>
      </c>
      <c r="Z83">
        <v>267731</v>
      </c>
      <c r="AA83">
        <v>402089</v>
      </c>
      <c r="AB83">
        <v>69349</v>
      </c>
      <c r="AC83">
        <v>473677</v>
      </c>
    </row>
    <row r="84" spans="1:41" x14ac:dyDescent="0.2">
      <c r="A84" t="s">
        <v>18</v>
      </c>
      <c r="U84">
        <v>665567</v>
      </c>
      <c r="V84">
        <v>1215944</v>
      </c>
      <c r="W84">
        <v>1221666</v>
      </c>
      <c r="X84">
        <v>1038345</v>
      </c>
      <c r="Y84">
        <v>691781</v>
      </c>
      <c r="Z84">
        <v>915431</v>
      </c>
      <c r="AA84">
        <v>981288</v>
      </c>
      <c r="AB84">
        <v>871408</v>
      </c>
      <c r="AC84">
        <v>583973</v>
      </c>
    </row>
    <row r="85" spans="1:41" s="2" customFormat="1" x14ac:dyDescent="0.2">
      <c r="A85" s="2" t="s">
        <v>51</v>
      </c>
      <c r="U85" s="2">
        <f t="shared" ref="U85:AG85" si="71">U83+U84</f>
        <v>1145420</v>
      </c>
      <c r="V85" s="2">
        <f t="shared" si="71"/>
        <v>1872112</v>
      </c>
      <c r="W85" s="2">
        <f t="shared" si="71"/>
        <v>2061722</v>
      </c>
      <c r="X85" s="2">
        <f t="shared" si="71"/>
        <v>1752182</v>
      </c>
      <c r="Y85" s="2">
        <f t="shared" si="71"/>
        <v>1545859</v>
      </c>
      <c r="Z85" s="2">
        <f t="shared" si="71"/>
        <v>1183162</v>
      </c>
      <c r="AA85" s="2">
        <f t="shared" si="71"/>
        <v>1383377</v>
      </c>
      <c r="AB85" s="2">
        <f t="shared" si="71"/>
        <v>940757</v>
      </c>
      <c r="AC85" s="2">
        <f t="shared" si="71"/>
        <v>1057650</v>
      </c>
      <c r="AD85" s="2">
        <f t="shared" si="71"/>
        <v>0</v>
      </c>
      <c r="AE85" s="2">
        <f t="shared" si="71"/>
        <v>0</v>
      </c>
      <c r="AF85" s="2">
        <f t="shared" si="71"/>
        <v>0</v>
      </c>
      <c r="AG85" s="2">
        <f t="shared" si="71"/>
        <v>0</v>
      </c>
      <c r="AH85" s="2">
        <f t="shared" ref="AH85:AO85" si="72">AH83+AH84</f>
        <v>0</v>
      </c>
      <c r="AI85" s="2">
        <f t="shared" si="72"/>
        <v>0</v>
      </c>
      <c r="AJ85" s="2">
        <f t="shared" si="72"/>
        <v>0</v>
      </c>
      <c r="AK85" s="2">
        <f t="shared" si="72"/>
        <v>0</v>
      </c>
      <c r="AL85" s="2">
        <f t="shared" si="72"/>
        <v>0</v>
      </c>
      <c r="AM85" s="2">
        <f t="shared" si="72"/>
        <v>0</v>
      </c>
      <c r="AN85" s="2">
        <f t="shared" si="72"/>
        <v>0</v>
      </c>
      <c r="AO85" s="2">
        <f t="shared" si="72"/>
        <v>0</v>
      </c>
    </row>
    <row r="86" spans="1:41" hidden="1" outlineLevel="1" x14ac:dyDescent="0.2">
      <c r="A86" t="s">
        <v>159</v>
      </c>
      <c r="U86">
        <f>U87+U88</f>
        <v>13066</v>
      </c>
      <c r="V86">
        <f>V87+V88</f>
        <v>11802</v>
      </c>
      <c r="W86">
        <f>W87+W88</f>
        <v>10238</v>
      </c>
      <c r="X86">
        <f>X87+X88</f>
        <v>9413</v>
      </c>
      <c r="Y86">
        <f>Y87+Y88</f>
        <v>18003</v>
      </c>
      <c r="Z86">
        <f>Z88+Z87</f>
        <v>20074</v>
      </c>
      <c r="AA86">
        <f>AA88+AA87</f>
        <v>17049</v>
      </c>
      <c r="AB86">
        <f>AB88+AB87</f>
        <v>22485</v>
      </c>
    </row>
    <row r="87" spans="1:41" hidden="1" outlineLevel="1" x14ac:dyDescent="0.2">
      <c r="A87" t="s">
        <v>21</v>
      </c>
      <c r="U87">
        <v>153</v>
      </c>
      <c r="V87">
        <v>169</v>
      </c>
      <c r="W87">
        <v>147</v>
      </c>
      <c r="X87">
        <v>111</v>
      </c>
      <c r="Y87">
        <v>153</v>
      </c>
      <c r="Z87">
        <v>156</v>
      </c>
      <c r="AA87">
        <v>234</v>
      </c>
      <c r="AB87">
        <v>298</v>
      </c>
    </row>
    <row r="88" spans="1:41" collapsed="1" x14ac:dyDescent="0.2">
      <c r="A88" t="s">
        <v>22</v>
      </c>
      <c r="U88">
        <v>12913</v>
      </c>
      <c r="V88">
        <v>11633</v>
      </c>
      <c r="W88">
        <v>10091</v>
      </c>
      <c r="X88">
        <v>9302</v>
      </c>
      <c r="Y88">
        <v>17850</v>
      </c>
      <c r="Z88">
        <v>19918</v>
      </c>
      <c r="AA88">
        <v>16815</v>
      </c>
      <c r="AB88">
        <v>22187</v>
      </c>
      <c r="AC88" s="6">
        <v>23515</v>
      </c>
      <c r="AD88" s="6">
        <f t="shared" ref="AD88:AO88" si="73">AD133/90*AD44</f>
        <v>25013.466666666667</v>
      </c>
      <c r="AE88" s="6">
        <f t="shared" si="73"/>
        <v>21428.613333333335</v>
      </c>
      <c r="AF88" s="6">
        <f t="shared" si="73"/>
        <v>19111.68</v>
      </c>
      <c r="AG88" s="6">
        <f t="shared" si="73"/>
        <v>21887.253333333338</v>
      </c>
      <c r="AH88" s="6">
        <f t="shared" si="73"/>
        <v>17966.933333333334</v>
      </c>
      <c r="AI88" s="6">
        <f t="shared" si="73"/>
        <v>17142.890666666666</v>
      </c>
      <c r="AJ88" s="6">
        <f t="shared" si="73"/>
        <v>15289.344000000003</v>
      </c>
      <c r="AK88" s="6">
        <f t="shared" si="73"/>
        <v>17509.80266666667</v>
      </c>
      <c r="AL88" s="6">
        <f t="shared" si="73"/>
        <v>14373.546666666667</v>
      </c>
      <c r="AM88" s="6">
        <f t="shared" si="73"/>
        <v>13714.312533333336</v>
      </c>
      <c r="AN88" s="6">
        <f t="shared" si="73"/>
        <v>12231.475200000001</v>
      </c>
      <c r="AO88" s="6">
        <f t="shared" si="73"/>
        <v>14007.842133333335</v>
      </c>
    </row>
    <row r="89" spans="1:41" x14ac:dyDescent="0.2">
      <c r="A89" t="s">
        <v>23</v>
      </c>
      <c r="U89">
        <v>12776</v>
      </c>
      <c r="V89">
        <v>25256</v>
      </c>
      <c r="W89">
        <v>18811</v>
      </c>
      <c r="X89">
        <v>35164</v>
      </c>
      <c r="Y89">
        <v>35093</v>
      </c>
      <c r="Z89">
        <v>28882</v>
      </c>
      <c r="AA89">
        <v>20115</v>
      </c>
      <c r="AB89">
        <v>33441</v>
      </c>
      <c r="AC89" s="6">
        <v>28481</v>
      </c>
      <c r="AD89" s="6">
        <f t="shared" ref="AD89:AO89" si="74">AD134*AD45</f>
        <v>29490</v>
      </c>
      <c r="AE89" s="6">
        <f t="shared" si="74"/>
        <v>26035.765200000002</v>
      </c>
      <c r="AF89" s="6">
        <f t="shared" si="74"/>
        <v>23220.691200000001</v>
      </c>
      <c r="AG89" s="6">
        <f t="shared" si="74"/>
        <v>26593.012800000004</v>
      </c>
      <c r="AH89" s="6">
        <f t="shared" si="74"/>
        <v>21829.824000000001</v>
      </c>
      <c r="AI89" s="6">
        <f t="shared" si="74"/>
        <v>20828.612160000001</v>
      </c>
      <c r="AJ89" s="6">
        <f t="shared" si="74"/>
        <v>18576.552960000001</v>
      </c>
      <c r="AK89" s="6">
        <f t="shared" si="74"/>
        <v>21274.410240000005</v>
      </c>
      <c r="AL89" s="6">
        <f t="shared" si="74"/>
        <v>17463.859200000003</v>
      </c>
      <c r="AM89" s="6">
        <f t="shared" si="74"/>
        <v>16662.889728000002</v>
      </c>
      <c r="AN89" s="6">
        <f t="shared" si="74"/>
        <v>14861.242368000003</v>
      </c>
      <c r="AO89" s="6">
        <f t="shared" si="74"/>
        <v>17019.528192000005</v>
      </c>
    </row>
    <row r="90" spans="1:41" x14ac:dyDescent="0.2">
      <c r="A90" t="s">
        <v>24</v>
      </c>
      <c r="U90">
        <v>11846</v>
      </c>
      <c r="V90">
        <v>26625</v>
      </c>
      <c r="W90">
        <v>25643</v>
      </c>
      <c r="X90">
        <v>29316</v>
      </c>
      <c r="Y90">
        <v>23846</v>
      </c>
      <c r="Z90">
        <v>14671</v>
      </c>
      <c r="AA90">
        <v>31559</v>
      </c>
      <c r="AB90">
        <v>35196</v>
      </c>
      <c r="AC90">
        <v>34754</v>
      </c>
    </row>
    <row r="91" spans="1:41" s="2" customFormat="1" x14ac:dyDescent="0.2">
      <c r="A91" s="2" t="s">
        <v>25</v>
      </c>
      <c r="U91" s="2">
        <f t="shared" ref="U91:AO91" si="75">U83+U84+U88+U89+U90</f>
        <v>1182955</v>
      </c>
      <c r="V91" s="2">
        <f t="shared" si="75"/>
        <v>1935626</v>
      </c>
      <c r="W91" s="2">
        <f t="shared" si="75"/>
        <v>2116267</v>
      </c>
      <c r="X91" s="2">
        <f t="shared" si="75"/>
        <v>1825964</v>
      </c>
      <c r="Y91" s="2">
        <f t="shared" si="75"/>
        <v>1622648</v>
      </c>
      <c r="Z91" s="2">
        <f t="shared" si="75"/>
        <v>1246633</v>
      </c>
      <c r="AA91" s="2">
        <f t="shared" si="75"/>
        <v>1451866</v>
      </c>
      <c r="AB91" s="20">
        <f t="shared" si="75"/>
        <v>1031581</v>
      </c>
      <c r="AC91" s="20">
        <f t="shared" si="75"/>
        <v>1144400</v>
      </c>
      <c r="AD91" s="20">
        <f t="shared" si="75"/>
        <v>54503.466666666667</v>
      </c>
      <c r="AE91" s="20">
        <f t="shared" si="75"/>
        <v>47464.378533333336</v>
      </c>
      <c r="AF91" s="20">
        <f t="shared" si="75"/>
        <v>42332.371200000001</v>
      </c>
      <c r="AG91" s="20">
        <f t="shared" si="75"/>
        <v>48480.266133333338</v>
      </c>
      <c r="AH91" s="20">
        <f t="shared" si="75"/>
        <v>39796.757333333335</v>
      </c>
      <c r="AI91" s="20">
        <f t="shared" si="75"/>
        <v>37971.502826666663</v>
      </c>
      <c r="AJ91" s="20">
        <f t="shared" si="75"/>
        <v>33865.896960000005</v>
      </c>
      <c r="AK91" s="20">
        <f t="shared" si="75"/>
        <v>38784.212906666675</v>
      </c>
      <c r="AL91" s="20">
        <f t="shared" si="75"/>
        <v>31837.405866666668</v>
      </c>
      <c r="AM91" s="20">
        <f t="shared" si="75"/>
        <v>30377.202261333339</v>
      </c>
      <c r="AN91" s="20">
        <f t="shared" si="75"/>
        <v>27092.717568000004</v>
      </c>
      <c r="AO91" s="20">
        <f t="shared" si="75"/>
        <v>31027.370325333341</v>
      </c>
    </row>
    <row r="92" spans="1:41" x14ac:dyDescent="0.2">
      <c r="A92" t="s">
        <v>26</v>
      </c>
      <c r="U92">
        <v>523628</v>
      </c>
      <c r="V92">
        <v>711224</v>
      </c>
      <c r="W92">
        <v>484853</v>
      </c>
      <c r="X92">
        <v>813500</v>
      </c>
      <c r="Y92">
        <v>745993</v>
      </c>
      <c r="Z92">
        <v>435413</v>
      </c>
      <c r="AA92">
        <v>265729</v>
      </c>
      <c r="AB92">
        <v>286781</v>
      </c>
      <c r="AC92">
        <v>216233</v>
      </c>
    </row>
    <row r="93" spans="1:41" x14ac:dyDescent="0.2">
      <c r="A93" t="s">
        <v>28</v>
      </c>
      <c r="U93">
        <v>34149</v>
      </c>
      <c r="V93">
        <v>24000</v>
      </c>
      <c r="W93">
        <v>17682</v>
      </c>
      <c r="X93">
        <v>15834</v>
      </c>
      <c r="Y93">
        <v>11241</v>
      </c>
      <c r="Z93">
        <v>10651</v>
      </c>
    </row>
    <row r="94" spans="1:41" x14ac:dyDescent="0.2">
      <c r="A94" t="s">
        <v>27</v>
      </c>
      <c r="U94">
        <v>125807</v>
      </c>
      <c r="V94">
        <v>134093</v>
      </c>
      <c r="W94">
        <v>149627</v>
      </c>
      <c r="X94">
        <v>156121</v>
      </c>
      <c r="Y94">
        <v>169938</v>
      </c>
      <c r="Z94">
        <v>187743</v>
      </c>
      <c r="AA94">
        <v>195370</v>
      </c>
      <c r="AB94">
        <v>202362</v>
      </c>
      <c r="AC94" s="6">
        <v>204383</v>
      </c>
      <c r="AD94" s="6">
        <f>Schedule!N49</f>
        <v>203887.67749999999</v>
      </c>
      <c r="AE94" s="6">
        <f>Schedule!O49</f>
        <v>204305.21823333332</v>
      </c>
      <c r="AF94" s="6">
        <f>Schedule!P49</f>
        <v>203487.83270733326</v>
      </c>
      <c r="AG94" s="6">
        <f>Schedule!Q49</f>
        <v>201423.17165940662</v>
      </c>
      <c r="AH94" s="6">
        <f>Schedule!R49</f>
        <v>205912.24993344158</v>
      </c>
      <c r="AI94" s="6">
        <f>Schedule!S49</f>
        <v>209516.8927402168</v>
      </c>
      <c r="AJ94" s="6">
        <f>Schedule!T49</f>
        <v>212228.25572505977</v>
      </c>
      <c r="AK94" s="6">
        <f>Schedule!U49</f>
        <v>214037.40608975122</v>
      </c>
      <c r="AL94" s="6">
        <f>Schedule!V49</f>
        <v>214935.32170808956</v>
      </c>
      <c r="AM94" s="6">
        <f>Schedule!W49</f>
        <v>214912.89023261133</v>
      </c>
      <c r="AN94" s="6">
        <f>Schedule!X49</f>
        <v>213960.90819237824</v>
      </c>
      <c r="AO94" s="6">
        <f>Schedule!Y49</f>
        <v>212070.08008174296</v>
      </c>
    </row>
    <row r="95" spans="1:41" x14ac:dyDescent="0.2">
      <c r="A95" t="s">
        <v>29</v>
      </c>
      <c r="U95">
        <v>285214</v>
      </c>
      <c r="V95">
        <v>290601</v>
      </c>
      <c r="W95">
        <v>290725</v>
      </c>
      <c r="X95">
        <v>290499</v>
      </c>
      <c r="Y95">
        <v>289763</v>
      </c>
      <c r="Z95">
        <v>641284</v>
      </c>
      <c r="AA95">
        <v>616649</v>
      </c>
      <c r="AB95">
        <v>589702</v>
      </c>
      <c r="AC95">
        <v>615093</v>
      </c>
    </row>
    <row r="96" spans="1:41" x14ac:dyDescent="0.2">
      <c r="A96" t="s">
        <v>30</v>
      </c>
      <c r="U96">
        <v>51249</v>
      </c>
      <c r="V96">
        <v>49798</v>
      </c>
      <c r="W96">
        <v>46620</v>
      </c>
      <c r="X96">
        <v>43573</v>
      </c>
      <c r="Y96">
        <v>40566</v>
      </c>
      <c r="Z96">
        <v>102685</v>
      </c>
      <c r="AA96">
        <v>91469</v>
      </c>
      <c r="AB96">
        <v>80646</v>
      </c>
      <c r="AC96">
        <v>78333</v>
      </c>
    </row>
    <row r="97" spans="1:41" x14ac:dyDescent="0.2">
      <c r="A97" t="s">
        <v>31</v>
      </c>
      <c r="U97">
        <v>24226</v>
      </c>
      <c r="V97">
        <v>22617</v>
      </c>
      <c r="W97">
        <v>21100</v>
      </c>
      <c r="X97">
        <v>19520</v>
      </c>
      <c r="Y97">
        <v>18062</v>
      </c>
      <c r="Z97">
        <v>18879</v>
      </c>
      <c r="AA97">
        <v>15485</v>
      </c>
      <c r="AB97">
        <v>18144</v>
      </c>
      <c r="AC97">
        <v>18838</v>
      </c>
    </row>
    <row r="98" spans="1:41" x14ac:dyDescent="0.2">
      <c r="A98" t="s">
        <v>168</v>
      </c>
      <c r="Y98">
        <v>1365</v>
      </c>
      <c r="AB98">
        <v>166965</v>
      </c>
      <c r="AC98">
        <v>167524</v>
      </c>
    </row>
    <row r="99" spans="1:41" x14ac:dyDescent="0.2">
      <c r="A99" t="s">
        <v>32</v>
      </c>
      <c r="U99">
        <v>24030</v>
      </c>
      <c r="V99">
        <v>25602</v>
      </c>
      <c r="W99">
        <v>24073</v>
      </c>
      <c r="X99">
        <v>22484</v>
      </c>
      <c r="Y99">
        <v>19670</v>
      </c>
      <c r="Z99">
        <v>19182</v>
      </c>
      <c r="AA99">
        <v>17951</v>
      </c>
      <c r="AB99">
        <v>21680</v>
      </c>
      <c r="AC99">
        <v>20612</v>
      </c>
    </row>
    <row r="100" spans="1:41" s="2" customFormat="1" x14ac:dyDescent="0.2">
      <c r="A100" s="2" t="s">
        <v>50</v>
      </c>
      <c r="U100" s="2">
        <f>U91+U92+U93+U94+U95+U96+U97+U99</f>
        <v>2251258</v>
      </c>
      <c r="V100" s="2">
        <f>V91+V92+V93+V94+V95+V96+V97+V99</f>
        <v>3193561</v>
      </c>
      <c r="W100" s="2">
        <f>W91+W92+W93+W94+W95+W96+W97+W99</f>
        <v>3150947</v>
      </c>
      <c r="X100" s="2">
        <f>X91+X92+X93+X94+X95+X96+X97+X99</f>
        <v>3187495</v>
      </c>
      <c r="Y100" s="2">
        <f>Y91+Y92+Y93+Y94+Y95+Y96+Y97+Y99+Y98</f>
        <v>2919246</v>
      </c>
      <c r="Z100" s="2">
        <f>Z91+Z92+Z93+Z94+Z95+Z96+Z97+Z99+Z98</f>
        <v>2662470</v>
      </c>
      <c r="AA100" s="2">
        <f>AA91+AA92+AA93+AA94+AA95+AA96+AA97+AA99+AA98</f>
        <v>2654519</v>
      </c>
      <c r="AB100" s="20">
        <f>AB91+AB92+AB93+AB94+AB95+AB96+AB97+AB99+AB98</f>
        <v>2397861</v>
      </c>
      <c r="AC100" s="20">
        <f t="shared" ref="AC100:AO100" si="76">AC91+AC92+AC93+AC94+AC95+AC96+AC97+AC99+AC98</f>
        <v>2465416</v>
      </c>
      <c r="AD100" s="20">
        <f t="shared" si="76"/>
        <v>258391.14416666667</v>
      </c>
      <c r="AE100" s="20">
        <f t="shared" si="76"/>
        <v>251769.59676666665</v>
      </c>
      <c r="AF100" s="20">
        <f t="shared" si="76"/>
        <v>245820.20390733326</v>
      </c>
      <c r="AG100" s="20">
        <f t="shared" si="76"/>
        <v>249903.43779273995</v>
      </c>
      <c r="AH100" s="20">
        <f t="shared" si="76"/>
        <v>245709.00726677492</v>
      </c>
      <c r="AI100" s="20">
        <f t="shared" si="76"/>
        <v>247488.39556688347</v>
      </c>
      <c r="AJ100" s="20">
        <f t="shared" si="76"/>
        <v>246094.15268505979</v>
      </c>
      <c r="AK100" s="20">
        <f t="shared" si="76"/>
        <v>252821.61899641791</v>
      </c>
      <c r="AL100" s="20">
        <f t="shared" si="76"/>
        <v>246772.72757475622</v>
      </c>
      <c r="AM100" s="20">
        <f t="shared" si="76"/>
        <v>245290.09249394468</v>
      </c>
      <c r="AN100" s="20">
        <f t="shared" si="76"/>
        <v>241053.62576037823</v>
      </c>
      <c r="AO100" s="20">
        <f t="shared" si="76"/>
        <v>243097.45040707631</v>
      </c>
    </row>
    <row r="102" spans="1:41" x14ac:dyDescent="0.2">
      <c r="A102" s="2" t="s">
        <v>44</v>
      </c>
    </row>
    <row r="103" spans="1:41" x14ac:dyDescent="0.2">
      <c r="A103" s="2" t="s">
        <v>45</v>
      </c>
    </row>
    <row r="104" spans="1:41" x14ac:dyDescent="0.2">
      <c r="A104" t="s">
        <v>33</v>
      </c>
      <c r="U104">
        <v>8547</v>
      </c>
      <c r="V104">
        <v>14902</v>
      </c>
      <c r="W104">
        <v>6211</v>
      </c>
      <c r="X104">
        <v>10518</v>
      </c>
      <c r="Y104">
        <v>11992</v>
      </c>
      <c r="Z104">
        <v>9549</v>
      </c>
      <c r="AA104">
        <v>11910</v>
      </c>
      <c r="AB104">
        <v>14902</v>
      </c>
      <c r="AC104" s="6">
        <v>12367</v>
      </c>
      <c r="AD104" s="6">
        <f t="shared" ref="AD104:AO104" si="77">AD132/90*AD45</f>
        <v>13652.777777777779</v>
      </c>
      <c r="AE104" s="6">
        <f t="shared" si="77"/>
        <v>11089.3074</v>
      </c>
      <c r="AF104" s="6">
        <f t="shared" si="77"/>
        <v>9890.2943999999989</v>
      </c>
      <c r="AG104" s="6">
        <f t="shared" si="77"/>
        <v>11326.653600000001</v>
      </c>
      <c r="AH104" s="6">
        <f t="shared" si="77"/>
        <v>9297.887999999999</v>
      </c>
      <c r="AI104" s="6">
        <f t="shared" si="77"/>
        <v>8871.4459200000001</v>
      </c>
      <c r="AJ104" s="6">
        <f t="shared" si="77"/>
        <v>7912.2355200000011</v>
      </c>
      <c r="AK104" s="6">
        <f t="shared" si="77"/>
        <v>9061.3228800000015</v>
      </c>
      <c r="AL104" s="6">
        <f t="shared" si="77"/>
        <v>7438.3104000000003</v>
      </c>
      <c r="AM104" s="6">
        <f t="shared" si="77"/>
        <v>7097.1567360000008</v>
      </c>
      <c r="AN104" s="6">
        <f t="shared" si="77"/>
        <v>6329.7884160000003</v>
      </c>
      <c r="AO104" s="6">
        <f t="shared" si="77"/>
        <v>7249.058304000001</v>
      </c>
    </row>
    <row r="105" spans="1:41" x14ac:dyDescent="0.2">
      <c r="A105" t="s">
        <v>34</v>
      </c>
      <c r="U105">
        <v>32620</v>
      </c>
      <c r="V105">
        <v>48608</v>
      </c>
      <c r="W105">
        <v>34682</v>
      </c>
      <c r="X105">
        <v>49983</v>
      </c>
      <c r="Y105">
        <v>35143</v>
      </c>
      <c r="Z105">
        <v>60458</v>
      </c>
      <c r="AA105">
        <v>53297</v>
      </c>
      <c r="AB105">
        <v>60475</v>
      </c>
      <c r="AC105" s="6">
        <v>56273</v>
      </c>
      <c r="AD105" s="6">
        <f>AD130*AD6</f>
        <v>64007.200000000004</v>
      </c>
      <c r="AE105" s="6">
        <f>AE130*AE6</f>
        <v>48214.38</v>
      </c>
      <c r="AF105" s="6">
        <f>AF130*AF6</f>
        <v>54468.288</v>
      </c>
      <c r="AG105" s="6">
        <f>AG130*AG6</f>
        <v>49246.320000000007</v>
      </c>
      <c r="AH105" s="6">
        <f>AH130*AH6</f>
        <v>40425.599999999999</v>
      </c>
      <c r="AI105" s="6">
        <f>AI130*AI6</f>
        <v>38571.504000000001</v>
      </c>
      <c r="AJ105" s="6">
        <f>AJ130*AJ6</f>
        <v>34401.024000000005</v>
      </c>
      <c r="AK105" s="6">
        <f>AK130*AK6</f>
        <v>39397.056000000004</v>
      </c>
      <c r="AL105" s="6">
        <f>AL130*AL6</f>
        <v>32340.48</v>
      </c>
      <c r="AM105" s="6">
        <f>AM130*AM6</f>
        <v>30857.203200000004</v>
      </c>
      <c r="AN105" s="6">
        <f>AN130*AN6</f>
        <v>27520.819200000002</v>
      </c>
      <c r="AO105" s="6">
        <f>AO130*AO6</f>
        <v>31517.644800000005</v>
      </c>
    </row>
    <row r="106" spans="1:41" x14ac:dyDescent="0.2">
      <c r="A106" t="s">
        <v>35</v>
      </c>
      <c r="U106">
        <v>68565</v>
      </c>
      <c r="V106">
        <v>78089</v>
      </c>
      <c r="W106">
        <v>72644</v>
      </c>
      <c r="X106">
        <v>73320</v>
      </c>
      <c r="Y106">
        <v>67209</v>
      </c>
      <c r="Z106">
        <v>85424</v>
      </c>
      <c r="AA106">
        <v>69160</v>
      </c>
      <c r="AB106">
        <v>68096</v>
      </c>
      <c r="AC106" s="6">
        <v>70234</v>
      </c>
      <c r="AD106" s="6">
        <f t="shared" ref="AD106:AO106" si="78">AD131/90*AD52</f>
        <v>79387.222222222219</v>
      </c>
      <c r="AE106" s="6">
        <f t="shared" si="78"/>
        <v>78593.350000000006</v>
      </c>
      <c r="AF106" s="6">
        <f t="shared" si="78"/>
        <v>77807.416499999992</v>
      </c>
      <c r="AG106" s="6">
        <f t="shared" si="78"/>
        <v>77029.342335000023</v>
      </c>
      <c r="AH106" s="6">
        <f t="shared" si="78"/>
        <v>76259.04891165001</v>
      </c>
      <c r="AI106" s="6">
        <f t="shared" si="78"/>
        <v>75496.458422533498</v>
      </c>
      <c r="AJ106" s="6">
        <f t="shared" si="78"/>
        <v>74741.493838308175</v>
      </c>
      <c r="AK106" s="6">
        <f t="shared" si="78"/>
        <v>73994.07889992508</v>
      </c>
      <c r="AL106" s="6">
        <f t="shared" si="78"/>
        <v>73254.138110925822</v>
      </c>
      <c r="AM106" s="6">
        <f t="shared" si="78"/>
        <v>72521.596729816578</v>
      </c>
      <c r="AN106" s="6">
        <f t="shared" si="78"/>
        <v>71796.380762518398</v>
      </c>
      <c r="AO106" s="6">
        <f t="shared" si="78"/>
        <v>71078.416954893211</v>
      </c>
    </row>
    <row r="107" spans="1:41" x14ac:dyDescent="0.2">
      <c r="A107" t="s">
        <v>149</v>
      </c>
      <c r="V107">
        <v>109494</v>
      </c>
    </row>
    <row r="108" spans="1:41" s="2" customFormat="1" x14ac:dyDescent="0.2">
      <c r="A108" s="2" t="s">
        <v>49</v>
      </c>
      <c r="U108" s="2">
        <f>U104+U105+U106+U107</f>
        <v>109732</v>
      </c>
      <c r="V108" s="2">
        <f t="shared" ref="V108:AA108" si="79">V104+V105+V106+V107</f>
        <v>251093</v>
      </c>
      <c r="W108" s="2">
        <f t="shared" si="79"/>
        <v>113537</v>
      </c>
      <c r="X108" s="2">
        <f t="shared" si="79"/>
        <v>133821</v>
      </c>
      <c r="Y108" s="2">
        <f t="shared" si="79"/>
        <v>114344</v>
      </c>
      <c r="Z108" s="2">
        <f t="shared" si="79"/>
        <v>155431</v>
      </c>
      <c r="AA108" s="2">
        <f t="shared" si="79"/>
        <v>134367</v>
      </c>
      <c r="AB108" s="20">
        <f>AB104+AB105+AB106+AB107</f>
        <v>143473</v>
      </c>
      <c r="AC108" s="20">
        <f t="shared" ref="AC108:AO108" si="80">AC104+AC105+AC106+AC107</f>
        <v>138874</v>
      </c>
      <c r="AD108" s="20">
        <f t="shared" si="80"/>
        <v>157047.20000000001</v>
      </c>
      <c r="AE108" s="20">
        <f t="shared" si="80"/>
        <v>137897.0374</v>
      </c>
      <c r="AF108" s="20">
        <f t="shared" si="80"/>
        <v>142165.99890000001</v>
      </c>
      <c r="AG108" s="20">
        <f t="shared" si="80"/>
        <v>137602.31593500002</v>
      </c>
      <c r="AH108" s="20">
        <f t="shared" si="80"/>
        <v>125982.53691165001</v>
      </c>
      <c r="AI108" s="20">
        <f t="shared" si="80"/>
        <v>122939.4083425335</v>
      </c>
      <c r="AJ108" s="20">
        <f t="shared" si="80"/>
        <v>117054.75335830818</v>
      </c>
      <c r="AK108" s="20">
        <f t="shared" si="80"/>
        <v>122452.45777992508</v>
      </c>
      <c r="AL108" s="20">
        <f t="shared" si="80"/>
        <v>113032.92851092582</v>
      </c>
      <c r="AM108" s="20">
        <f t="shared" si="80"/>
        <v>110475.95666581659</v>
      </c>
      <c r="AN108" s="20">
        <f t="shared" si="80"/>
        <v>105646.98837851841</v>
      </c>
      <c r="AO108" s="20">
        <f t="shared" si="80"/>
        <v>109845.12005889323</v>
      </c>
    </row>
    <row r="110" spans="1:41" x14ac:dyDescent="0.2">
      <c r="A110" s="2" t="s">
        <v>36</v>
      </c>
    </row>
    <row r="111" spans="1:41" x14ac:dyDescent="0.2">
      <c r="A111" t="s">
        <v>37</v>
      </c>
      <c r="U111">
        <v>1506922</v>
      </c>
      <c r="V111">
        <v>1673946</v>
      </c>
      <c r="W111">
        <v>1675340</v>
      </c>
      <c r="X111">
        <v>1676749</v>
      </c>
      <c r="Y111">
        <v>1678155</v>
      </c>
      <c r="Z111">
        <v>1679534</v>
      </c>
      <c r="AA111">
        <v>1680931</v>
      </c>
      <c r="AB111">
        <v>1187513</v>
      </c>
      <c r="AC111">
        <v>1188593</v>
      </c>
    </row>
    <row r="112" spans="1:41" x14ac:dyDescent="0.2">
      <c r="A112" t="s">
        <v>38</v>
      </c>
      <c r="U112">
        <v>19264</v>
      </c>
      <c r="V112">
        <v>17551</v>
      </c>
      <c r="W112">
        <v>15811</v>
      </c>
      <c r="X112">
        <v>14137</v>
      </c>
      <c r="Y112">
        <v>12447</v>
      </c>
      <c r="Z112">
        <v>12456</v>
      </c>
      <c r="AA112">
        <v>11281</v>
      </c>
      <c r="AB112">
        <v>12347</v>
      </c>
      <c r="AC112">
        <v>13375</v>
      </c>
    </row>
    <row r="113" spans="1:41" x14ac:dyDescent="0.2">
      <c r="A113" t="s">
        <v>39</v>
      </c>
      <c r="U113">
        <v>5705</v>
      </c>
      <c r="V113">
        <v>7628</v>
      </c>
      <c r="W113">
        <v>8377</v>
      </c>
      <c r="X113">
        <v>8271</v>
      </c>
      <c r="Y113">
        <v>7383</v>
      </c>
      <c r="Z113">
        <v>6528</v>
      </c>
      <c r="AA113">
        <v>9149</v>
      </c>
      <c r="AB113">
        <v>7996</v>
      </c>
      <c r="AC113">
        <v>7985</v>
      </c>
    </row>
    <row r="114" spans="1:41" s="2" customFormat="1" x14ac:dyDescent="0.2">
      <c r="A114" s="2" t="s">
        <v>46</v>
      </c>
      <c r="U114" s="2">
        <f t="shared" ref="U114:AC114" si="81">U111+U112+U113+U108</f>
        <v>1641623</v>
      </c>
      <c r="V114" s="2">
        <f t="shared" si="81"/>
        <v>1950218</v>
      </c>
      <c r="W114" s="2">
        <f t="shared" si="81"/>
        <v>1813065</v>
      </c>
      <c r="X114" s="2">
        <f t="shared" si="81"/>
        <v>1832978</v>
      </c>
      <c r="Y114" s="2">
        <f t="shared" si="81"/>
        <v>1812329</v>
      </c>
      <c r="Z114" s="2">
        <f t="shared" si="81"/>
        <v>1853949</v>
      </c>
      <c r="AA114" s="2">
        <f t="shared" si="81"/>
        <v>1835728</v>
      </c>
      <c r="AB114" s="2">
        <f t="shared" si="81"/>
        <v>1351329</v>
      </c>
      <c r="AC114" s="2">
        <f t="shared" si="81"/>
        <v>1348827</v>
      </c>
    </row>
    <row r="116" spans="1:41" x14ac:dyDescent="0.2">
      <c r="A116" s="2" t="s">
        <v>48</v>
      </c>
    </row>
    <row r="117" spans="1:41" x14ac:dyDescent="0.2">
      <c r="A117" t="s">
        <v>40</v>
      </c>
      <c r="U117">
        <f>ROUND(U118/1000000,0)</f>
        <v>129</v>
      </c>
      <c r="V117">
        <f>ROUND(V118/1000000,0)</f>
        <v>141</v>
      </c>
      <c r="W117">
        <f>ROUND(W118/1000000,0)</f>
        <v>145</v>
      </c>
      <c r="X117">
        <f>ROUND(X118/1000000,0)</f>
        <v>145</v>
      </c>
      <c r="Y117">
        <f>ROUND(Y118/1000000,0)</f>
        <v>137</v>
      </c>
      <c r="Z117">
        <v>127</v>
      </c>
      <c r="AA117">
        <v>126</v>
      </c>
      <c r="AB117">
        <v>125</v>
      </c>
      <c r="AC117">
        <v>126</v>
      </c>
    </row>
    <row r="118" spans="1:41" x14ac:dyDescent="0.2">
      <c r="A118" t="s">
        <v>150</v>
      </c>
      <c r="U118">
        <v>129343524</v>
      </c>
      <c r="V118">
        <v>141317066</v>
      </c>
      <c r="W118">
        <v>144621425</v>
      </c>
      <c r="X118">
        <v>144901435</v>
      </c>
      <c r="Y118">
        <v>136951956</v>
      </c>
      <c r="Z118">
        <v>126681972</v>
      </c>
      <c r="AA118">
        <v>126343933</v>
      </c>
      <c r="AB118">
        <v>125423860</v>
      </c>
      <c r="AC118">
        <v>126473827</v>
      </c>
    </row>
    <row r="119" spans="1:41" x14ac:dyDescent="0.2">
      <c r="A119" t="s">
        <v>41</v>
      </c>
      <c r="U119">
        <v>1030577</v>
      </c>
      <c r="V119">
        <v>1645352</v>
      </c>
      <c r="W119">
        <v>1706855</v>
      </c>
      <c r="X119">
        <v>1717421</v>
      </c>
      <c r="Y119">
        <v>1449305</v>
      </c>
      <c r="Z119">
        <v>1176765</v>
      </c>
      <c r="AA119">
        <v>1211506</v>
      </c>
      <c r="AB119">
        <v>1220688</v>
      </c>
      <c r="AC119" s="6">
        <v>1244504</v>
      </c>
      <c r="AD119" s="6">
        <f>AC119+AD144</f>
        <v>1279654.115</v>
      </c>
      <c r="AE119" s="6">
        <f>AD119+AE144</f>
        <v>1314839.3801150001</v>
      </c>
      <c r="AF119" s="6">
        <f t="shared" ref="AF119:AO119" si="82">AE119+AF144</f>
        <v>1350059.8304951151</v>
      </c>
      <c r="AG119" s="6">
        <f t="shared" si="82"/>
        <v>1385315.5013256103</v>
      </c>
      <c r="AH119" s="6">
        <f t="shared" si="82"/>
        <v>1420606.4278269359</v>
      </c>
      <c r="AI119" s="6">
        <f t="shared" si="82"/>
        <v>1455932.6452547628</v>
      </c>
      <c r="AJ119" s="6">
        <f t="shared" si="82"/>
        <v>1491294.1889000176</v>
      </c>
      <c r="AK119" s="6">
        <f t="shared" si="82"/>
        <v>1526691.0940889176</v>
      </c>
      <c r="AL119" s="6">
        <f t="shared" si="82"/>
        <v>1562123.3961830065</v>
      </c>
      <c r="AM119" s="6">
        <f t="shared" si="82"/>
        <v>1597591.1305791894</v>
      </c>
      <c r="AN119" s="6">
        <f t="shared" si="82"/>
        <v>1633094.3327097686</v>
      </c>
      <c r="AO119" s="6">
        <f t="shared" si="82"/>
        <v>1668633.0380424783</v>
      </c>
    </row>
    <row r="120" spans="1:41" x14ac:dyDescent="0.2">
      <c r="A120" t="s">
        <v>42</v>
      </c>
      <c r="U120">
        <v>1530</v>
      </c>
      <c r="V120">
        <v>-1238</v>
      </c>
      <c r="W120">
        <v>-970</v>
      </c>
      <c r="X120">
        <v>-1552</v>
      </c>
      <c r="Y120">
        <v>-5334</v>
      </c>
      <c r="Z120">
        <v>-36922</v>
      </c>
      <c r="AA120">
        <v>-68868</v>
      </c>
      <c r="AB120">
        <v>-101870</v>
      </c>
      <c r="AC120">
        <v>-57488</v>
      </c>
    </row>
    <row r="121" spans="1:41" x14ac:dyDescent="0.2">
      <c r="A121" t="s">
        <v>43</v>
      </c>
      <c r="U121">
        <v>-422601</v>
      </c>
      <c r="V121">
        <v>-400912</v>
      </c>
      <c r="W121">
        <v>-368148</v>
      </c>
      <c r="X121">
        <v>-361497</v>
      </c>
      <c r="Y121">
        <f>X121+Y65</f>
        <v>-337191</v>
      </c>
      <c r="Z121">
        <f t="shared" ref="Z121:AO121" si="83">Y121+Z65</f>
        <v>-331449</v>
      </c>
      <c r="AA121">
        <f t="shared" si="83"/>
        <v>-323973</v>
      </c>
      <c r="AB121" s="6">
        <f t="shared" si="83"/>
        <v>-72411</v>
      </c>
      <c r="AC121" s="6">
        <f>AB121+AC65</f>
        <v>-70553</v>
      </c>
      <c r="AD121" s="6">
        <f>AC121+AD65</f>
        <v>-68367</v>
      </c>
      <c r="AE121" s="6">
        <f>AD121+AE65</f>
        <v>-88694.238191902783</v>
      </c>
      <c r="AF121" s="6">
        <f t="shared" si="83"/>
        <v>-118037.90014380556</v>
      </c>
      <c r="AG121" s="6">
        <f t="shared" si="83"/>
        <v>-134104.12409810835</v>
      </c>
      <c r="AH121" s="6">
        <f t="shared" si="83"/>
        <v>-166232.12712278715</v>
      </c>
      <c r="AI121" s="6">
        <f t="shared" si="83"/>
        <v>-200871.30672313817</v>
      </c>
      <c r="AJ121" s="6">
        <f t="shared" si="83"/>
        <v>-242541.87172220473</v>
      </c>
      <c r="AK121" s="6">
        <f t="shared" si="83"/>
        <v>-273410.55024999962</v>
      </c>
      <c r="AL121" s="6">
        <f t="shared" si="83"/>
        <v>-316950.51532163558</v>
      </c>
      <c r="AM121" s="6">
        <f t="shared" si="83"/>
        <v>-362323.06630847423</v>
      </c>
      <c r="AN121" s="6">
        <f t="shared" si="83"/>
        <v>-412135.99323050072</v>
      </c>
      <c r="AO121" s="6">
        <f t="shared" si="83"/>
        <v>-453134.56510154693</v>
      </c>
    </row>
    <row r="122" spans="1:41" s="2" customFormat="1" x14ac:dyDescent="0.2">
      <c r="A122" s="2" t="s">
        <v>47</v>
      </c>
      <c r="U122" s="2">
        <f t="shared" ref="U122:AO122" si="84">U117+U119+U120+U121</f>
        <v>609635</v>
      </c>
      <c r="V122" s="2">
        <f t="shared" si="84"/>
        <v>1243343</v>
      </c>
      <c r="W122" s="2">
        <f t="shared" si="84"/>
        <v>1337882</v>
      </c>
      <c r="X122" s="2">
        <f t="shared" si="84"/>
        <v>1354517</v>
      </c>
      <c r="Y122" s="2">
        <f t="shared" si="84"/>
        <v>1106917</v>
      </c>
      <c r="Z122" s="2">
        <f t="shared" si="84"/>
        <v>808521</v>
      </c>
      <c r="AA122" s="2">
        <f t="shared" si="84"/>
        <v>818791</v>
      </c>
      <c r="AB122" s="20">
        <f t="shared" si="84"/>
        <v>1046532</v>
      </c>
      <c r="AC122" s="20">
        <f t="shared" si="84"/>
        <v>1116589</v>
      </c>
      <c r="AD122" s="20">
        <f t="shared" si="84"/>
        <v>1211287.115</v>
      </c>
      <c r="AE122" s="20">
        <f t="shared" si="84"/>
        <v>1226145.1419230972</v>
      </c>
      <c r="AF122" s="20">
        <f t="shared" si="84"/>
        <v>1232021.9303513095</v>
      </c>
      <c r="AG122" s="20">
        <f t="shared" si="84"/>
        <v>1251211.3772275019</v>
      </c>
      <c r="AH122" s="20">
        <f t="shared" si="84"/>
        <v>1254374.3007041488</v>
      </c>
      <c r="AI122" s="20">
        <f t="shared" si="84"/>
        <v>1255061.3385316248</v>
      </c>
      <c r="AJ122" s="20">
        <f t="shared" si="84"/>
        <v>1248752.317177813</v>
      </c>
      <c r="AK122" s="20">
        <f t="shared" si="84"/>
        <v>1253280.543838918</v>
      </c>
      <c r="AL122" s="20">
        <f t="shared" si="84"/>
        <v>1245172.8808613708</v>
      </c>
      <c r="AM122" s="20">
        <f t="shared" si="84"/>
        <v>1235268.0642707152</v>
      </c>
      <c r="AN122" s="20">
        <f t="shared" si="84"/>
        <v>1220958.3394792678</v>
      </c>
      <c r="AO122" s="20">
        <f t="shared" si="84"/>
        <v>1215498.4729409313</v>
      </c>
    </row>
    <row r="123" spans="1:41" x14ac:dyDescent="0.2">
      <c r="A123" s="2"/>
    </row>
    <row r="124" spans="1:41" s="2" customFormat="1" x14ac:dyDescent="0.2">
      <c r="A124" s="2" t="s">
        <v>151</v>
      </c>
      <c r="U124" s="2">
        <f t="shared" ref="U124:Z124" si="85">U122+U114</f>
        <v>2251258</v>
      </c>
      <c r="V124" s="2">
        <f t="shared" si="85"/>
        <v>3193561</v>
      </c>
      <c r="W124" s="2">
        <f t="shared" si="85"/>
        <v>3150947</v>
      </c>
      <c r="X124" s="2">
        <f t="shared" si="85"/>
        <v>3187495</v>
      </c>
      <c r="Y124" s="2">
        <f t="shared" si="85"/>
        <v>2919246</v>
      </c>
      <c r="Z124" s="2">
        <f t="shared" si="85"/>
        <v>2662470</v>
      </c>
      <c r="AA124" s="2">
        <f>AA122+AA114</f>
        <v>2654519</v>
      </c>
      <c r="AB124" s="20">
        <f>AB122+AB114</f>
        <v>2397861</v>
      </c>
      <c r="AC124" s="20">
        <f t="shared" ref="AC124:AO124" si="86">AC122+AC114</f>
        <v>2465416</v>
      </c>
      <c r="AD124" s="20">
        <f t="shared" si="86"/>
        <v>1211287.115</v>
      </c>
      <c r="AE124" s="20">
        <f t="shared" si="86"/>
        <v>1226145.1419230972</v>
      </c>
      <c r="AF124" s="20">
        <f t="shared" si="86"/>
        <v>1232021.9303513095</v>
      </c>
      <c r="AG124" s="20">
        <f t="shared" si="86"/>
        <v>1251211.3772275019</v>
      </c>
      <c r="AH124" s="20">
        <f t="shared" si="86"/>
        <v>1254374.3007041488</v>
      </c>
      <c r="AI124" s="20">
        <f t="shared" si="86"/>
        <v>1255061.3385316248</v>
      </c>
      <c r="AJ124" s="20">
        <f t="shared" si="86"/>
        <v>1248752.317177813</v>
      </c>
      <c r="AK124" s="20">
        <f t="shared" si="86"/>
        <v>1253280.543838918</v>
      </c>
      <c r="AL124" s="20">
        <f t="shared" si="86"/>
        <v>1245172.8808613708</v>
      </c>
      <c r="AM124" s="20">
        <f t="shared" si="86"/>
        <v>1235268.0642707152</v>
      </c>
      <c r="AN124" s="20">
        <f t="shared" si="86"/>
        <v>1220958.3394792678</v>
      </c>
      <c r="AO124" s="20">
        <f t="shared" si="86"/>
        <v>1215498.4729409313</v>
      </c>
    </row>
    <row r="125" spans="1:41" s="2" customFormat="1" x14ac:dyDescent="0.2">
      <c r="A125" s="2" t="s">
        <v>152</v>
      </c>
      <c r="U125" s="2">
        <f t="shared" ref="U125:AB125" si="87">U100-U124</f>
        <v>0</v>
      </c>
      <c r="V125" s="2">
        <f t="shared" si="87"/>
        <v>0</v>
      </c>
      <c r="W125" s="2">
        <f t="shared" si="87"/>
        <v>0</v>
      </c>
      <c r="X125" s="2">
        <f t="shared" si="87"/>
        <v>0</v>
      </c>
      <c r="Y125" s="2">
        <f t="shared" si="87"/>
        <v>0</v>
      </c>
      <c r="Z125" s="2">
        <f t="shared" si="87"/>
        <v>0</v>
      </c>
      <c r="AA125" s="2">
        <f t="shared" si="87"/>
        <v>0</v>
      </c>
      <c r="AB125" s="20">
        <f t="shared" si="87"/>
        <v>0</v>
      </c>
      <c r="AC125" s="20">
        <f t="shared" ref="AC125:AO125" si="88">AC100-AC124</f>
        <v>0</v>
      </c>
      <c r="AD125" s="20">
        <f t="shared" si="88"/>
        <v>-952895.97083333333</v>
      </c>
      <c r="AE125" s="20">
        <f t="shared" si="88"/>
        <v>-974375.54515643057</v>
      </c>
      <c r="AF125" s="20">
        <f t="shared" si="88"/>
        <v>-986201.72644397616</v>
      </c>
      <c r="AG125" s="20">
        <f t="shared" si="88"/>
        <v>-1001307.939434762</v>
      </c>
      <c r="AH125" s="20">
        <f t="shared" si="88"/>
        <v>-1008665.2934373739</v>
      </c>
      <c r="AI125" s="20">
        <f t="shared" si="88"/>
        <v>-1007572.9429647413</v>
      </c>
      <c r="AJ125" s="20">
        <f t="shared" si="88"/>
        <v>-1002658.1644927532</v>
      </c>
      <c r="AK125" s="20">
        <f t="shared" si="88"/>
        <v>-1000458.9248425001</v>
      </c>
      <c r="AL125" s="20">
        <f t="shared" si="88"/>
        <v>-998400.15328661457</v>
      </c>
      <c r="AM125" s="20">
        <f t="shared" si="88"/>
        <v>-989977.97177677054</v>
      </c>
      <c r="AN125" s="20">
        <f t="shared" si="88"/>
        <v>-979904.71371888963</v>
      </c>
      <c r="AO125" s="20">
        <f t="shared" si="88"/>
        <v>-972401.02253385505</v>
      </c>
    </row>
    <row r="127" spans="1:41" x14ac:dyDescent="0.2">
      <c r="A127" s="2" t="s">
        <v>171</v>
      </c>
    </row>
    <row r="129" spans="1:42" s="11" customFormat="1" x14ac:dyDescent="0.2">
      <c r="A129" s="11" t="s">
        <v>229</v>
      </c>
      <c r="U129" s="13">
        <f t="shared" ref="U129:AO129" si="89">U105/(U44/90)</f>
        <v>14.270784217459569</v>
      </c>
      <c r="V129" s="13">
        <f t="shared" si="89"/>
        <v>22.0524453316396</v>
      </c>
      <c r="W129" s="13">
        <f t="shared" si="89"/>
        <v>15.726579268231239</v>
      </c>
      <c r="X129" s="13">
        <f t="shared" si="89"/>
        <v>26.162717660606482</v>
      </c>
      <c r="Y129" s="13">
        <f t="shared" si="89"/>
        <v>15.245171521253983</v>
      </c>
      <c r="Z129" s="13">
        <f t="shared" si="89"/>
        <v>26.904234489033048</v>
      </c>
      <c r="AA129" s="13">
        <f t="shared" si="89"/>
        <v>24.633860754618148</v>
      </c>
      <c r="AB129" s="13">
        <f t="shared" si="89"/>
        <v>33.038624733669621</v>
      </c>
      <c r="AC129" s="13">
        <f t="shared" si="89"/>
        <v>24.681982328831879</v>
      </c>
      <c r="AD129" s="13">
        <f t="shared" si="89"/>
        <v>30.706915208341105</v>
      </c>
      <c r="AE129" s="13">
        <f t="shared" si="89"/>
        <v>26.999999999999996</v>
      </c>
      <c r="AF129" s="13">
        <f t="shared" si="89"/>
        <v>34.199999999999996</v>
      </c>
      <c r="AG129" s="13">
        <f t="shared" si="89"/>
        <v>27</v>
      </c>
      <c r="AH129" s="13">
        <f t="shared" si="89"/>
        <v>26.999999999999996</v>
      </c>
      <c r="AI129" s="13">
        <f t="shared" si="89"/>
        <v>27</v>
      </c>
      <c r="AJ129" s="13">
        <f t="shared" si="89"/>
        <v>27.000000000000004</v>
      </c>
      <c r="AK129" s="13">
        <f t="shared" si="89"/>
        <v>26.999999999999996</v>
      </c>
      <c r="AL129" s="13">
        <f t="shared" si="89"/>
        <v>26.999999999999996</v>
      </c>
      <c r="AM129" s="13">
        <f t="shared" si="89"/>
        <v>27.000000000000004</v>
      </c>
      <c r="AN129" s="13">
        <f t="shared" si="89"/>
        <v>26.999999999999996</v>
      </c>
      <c r="AO129" s="13">
        <f t="shared" si="89"/>
        <v>26.999999999999996</v>
      </c>
    </row>
    <row r="130" spans="1:42" s="11" customFormat="1" x14ac:dyDescent="0.2">
      <c r="A130" s="11" t="s">
        <v>218</v>
      </c>
      <c r="U130" s="12">
        <f>U105/U6</f>
        <v>0.18537250667727453</v>
      </c>
      <c r="V130" s="12">
        <f>V105/V6</f>
        <v>0.29940068124002933</v>
      </c>
      <c r="W130" s="12">
        <f>W105/W6</f>
        <v>0.19988127690720581</v>
      </c>
      <c r="X130" s="12">
        <f>X105/X6</f>
        <v>0.34050684651543023</v>
      </c>
      <c r="Y130" s="12">
        <f>Y105/Y6</f>
        <v>0.18768959624011963</v>
      </c>
      <c r="Z130" s="12">
        <f>Z105/Z6</f>
        <v>0.32713243728762204</v>
      </c>
      <c r="AA130" s="12">
        <f>AA105/AA6</f>
        <v>0.2818813598764518</v>
      </c>
      <c r="AB130" s="12">
        <f>AB105/AB6</f>
        <v>0.37971544102873217</v>
      </c>
      <c r="AC130" s="16">
        <v>0.3</v>
      </c>
      <c r="AD130" s="16">
        <v>0.38</v>
      </c>
      <c r="AE130" s="16">
        <v>0.3</v>
      </c>
      <c r="AF130" s="16">
        <v>0.38</v>
      </c>
      <c r="AG130" s="16">
        <v>0.3</v>
      </c>
      <c r="AH130" s="16">
        <v>0.3</v>
      </c>
      <c r="AI130" s="16">
        <v>0.3</v>
      </c>
      <c r="AJ130" s="16">
        <v>0.3</v>
      </c>
      <c r="AK130" s="16">
        <v>0.3</v>
      </c>
      <c r="AL130" s="16">
        <v>0.3</v>
      </c>
      <c r="AM130" s="16">
        <v>0.3</v>
      </c>
      <c r="AN130" s="16">
        <v>0.3</v>
      </c>
      <c r="AO130" s="16">
        <v>0.3</v>
      </c>
      <c r="AP130" s="14"/>
    </row>
    <row r="131" spans="1:42" s="11" customFormat="1" x14ac:dyDescent="0.2">
      <c r="A131" s="11" t="s">
        <v>216</v>
      </c>
      <c r="U131" s="13">
        <f t="shared" ref="U131:AB131" si="90">U106/(U52/90)</f>
        <v>62.099728288215758</v>
      </c>
      <c r="V131" s="13">
        <f t="shared" si="90"/>
        <v>63.766365739690606</v>
      </c>
      <c r="W131" s="13">
        <f t="shared" si="90"/>
        <v>63.47533980582525</v>
      </c>
      <c r="X131" s="13">
        <f t="shared" si="90"/>
        <v>63.159103743335983</v>
      </c>
      <c r="Y131" s="13">
        <f t="shared" si="90"/>
        <v>48.174657534246577</v>
      </c>
      <c r="Z131" s="13">
        <f t="shared" si="90"/>
        <v>54.224836545989298</v>
      </c>
      <c r="AA131" s="13">
        <f t="shared" si="90"/>
        <v>43.928465566643617</v>
      </c>
      <c r="AB131" s="13">
        <f t="shared" si="90"/>
        <v>46.793870398790574</v>
      </c>
      <c r="AC131" s="17">
        <v>50</v>
      </c>
      <c r="AD131" s="17">
        <v>50</v>
      </c>
      <c r="AE131" s="17">
        <v>50</v>
      </c>
      <c r="AF131" s="17">
        <v>50</v>
      </c>
      <c r="AG131" s="17">
        <v>50</v>
      </c>
      <c r="AH131" s="17">
        <v>50</v>
      </c>
      <c r="AI131" s="17">
        <v>50</v>
      </c>
      <c r="AJ131" s="17">
        <v>50</v>
      </c>
      <c r="AK131" s="17">
        <v>50</v>
      </c>
      <c r="AL131" s="17">
        <v>50</v>
      </c>
      <c r="AM131" s="17">
        <v>50</v>
      </c>
      <c r="AN131" s="17">
        <v>50</v>
      </c>
      <c r="AO131" s="17">
        <v>50</v>
      </c>
    </row>
    <row r="132" spans="1:42" s="11" customFormat="1" x14ac:dyDescent="0.2">
      <c r="A132" s="11" t="s">
        <v>215</v>
      </c>
      <c r="U132" s="13">
        <f t="shared" ref="U132:AB132" si="91">U104/(U45/90)</f>
        <v>13.463847513696113</v>
      </c>
      <c r="V132" s="13">
        <f t="shared" si="91"/>
        <v>18.788243864171243</v>
      </c>
      <c r="W132" s="13">
        <f t="shared" si="91"/>
        <v>9.2078474006720707</v>
      </c>
      <c r="X132" s="13">
        <f t="shared" si="91"/>
        <v>14.107180113856517</v>
      </c>
      <c r="Y132" s="13">
        <f t="shared" si="91"/>
        <v>19.373182552504037</v>
      </c>
      <c r="Z132" s="13">
        <f t="shared" si="91"/>
        <v>15.60152491603885</v>
      </c>
      <c r="AA132" s="13">
        <f t="shared" si="91"/>
        <v>23.463356973995271</v>
      </c>
      <c r="AB132" s="13">
        <f t="shared" si="91"/>
        <v>29.670154635754265</v>
      </c>
      <c r="AC132" s="17">
        <v>26</v>
      </c>
      <c r="AD132" s="17">
        <v>25</v>
      </c>
      <c r="AE132" s="17">
        <v>23</v>
      </c>
      <c r="AF132" s="17">
        <v>23</v>
      </c>
      <c r="AG132" s="17">
        <v>23</v>
      </c>
      <c r="AH132" s="17">
        <v>23</v>
      </c>
      <c r="AI132" s="17">
        <v>23</v>
      </c>
      <c r="AJ132" s="17">
        <v>23</v>
      </c>
      <c r="AK132" s="17">
        <v>23</v>
      </c>
      <c r="AL132" s="17">
        <v>23</v>
      </c>
      <c r="AM132" s="17">
        <v>23</v>
      </c>
      <c r="AN132" s="17">
        <v>23</v>
      </c>
      <c r="AO132" s="17">
        <v>23</v>
      </c>
    </row>
    <row r="133" spans="1:42" s="11" customFormat="1" x14ac:dyDescent="0.2">
      <c r="A133" s="11" t="s">
        <v>217</v>
      </c>
      <c r="U133" s="13">
        <f t="shared" ref="U133:AB133" si="92">U88/(U44/90)</f>
        <v>5.649253114655286</v>
      </c>
      <c r="V133" s="13">
        <f t="shared" si="92"/>
        <v>5.2776517557390443</v>
      </c>
      <c r="W133" s="13">
        <f t="shared" si="92"/>
        <v>4.575771622043753</v>
      </c>
      <c r="X133" s="13">
        <f t="shared" si="92"/>
        <v>4.8689674425096836</v>
      </c>
      <c r="Y133" s="13">
        <f t="shared" si="92"/>
        <v>7.7434001552054061</v>
      </c>
      <c r="Z133" s="13">
        <f t="shared" si="92"/>
        <v>8.8636498486976123</v>
      </c>
      <c r="AA133" s="13">
        <f t="shared" si="92"/>
        <v>7.771889010430308</v>
      </c>
      <c r="AB133" s="13">
        <f t="shared" si="92"/>
        <v>12.121173492615592</v>
      </c>
      <c r="AC133" s="17">
        <v>12</v>
      </c>
      <c r="AD133" s="17">
        <v>12</v>
      </c>
      <c r="AE133" s="17">
        <v>12</v>
      </c>
      <c r="AF133" s="17">
        <v>12</v>
      </c>
      <c r="AG133" s="17">
        <v>12</v>
      </c>
      <c r="AH133" s="17">
        <v>12</v>
      </c>
      <c r="AI133" s="17">
        <v>12</v>
      </c>
      <c r="AJ133" s="17">
        <v>12</v>
      </c>
      <c r="AK133" s="17">
        <v>12</v>
      </c>
      <c r="AL133" s="17">
        <v>12</v>
      </c>
      <c r="AM133" s="17">
        <v>12</v>
      </c>
      <c r="AN133" s="17">
        <v>12</v>
      </c>
      <c r="AO133" s="17">
        <v>12</v>
      </c>
    </row>
    <row r="134" spans="1:42" x14ac:dyDescent="0.2">
      <c r="A134" s="11" t="s">
        <v>284</v>
      </c>
      <c r="U134" s="21">
        <f t="shared" ref="U134:AB134" si="93">U89/U45</f>
        <v>0.22361857420405021</v>
      </c>
      <c r="V134" s="21">
        <f t="shared" si="93"/>
        <v>0.35380477417908773</v>
      </c>
      <c r="W134" s="21">
        <f t="shared" si="93"/>
        <v>0.30986031495025368</v>
      </c>
      <c r="X134" s="21">
        <f t="shared" si="93"/>
        <v>0.52403803165330387</v>
      </c>
      <c r="Y134" s="21">
        <f t="shared" si="93"/>
        <v>0.62992281457548016</v>
      </c>
      <c r="Z134" s="21">
        <f t="shared" si="93"/>
        <v>0.52431696469093214</v>
      </c>
      <c r="AA134" s="21">
        <f t="shared" si="93"/>
        <v>0.44030732860520094</v>
      </c>
      <c r="AB134" s="21">
        <f t="shared" si="93"/>
        <v>0.73979603123686477</v>
      </c>
      <c r="AC134" s="16">
        <v>0.6</v>
      </c>
      <c r="AD134" s="16">
        <v>0.6</v>
      </c>
      <c r="AE134" s="16">
        <v>0.6</v>
      </c>
      <c r="AF134" s="16">
        <v>0.6</v>
      </c>
      <c r="AG134" s="16">
        <v>0.6</v>
      </c>
      <c r="AH134" s="16">
        <v>0.6</v>
      </c>
      <c r="AI134" s="16">
        <v>0.6</v>
      </c>
      <c r="AJ134" s="16">
        <v>0.6</v>
      </c>
      <c r="AK134" s="16">
        <v>0.6</v>
      </c>
      <c r="AL134" s="16">
        <v>0.6</v>
      </c>
      <c r="AM134" s="16">
        <v>0.6</v>
      </c>
      <c r="AN134" s="16">
        <v>0.6</v>
      </c>
      <c r="AO134" s="16">
        <v>0.6</v>
      </c>
    </row>
    <row r="137" spans="1:42" s="5" customFormat="1" x14ac:dyDescent="0.2">
      <c r="A137" s="3" t="s">
        <v>53</v>
      </c>
      <c r="AC137"/>
    </row>
    <row r="139" spans="1:42" x14ac:dyDescent="0.2">
      <c r="A139" s="2" t="s">
        <v>54</v>
      </c>
    </row>
    <row r="140" spans="1:42" x14ac:dyDescent="0.2">
      <c r="A140" t="s">
        <v>55</v>
      </c>
      <c r="U140">
        <f>U65</f>
        <v>26043</v>
      </c>
      <c r="V140">
        <f t="shared" ref="V140:AO140" si="94">V65</f>
        <v>-65179</v>
      </c>
      <c r="W140">
        <f t="shared" si="94"/>
        <v>32764</v>
      </c>
      <c r="X140">
        <f t="shared" si="94"/>
        <v>6651</v>
      </c>
      <c r="Y140">
        <f t="shared" si="94"/>
        <v>24306</v>
      </c>
      <c r="Z140">
        <f t="shared" si="94"/>
        <v>5742</v>
      </c>
      <c r="AA140">
        <f t="shared" si="94"/>
        <v>7476</v>
      </c>
      <c r="AB140" s="6">
        <f t="shared" si="94"/>
        <v>251562</v>
      </c>
      <c r="AC140" s="6">
        <f t="shared" si="94"/>
        <v>1858</v>
      </c>
      <c r="AD140" s="6">
        <f t="shared" si="94"/>
        <v>2186</v>
      </c>
      <c r="AE140" s="6">
        <f t="shared" si="94"/>
        <v>-20327.23819190279</v>
      </c>
      <c r="AF140" s="6">
        <f t="shared" si="94"/>
        <v>-29343.661951902777</v>
      </c>
      <c r="AG140" s="6">
        <f t="shared" si="94"/>
        <v>-16066.223954302794</v>
      </c>
      <c r="AH140" s="6">
        <f t="shared" si="94"/>
        <v>-32128.003024678805</v>
      </c>
      <c r="AI140" s="6">
        <f t="shared" si="94"/>
        <v>-34639.179600351024</v>
      </c>
      <c r="AJ140" s="6">
        <f t="shared" si="94"/>
        <v>-41670.564999066541</v>
      </c>
      <c r="AK140" s="6">
        <f t="shared" si="94"/>
        <v>-30868.678527794895</v>
      </c>
      <c r="AL140" s="6">
        <f t="shared" si="94"/>
        <v>-43539.965071635961</v>
      </c>
      <c r="AM140" s="6">
        <f t="shared" si="94"/>
        <v>-45372.550986838643</v>
      </c>
      <c r="AN140" s="6">
        <f t="shared" si="94"/>
        <v>-49812.926922026483</v>
      </c>
      <c r="AO140" s="6">
        <f t="shared" si="94"/>
        <v>-40998.571871046224</v>
      </c>
    </row>
    <row r="141" spans="1:42" x14ac:dyDescent="0.2">
      <c r="A141" s="2" t="s">
        <v>162</v>
      </c>
    </row>
    <row r="142" spans="1:42" x14ac:dyDescent="0.2">
      <c r="A142" t="s">
        <v>56</v>
      </c>
      <c r="V142">
        <v>3760</v>
      </c>
      <c r="W142">
        <f>6581-V142</f>
        <v>2821</v>
      </c>
      <c r="X142">
        <f>9024-W142-V142</f>
        <v>2443</v>
      </c>
      <c r="Y142">
        <f>10859-X142-W142-V142</f>
        <v>1835</v>
      </c>
      <c r="Z142">
        <v>1521</v>
      </c>
      <c r="AA142">
        <f>1610-Z142</f>
        <v>89</v>
      </c>
    </row>
    <row r="143" spans="1:42" x14ac:dyDescent="0.2">
      <c r="A143" t="s">
        <v>57</v>
      </c>
      <c r="V143">
        <v>14846</v>
      </c>
      <c r="W143">
        <f>30187-V143</f>
        <v>15341</v>
      </c>
      <c r="X143">
        <f>46273-W143-V143</f>
        <v>16086</v>
      </c>
      <c r="Y143">
        <f>63274-X143-W143-V143</f>
        <v>17001</v>
      </c>
      <c r="Z143">
        <v>20285</v>
      </c>
      <c r="AA143">
        <f>41921-Z143</f>
        <v>21636</v>
      </c>
      <c r="AB143">
        <f>64295-AA143-Z143</f>
        <v>22374</v>
      </c>
      <c r="AC143" s="6">
        <f>89997-AB143-AA143-Z143</f>
        <v>25702</v>
      </c>
      <c r="AD143" s="6">
        <f>-Schedule!N45</f>
        <v>25199.5</v>
      </c>
      <c r="AE143" s="6">
        <f>-Schedule!O45</f>
        <v>26690.596666666665</v>
      </c>
      <c r="AF143" s="6">
        <f>-Schedule!P45</f>
        <v>28196.604299999999</v>
      </c>
      <c r="AG143" s="6">
        <f>-Schedule!Q45</f>
        <v>29717.672009666665</v>
      </c>
      <c r="AH143" s="6">
        <f>-Schedule!R45</f>
        <v>23440.4627973225</v>
      </c>
      <c r="AI143" s="6">
        <f>-Schedule!S45</f>
        <v>24604.193675295726</v>
      </c>
      <c r="AJ143" s="6">
        <f>-Schedule!T45</f>
        <v>25779.561862048682</v>
      </c>
      <c r="AK143" s="6">
        <f>-Schedule!U45</f>
        <v>26966.68373066917</v>
      </c>
      <c r="AL143" s="6">
        <f>-Schedule!V45</f>
        <v>28165.676817975862</v>
      </c>
      <c r="AM143" s="6">
        <f>-Schedule!W45</f>
        <v>29376.659836155621</v>
      </c>
      <c r="AN143" s="6">
        <f>-Schedule!X45</f>
        <v>30599.752684517178</v>
      </c>
      <c r="AO143" s="6">
        <f>-Schedule!Y45</f>
        <v>31835.076461362347</v>
      </c>
    </row>
    <row r="144" spans="1:42" x14ac:dyDescent="0.2">
      <c r="A144" t="s">
        <v>58</v>
      </c>
      <c r="V144">
        <v>23100</v>
      </c>
      <c r="W144">
        <f>51645-V144</f>
        <v>28545</v>
      </c>
      <c r="X144">
        <f>76157-W144-V144</f>
        <v>24512</v>
      </c>
      <c r="Y144">
        <f>108846-X144-W144-V144</f>
        <v>32689</v>
      </c>
      <c r="Z144">
        <v>33084</v>
      </c>
      <c r="AA144">
        <f>64171-Z144</f>
        <v>31087</v>
      </c>
      <c r="AB144">
        <f>98341-AA144-Z144</f>
        <v>34170</v>
      </c>
      <c r="AC144" s="6">
        <f>133456-AB144-AA144-Z144</f>
        <v>35115</v>
      </c>
      <c r="AD144" s="6">
        <f>AC144*1.001</f>
        <v>35150.114999999998</v>
      </c>
      <c r="AE144" s="6">
        <f>AD144*1.001</f>
        <v>35185.265114999995</v>
      </c>
      <c r="AF144" s="6">
        <f t="shared" ref="AF144:AO144" si="95">AE144*1.001</f>
        <v>35220.450380114991</v>
      </c>
      <c r="AG144" s="6">
        <f t="shared" si="95"/>
        <v>35255.670830495103</v>
      </c>
      <c r="AH144" s="6">
        <f t="shared" si="95"/>
        <v>35290.926501325594</v>
      </c>
      <c r="AI144" s="6">
        <f t="shared" si="95"/>
        <v>35326.217427826916</v>
      </c>
      <c r="AJ144" s="6">
        <f t="shared" si="95"/>
        <v>35361.543645254736</v>
      </c>
      <c r="AK144" s="6">
        <f t="shared" si="95"/>
        <v>35396.905188899989</v>
      </c>
      <c r="AL144" s="6">
        <f t="shared" si="95"/>
        <v>35432.302094088882</v>
      </c>
      <c r="AM144" s="6">
        <f t="shared" si="95"/>
        <v>35467.734396182968</v>
      </c>
      <c r="AN144" s="6">
        <f t="shared" si="95"/>
        <v>35503.20213057915</v>
      </c>
      <c r="AO144" s="6">
        <f t="shared" si="95"/>
        <v>35538.705332709724</v>
      </c>
    </row>
    <row r="145" spans="1:41" x14ac:dyDescent="0.2">
      <c r="A145" t="s">
        <v>59</v>
      </c>
      <c r="V145">
        <v>1626</v>
      </c>
      <c r="W145">
        <f>3097-V145</f>
        <v>1471</v>
      </c>
      <c r="X145">
        <f>4509-W145-V145</f>
        <v>1412</v>
      </c>
      <c r="Y145">
        <f>5922-X145-W145-V145</f>
        <v>1413</v>
      </c>
      <c r="Z145">
        <v>1382</v>
      </c>
      <c r="AA145">
        <f>2779-Z145</f>
        <v>1397</v>
      </c>
      <c r="AB145">
        <f>4084-AA145-Z145</f>
        <v>1305</v>
      </c>
      <c r="AC145">
        <f>5166-AB145-AA145-Z145</f>
        <v>1082</v>
      </c>
    </row>
    <row r="146" spans="1:41" x14ac:dyDescent="0.2">
      <c r="A146" t="s">
        <v>60</v>
      </c>
      <c r="Z146">
        <v>-4628</v>
      </c>
    </row>
    <row r="147" spans="1:41" x14ac:dyDescent="0.2">
      <c r="A147" t="s">
        <v>163</v>
      </c>
      <c r="AA147">
        <v>3411</v>
      </c>
      <c r="AC147">
        <f>5225-AA147</f>
        <v>1814</v>
      </c>
    </row>
    <row r="148" spans="1:41" x14ac:dyDescent="0.2">
      <c r="A148" t="s">
        <v>61</v>
      </c>
      <c r="V148">
        <v>78152</v>
      </c>
      <c r="AB148">
        <f>-93519</f>
        <v>-93519</v>
      </c>
    </row>
    <row r="149" spans="1:41" x14ac:dyDescent="0.2">
      <c r="A149" t="s">
        <v>62</v>
      </c>
      <c r="V149">
        <v>7148</v>
      </c>
    </row>
    <row r="150" spans="1:41" x14ac:dyDescent="0.2">
      <c r="A150" t="s">
        <v>63</v>
      </c>
      <c r="V150">
        <v>757</v>
      </c>
      <c r="W150">
        <f>1042-V150</f>
        <v>285</v>
      </c>
      <c r="X150">
        <f>1857-W150-V150</f>
        <v>815</v>
      </c>
      <c r="Y150">
        <f>2115-X150-W150-V150</f>
        <v>258</v>
      </c>
      <c r="Z150">
        <v>626</v>
      </c>
      <c r="AA150">
        <f>2767-Z150</f>
        <v>2141</v>
      </c>
      <c r="AB150">
        <f>3117-AA150-Z150</f>
        <v>350</v>
      </c>
      <c r="AC150">
        <f>3549-AB150-AA150-Z150</f>
        <v>432</v>
      </c>
    </row>
    <row r="151" spans="1:41" x14ac:dyDescent="0.2">
      <c r="A151" t="s">
        <v>169</v>
      </c>
      <c r="AB151">
        <v>-174601</v>
      </c>
    </row>
    <row r="152" spans="1:41" x14ac:dyDescent="0.2">
      <c r="A152" t="s">
        <v>170</v>
      </c>
      <c r="AB152">
        <v>6376</v>
      </c>
      <c r="AC152">
        <f>5922-AB152</f>
        <v>-454</v>
      </c>
    </row>
    <row r="153" spans="1:41" x14ac:dyDescent="0.2">
      <c r="A153" t="s">
        <v>64</v>
      </c>
      <c r="V153">
        <v>-5338</v>
      </c>
      <c r="X153">
        <f>-12496-V153-W153</f>
        <v>-7158</v>
      </c>
      <c r="AC153">
        <v>9675</v>
      </c>
    </row>
    <row r="154" spans="1:41" x14ac:dyDescent="0.2">
      <c r="A154" t="s">
        <v>65</v>
      </c>
      <c r="V154">
        <v>4028</v>
      </c>
      <c r="W154">
        <f>4230-V154</f>
        <v>202</v>
      </c>
      <c r="X154">
        <f>8765-W154-V154</f>
        <v>4535</v>
      </c>
      <c r="Y154">
        <f>10956-X154-W154-V154</f>
        <v>2191</v>
      </c>
      <c r="Z154">
        <v>-610</v>
      </c>
      <c r="AA154">
        <f>-4967-Z154</f>
        <v>-4357</v>
      </c>
      <c r="AB154">
        <f>-4976-AA154-Z154</f>
        <v>-9</v>
      </c>
    </row>
    <row r="155" spans="1:41" x14ac:dyDescent="0.2">
      <c r="A155" t="s">
        <v>66</v>
      </c>
      <c r="V155">
        <v>1589</v>
      </c>
      <c r="W155">
        <f>3064-V155</f>
        <v>1475</v>
      </c>
      <c r="X155">
        <f>4527-W155-V155</f>
        <v>1463</v>
      </c>
      <c r="Y155">
        <f>5994-X155-W155-V155</f>
        <v>1467</v>
      </c>
      <c r="Z155">
        <v>1640</v>
      </c>
      <c r="AA155">
        <f>3242-Z155</f>
        <v>1602</v>
      </c>
      <c r="AB155">
        <f>4746-Z155-AA155</f>
        <v>1504</v>
      </c>
      <c r="AC155">
        <f>6327-AB155-AA155-Z155</f>
        <v>1581</v>
      </c>
    </row>
    <row r="156" spans="1:41" x14ac:dyDescent="0.2">
      <c r="A156" t="s">
        <v>167</v>
      </c>
      <c r="X156">
        <v>1851</v>
      </c>
      <c r="Y156">
        <v>-1851</v>
      </c>
    </row>
    <row r="157" spans="1:41" x14ac:dyDescent="0.2">
      <c r="A157" t="s">
        <v>67</v>
      </c>
      <c r="V157">
        <v>87</v>
      </c>
      <c r="W157">
        <f>298-V157</f>
        <v>211</v>
      </c>
      <c r="X157">
        <f>498-W157-V157</f>
        <v>200</v>
      </c>
      <c r="Y157">
        <f>-973-X157-W157-V157</f>
        <v>-1471</v>
      </c>
      <c r="Z157">
        <v>-737</v>
      </c>
      <c r="AA157">
        <f>167-Z157</f>
        <v>904</v>
      </c>
      <c r="AB157">
        <f>619-AA157-Z157</f>
        <v>452</v>
      </c>
      <c r="AC157">
        <f>378-AB157-AA157-Z157+40</f>
        <v>-201</v>
      </c>
    </row>
    <row r="159" spans="1:41" x14ac:dyDescent="0.2">
      <c r="A159" s="2" t="s">
        <v>68</v>
      </c>
    </row>
    <row r="160" spans="1:41" x14ac:dyDescent="0.2">
      <c r="A160" t="s">
        <v>20</v>
      </c>
      <c r="V160">
        <v>2240</v>
      </c>
      <c r="W160">
        <f>3462-V160</f>
        <v>1222</v>
      </c>
      <c r="X160">
        <f>3593-W160-V160</f>
        <v>131</v>
      </c>
      <c r="Y160">
        <f>-5004-X160-W160-V160</f>
        <v>-8597</v>
      </c>
      <c r="Z160">
        <v>292</v>
      </c>
      <c r="AA160">
        <f>3227-Z160</f>
        <v>2935</v>
      </c>
      <c r="AB160">
        <f>-2259-AA160-Z160</f>
        <v>-5486</v>
      </c>
      <c r="AC160" s="6">
        <f>-3792-AB160-AA160-Z160</f>
        <v>-1533</v>
      </c>
      <c r="AD160" s="6">
        <f>-(AD104-AC104)</f>
        <v>-1285.7777777777792</v>
      </c>
      <c r="AE160" s="6">
        <f>-(AE104-AD104)</f>
        <v>2563.4703777777795</v>
      </c>
      <c r="AF160" s="6">
        <f t="shared" ref="AF160:AO160" si="96">-(AF104-AE104)</f>
        <v>1199.0130000000008</v>
      </c>
      <c r="AG160" s="6">
        <f t="shared" si="96"/>
        <v>-1436.3592000000026</v>
      </c>
      <c r="AH160" s="6">
        <f t="shared" si="96"/>
        <v>2028.7656000000025</v>
      </c>
      <c r="AI160" s="6">
        <f t="shared" si="96"/>
        <v>426.4420799999989</v>
      </c>
      <c r="AJ160" s="6">
        <f t="shared" si="96"/>
        <v>959.21039999999903</v>
      </c>
      <c r="AK160" s="6">
        <f t="shared" si="96"/>
        <v>-1149.0873600000004</v>
      </c>
      <c r="AL160" s="6">
        <f t="shared" si="96"/>
        <v>1623.0124800000012</v>
      </c>
      <c r="AM160" s="6">
        <f t="shared" si="96"/>
        <v>341.15366399999948</v>
      </c>
      <c r="AN160" s="6">
        <f t="shared" si="96"/>
        <v>767.36832000000049</v>
      </c>
      <c r="AO160" s="6">
        <f t="shared" si="96"/>
        <v>-919.26988800000072</v>
      </c>
    </row>
    <row r="161" spans="1:41" x14ac:dyDescent="0.2">
      <c r="A161" t="s">
        <v>230</v>
      </c>
      <c r="V161">
        <v>-25075</v>
      </c>
      <c r="W161">
        <f>-14715-V161</f>
        <v>10360</v>
      </c>
      <c r="X161">
        <f>-31070-W161-V161</f>
        <v>-16355</v>
      </c>
      <c r="Y161">
        <f>-21854-X161-W161-V161</f>
        <v>9216</v>
      </c>
      <c r="Z161">
        <v>21722</v>
      </c>
      <c r="AA161">
        <f>28768-Z161</f>
        <v>7046</v>
      </c>
      <c r="AB161">
        <f>13251-AA161-Z161</f>
        <v>-15517</v>
      </c>
      <c r="AC161">
        <f>17191-AB161-AA161-Z161</f>
        <v>3940</v>
      </c>
    </row>
    <row r="162" spans="1:41" x14ac:dyDescent="0.2">
      <c r="A162" t="s">
        <v>32</v>
      </c>
      <c r="V162">
        <v>1058</v>
      </c>
      <c r="W162">
        <f>7220-V162</f>
        <v>6162</v>
      </c>
      <c r="X162">
        <f>9472-W162-V162</f>
        <v>2252</v>
      </c>
      <c r="Y162">
        <f>16387-X162-W162-V162</f>
        <v>6915</v>
      </c>
      <c r="Z162">
        <v>8342</v>
      </c>
      <c r="AA162">
        <f>13058-Z162</f>
        <v>4716</v>
      </c>
      <c r="AB162">
        <f>15926-AA162-Z162</f>
        <v>2868</v>
      </c>
      <c r="AC162">
        <f>14563-AB162-AA162-Z162</f>
        <v>-1363</v>
      </c>
    </row>
    <row r="163" spans="1:41" x14ac:dyDescent="0.2">
      <c r="A163" t="s">
        <v>33</v>
      </c>
      <c r="V163">
        <v>6597</v>
      </c>
      <c r="W163">
        <f>-3139-V163</f>
        <v>-9736</v>
      </c>
      <c r="X163">
        <f>1820-W163-V163</f>
        <v>4959</v>
      </c>
      <c r="Y163">
        <f>3241-X163-W163-V163</f>
        <v>1421</v>
      </c>
      <c r="Z163">
        <v>-7534</v>
      </c>
      <c r="AA163">
        <f>-5246-Z163</f>
        <v>2288</v>
      </c>
      <c r="AB163">
        <f>-1728-AA163-Z163</f>
        <v>3518</v>
      </c>
      <c r="AC163" s="6">
        <f>-4144-AB163-AA163-Z163</f>
        <v>-2416</v>
      </c>
      <c r="AD163" s="6">
        <f>AD104-AC104</f>
        <v>1285.7777777777792</v>
      </c>
      <c r="AE163" s="6">
        <f>AE104-AD104</f>
        <v>-2563.4703777777795</v>
      </c>
      <c r="AF163" s="6">
        <f t="shared" ref="AF163:AO163" si="97">AF104-AE104</f>
        <v>-1199.0130000000008</v>
      </c>
      <c r="AG163" s="6">
        <f t="shared" si="97"/>
        <v>1436.3592000000026</v>
      </c>
      <c r="AH163" s="6">
        <f t="shared" si="97"/>
        <v>-2028.7656000000025</v>
      </c>
      <c r="AI163" s="6">
        <f t="shared" si="97"/>
        <v>-426.4420799999989</v>
      </c>
      <c r="AJ163" s="6">
        <f t="shared" si="97"/>
        <v>-959.21039999999903</v>
      </c>
      <c r="AK163" s="6">
        <f t="shared" si="97"/>
        <v>1149.0873600000004</v>
      </c>
      <c r="AL163" s="6">
        <f t="shared" si="97"/>
        <v>-1623.0124800000012</v>
      </c>
      <c r="AM163" s="6">
        <f t="shared" si="97"/>
        <v>-341.15366399999948</v>
      </c>
      <c r="AN163" s="6">
        <f t="shared" si="97"/>
        <v>-767.36832000000049</v>
      </c>
      <c r="AO163" s="6">
        <f t="shared" si="97"/>
        <v>919.26988800000072</v>
      </c>
    </row>
    <row r="164" spans="1:41" x14ac:dyDescent="0.2">
      <c r="A164" t="s">
        <v>34</v>
      </c>
      <c r="V164">
        <v>15988</v>
      </c>
      <c r="W164">
        <f>2062-V164</f>
        <v>-13926</v>
      </c>
      <c r="X164">
        <f>17363-W164-V164</f>
        <v>15301</v>
      </c>
      <c r="Y164">
        <f>2523-X164-W164-V164</f>
        <v>-14840</v>
      </c>
      <c r="Z164">
        <v>8554</v>
      </c>
      <c r="AA164">
        <f>4256-Z164</f>
        <v>-4298</v>
      </c>
      <c r="AB164">
        <f>11434-AA164-Z164</f>
        <v>7178</v>
      </c>
      <c r="AC164" s="6">
        <f>7538-AB164-AA164-Z164</f>
        <v>-3896</v>
      </c>
      <c r="AD164" s="6">
        <f>-AD105+AC105</f>
        <v>-7734.2000000000044</v>
      </c>
      <c r="AE164" s="6">
        <f>-AE105+AD105</f>
        <v>15792.820000000007</v>
      </c>
      <c r="AF164" s="6">
        <f t="shared" ref="AF164:AO164" si="98">-AF105+AE105</f>
        <v>-6253.9080000000031</v>
      </c>
      <c r="AG164" s="6">
        <f t="shared" si="98"/>
        <v>5221.9679999999935</v>
      </c>
      <c r="AH164" s="6">
        <f t="shared" si="98"/>
        <v>8820.7200000000084</v>
      </c>
      <c r="AI164" s="6">
        <f t="shared" si="98"/>
        <v>1854.0959999999977</v>
      </c>
      <c r="AJ164" s="6">
        <f t="shared" si="98"/>
        <v>4170.4799999999959</v>
      </c>
      <c r="AK164" s="6">
        <f t="shared" si="98"/>
        <v>-4996.0319999999992</v>
      </c>
      <c r="AL164" s="6">
        <f t="shared" si="98"/>
        <v>7056.5760000000046</v>
      </c>
      <c r="AM164" s="6">
        <f t="shared" si="98"/>
        <v>1483.276799999996</v>
      </c>
      <c r="AN164" s="6">
        <f t="shared" si="98"/>
        <v>3336.3840000000018</v>
      </c>
      <c r="AO164" s="6">
        <f t="shared" si="98"/>
        <v>-3996.8256000000038</v>
      </c>
    </row>
    <row r="165" spans="1:41" x14ac:dyDescent="0.2">
      <c r="A165" t="s">
        <v>35</v>
      </c>
      <c r="V165">
        <v>9386</v>
      </c>
      <c r="W165">
        <f>4197-V165</f>
        <v>-5189</v>
      </c>
      <c r="X165">
        <f>10552-W165-V165</f>
        <v>6355</v>
      </c>
      <c r="Y165">
        <f>5199-X165-W165-V165</f>
        <v>-5353</v>
      </c>
      <c r="Z165">
        <v>-7555</v>
      </c>
      <c r="AA165">
        <f>-21034-Z165</f>
        <v>-13479</v>
      </c>
      <c r="AB165">
        <f>-23323-AA165-Z165</f>
        <v>-2289</v>
      </c>
      <c r="AC165">
        <f>-20111-AB165-AA165-Z165</f>
        <v>3212</v>
      </c>
    </row>
    <row r="166" spans="1:41" x14ac:dyDescent="0.2">
      <c r="A166" t="s">
        <v>69</v>
      </c>
      <c r="V166">
        <v>-1197</v>
      </c>
      <c r="W166">
        <f>-2277-V166</f>
        <v>-1080</v>
      </c>
      <c r="X166">
        <f>-4108-W166-V166</f>
        <v>-1831</v>
      </c>
      <c r="Y166">
        <f>-5607-X166-W166-V166</f>
        <v>-1499</v>
      </c>
      <c r="Z166">
        <v>-2091</v>
      </c>
      <c r="AA166">
        <f>-2965-Z166</f>
        <v>-874</v>
      </c>
      <c r="AB166">
        <f>-5240-AA166-Z166</f>
        <v>-2275</v>
      </c>
      <c r="AC166">
        <f>-5768-AB166-AA166-Z166</f>
        <v>-528</v>
      </c>
    </row>
    <row r="167" spans="1:41" x14ac:dyDescent="0.2">
      <c r="A167" t="s">
        <v>71</v>
      </c>
      <c r="V167">
        <f t="shared" ref="V167:AC167" si="99">V160+V161+V162+V163+V164+V165+V166</f>
        <v>8997</v>
      </c>
      <c r="W167">
        <f t="shared" si="99"/>
        <v>-12187</v>
      </c>
      <c r="X167">
        <f t="shared" si="99"/>
        <v>10812</v>
      </c>
      <c r="Y167">
        <f t="shared" si="99"/>
        <v>-12737</v>
      </c>
      <c r="Z167">
        <f t="shared" si="99"/>
        <v>21730</v>
      </c>
      <c r="AA167">
        <f t="shared" si="99"/>
        <v>-1666</v>
      </c>
      <c r="AB167">
        <f t="shared" si="99"/>
        <v>-12003</v>
      </c>
      <c r="AC167">
        <f t="shared" si="99"/>
        <v>-2584</v>
      </c>
    </row>
    <row r="168" spans="1:41" s="2" customFormat="1" x14ac:dyDescent="0.2">
      <c r="A168" s="2" t="s">
        <v>70</v>
      </c>
      <c r="V168" s="2">
        <f t="shared" ref="V168:AO168" si="100">V167+V157+V155+V154+V153+V150+V149+V148+V146+V145+V143+V144+V142+V140+V147+V151+V156+V152</f>
        <v>73573</v>
      </c>
      <c r="W168" s="2">
        <f t="shared" si="100"/>
        <v>70928</v>
      </c>
      <c r="X168" s="2">
        <f t="shared" si="100"/>
        <v>63622</v>
      </c>
      <c r="Y168" s="2">
        <f t="shared" si="100"/>
        <v>65101</v>
      </c>
      <c r="Z168" s="2">
        <f t="shared" si="100"/>
        <v>80035</v>
      </c>
      <c r="AA168" s="2">
        <f t="shared" si="100"/>
        <v>63720</v>
      </c>
      <c r="AB168" s="20">
        <f t="shared" si="100"/>
        <v>37961</v>
      </c>
      <c r="AC168" s="20">
        <f t="shared" si="100"/>
        <v>74020</v>
      </c>
      <c r="AD168" s="20">
        <f t="shared" si="100"/>
        <v>62535.614999999998</v>
      </c>
      <c r="AE168" s="20">
        <f t="shared" si="100"/>
        <v>41548.623589763869</v>
      </c>
      <c r="AF168" s="20">
        <f t="shared" si="100"/>
        <v>34073.392728212217</v>
      </c>
      <c r="AG168" s="20">
        <f t="shared" si="100"/>
        <v>48907.118885858974</v>
      </c>
      <c r="AH168" s="20">
        <f t="shared" si="100"/>
        <v>26603.386273969289</v>
      </c>
      <c r="AI168" s="20">
        <f t="shared" si="100"/>
        <v>25291.231502771618</v>
      </c>
      <c r="AJ168" s="20">
        <f t="shared" si="100"/>
        <v>19470.540508236882</v>
      </c>
      <c r="AK168" s="20">
        <f t="shared" si="100"/>
        <v>31494.910391774261</v>
      </c>
      <c r="AL168" s="20">
        <f t="shared" si="100"/>
        <v>20058.013840428786</v>
      </c>
      <c r="AM168" s="20">
        <f t="shared" si="100"/>
        <v>19471.843245499942</v>
      </c>
      <c r="AN168" s="20">
        <f t="shared" si="100"/>
        <v>16290.027893069841</v>
      </c>
      <c r="AO168" s="20">
        <f t="shared" si="100"/>
        <v>26375.209923025846</v>
      </c>
    </row>
    <row r="169" spans="1:41" x14ac:dyDescent="0.2">
      <c r="AC169" s="6"/>
    </row>
    <row r="170" spans="1:41" s="2" customFormat="1" x14ac:dyDescent="0.2">
      <c r="A170" s="2" t="s">
        <v>80</v>
      </c>
    </row>
    <row r="171" spans="1:41" x14ac:dyDescent="0.2">
      <c r="A171" t="s">
        <v>72</v>
      </c>
      <c r="V171">
        <v>-18984</v>
      </c>
      <c r="W171">
        <f>-46595-V171</f>
        <v>-27611</v>
      </c>
      <c r="X171">
        <f>-67126-W171-V171</f>
        <v>-20531</v>
      </c>
      <c r="Y171">
        <f>-94180-X171-W171-V171</f>
        <v>-27054</v>
      </c>
      <c r="Z171">
        <v>-29533</v>
      </c>
      <c r="AA171">
        <f>-57286-Z171</f>
        <v>-27753</v>
      </c>
      <c r="AB171">
        <f>-79242-AA171-Z171</f>
        <v>-21956</v>
      </c>
      <c r="AC171" s="26">
        <f>-103092-AB171-AA171-Z171</f>
        <v>-23850</v>
      </c>
      <c r="AD171" s="26">
        <f>-Schedule!N48</f>
        <v>-26839.74</v>
      </c>
      <c r="AE171" s="26">
        <f>-Schedule!O48</f>
        <v>-27108.137400000003</v>
      </c>
      <c r="AF171" s="26">
        <f>-Schedule!P48</f>
        <v>-27379.218774000004</v>
      </c>
      <c r="AG171" s="26">
        <f>-Schedule!Q48</f>
        <v>-27653.010961740005</v>
      </c>
      <c r="AH171" s="26">
        <f>-Schedule!R48</f>
        <v>-27929.541071357406</v>
      </c>
      <c r="AI171" s="26">
        <f>-Schedule!S48</f>
        <v>-28208.836482070979</v>
      </c>
      <c r="AJ171" s="26">
        <f>-Schedule!T48</f>
        <v>-28490.924846891689</v>
      </c>
      <c r="AK171" s="26">
        <f>-Schedule!U48</f>
        <v>-28775.834095360606</v>
      </c>
      <c r="AL171" s="26">
        <f>-Schedule!V48</f>
        <v>-29063.592436314211</v>
      </c>
      <c r="AM171" s="26">
        <f>-Schedule!W48</f>
        <v>-29354.228360677353</v>
      </c>
      <c r="AN171" s="26">
        <f>-Schedule!X48</f>
        <v>-29647.770644284126</v>
      </c>
      <c r="AO171" s="26">
        <f>-Schedule!Y48</f>
        <v>-29944.248350726968</v>
      </c>
    </row>
    <row r="172" spans="1:41" x14ac:dyDescent="0.2">
      <c r="A172" t="s">
        <v>73</v>
      </c>
      <c r="V172">
        <v>-4527</v>
      </c>
      <c r="W172">
        <f>-5018-V172</f>
        <v>-491</v>
      </c>
      <c r="X172">
        <f>-10666-W172-V172</f>
        <v>-5648</v>
      </c>
      <c r="Y172">
        <f>-10931-X172-W172-V172</f>
        <v>-265</v>
      </c>
      <c r="Z172">
        <v>-3692</v>
      </c>
      <c r="AA172">
        <f>-3815-Z172</f>
        <v>-123</v>
      </c>
    </row>
    <row r="173" spans="1:41" x14ac:dyDescent="0.2">
      <c r="A173" t="s">
        <v>74</v>
      </c>
      <c r="V173">
        <v>4038</v>
      </c>
      <c r="W173">
        <f>6709-V173</f>
        <v>2671</v>
      </c>
      <c r="X173">
        <f>7815-W173-V173</f>
        <v>1106</v>
      </c>
      <c r="Y173">
        <f>8714-X173-W173-V173</f>
        <v>899</v>
      </c>
      <c r="Z173">
        <v>2499</v>
      </c>
      <c r="AA173">
        <f>2494-Z173</f>
        <v>-5</v>
      </c>
      <c r="AB173">
        <f>2503-AA173-Z173</f>
        <v>9</v>
      </c>
      <c r="AC173">
        <f>6003-AB173-AA173-Z173</f>
        <v>3500</v>
      </c>
    </row>
    <row r="174" spans="1:41" x14ac:dyDescent="0.2">
      <c r="A174" t="s">
        <v>75</v>
      </c>
      <c r="V174">
        <v>-925748</v>
      </c>
      <c r="W174">
        <f>-984606-V174</f>
        <v>-58858</v>
      </c>
      <c r="X174">
        <f>-1574060-W174-V174</f>
        <v>-589454</v>
      </c>
      <c r="Y174">
        <f>-1688384-X174-W174-V174</f>
        <v>-114324</v>
      </c>
      <c r="Z174">
        <v>-273280</v>
      </c>
      <c r="AA174">
        <f>-356553-Z174</f>
        <v>-83273</v>
      </c>
      <c r="AB174">
        <f>-534008-AA174-Z174</f>
        <v>-177455</v>
      </c>
      <c r="AC174">
        <f>-730509-AB174-AA174-Z174-6000</f>
        <v>-202501</v>
      </c>
    </row>
    <row r="175" spans="1:41" x14ac:dyDescent="0.2">
      <c r="A175" t="s">
        <v>161</v>
      </c>
      <c r="Y175">
        <f>206041</f>
        <v>206041</v>
      </c>
      <c r="AB175">
        <v>-6000</v>
      </c>
      <c r="AC175">
        <f>458489-AB175-AA175-Z175</f>
        <v>464489</v>
      </c>
    </row>
    <row r="176" spans="1:41" x14ac:dyDescent="0.2">
      <c r="A176" t="s">
        <v>76</v>
      </c>
      <c r="V176">
        <v>181315</v>
      </c>
      <c r="W176">
        <f>455536-V176</f>
        <v>274221</v>
      </c>
      <c r="X176">
        <f>893315-W176-V176</f>
        <v>437779</v>
      </c>
      <c r="Y176">
        <f>1204787-X176-W176-V176</f>
        <v>311472</v>
      </c>
      <c r="Z176">
        <v>342059</v>
      </c>
      <c r="AA176">
        <f>522466-Z176</f>
        <v>180407</v>
      </c>
      <c r="AB176">
        <f>783912-AA176-Z176</f>
        <v>261446</v>
      </c>
      <c r="AC176">
        <f>884940-AB176-AA176-Z176</f>
        <v>101028</v>
      </c>
    </row>
    <row r="177" spans="1:41" x14ac:dyDescent="0.2">
      <c r="A177" t="s">
        <v>77</v>
      </c>
      <c r="V177">
        <v>6845</v>
      </c>
      <c r="W177">
        <f>7081-V177</f>
        <v>236</v>
      </c>
      <c r="X177">
        <f>16076-W177-V177</f>
        <v>8995</v>
      </c>
    </row>
    <row r="178" spans="1:41" x14ac:dyDescent="0.2">
      <c r="A178" t="s">
        <v>78</v>
      </c>
      <c r="V178">
        <v>-7891</v>
      </c>
      <c r="Z178">
        <v>-401125</v>
      </c>
    </row>
    <row r="179" spans="1:41" s="2" customFormat="1" x14ac:dyDescent="0.2">
      <c r="A179" s="2" t="s">
        <v>79</v>
      </c>
      <c r="V179" s="2">
        <f>V171+V172+V173+V174+V176+V177+V178</f>
        <v>-764952</v>
      </c>
      <c r="W179" s="2">
        <f>W171+W172+W173+W174+W176+W177+W178</f>
        <v>190168</v>
      </c>
      <c r="X179" s="2">
        <f>X171+X172+X173+X174+X176+X177+X178+X175</f>
        <v>-167753</v>
      </c>
      <c r="Y179" s="2">
        <f>Y171+Y172+Y173+Y174+Y176+Y177+Y178+Y175</f>
        <v>376769</v>
      </c>
      <c r="Z179" s="2">
        <f>Z171+Z172+Z173+Z174+Z176+Z177+Z178</f>
        <v>-363072</v>
      </c>
      <c r="AA179" s="2">
        <f>AA171+AA172+AA173+AA174+AA176+AA177+AA178</f>
        <v>69253</v>
      </c>
      <c r="AB179" s="20">
        <f>AB171+AB172+AB173+AB174+AB176+AB177+AB178+AB175</f>
        <v>56044</v>
      </c>
      <c r="AC179" s="20">
        <f t="shared" ref="AC179:AO179" si="101">AC171+AC172+AC173+AC174+AC176+AC177+AC178+AC175</f>
        <v>342666</v>
      </c>
      <c r="AD179" s="20">
        <f t="shared" si="101"/>
        <v>-26839.74</v>
      </c>
      <c r="AE179" s="20">
        <f t="shared" si="101"/>
        <v>-27108.137400000003</v>
      </c>
      <c r="AF179" s="20">
        <f t="shared" si="101"/>
        <v>-27379.218774000004</v>
      </c>
      <c r="AG179" s="20">
        <f t="shared" si="101"/>
        <v>-27653.010961740005</v>
      </c>
      <c r="AH179" s="20">
        <f t="shared" si="101"/>
        <v>-27929.541071357406</v>
      </c>
      <c r="AI179" s="20">
        <f t="shared" si="101"/>
        <v>-28208.836482070979</v>
      </c>
      <c r="AJ179" s="20">
        <f t="shared" si="101"/>
        <v>-28490.924846891689</v>
      </c>
      <c r="AK179" s="20">
        <f t="shared" si="101"/>
        <v>-28775.834095360606</v>
      </c>
      <c r="AL179" s="20">
        <f t="shared" si="101"/>
        <v>-29063.592436314211</v>
      </c>
      <c r="AM179" s="20">
        <f t="shared" si="101"/>
        <v>-29354.228360677353</v>
      </c>
      <c r="AN179" s="20">
        <f t="shared" si="101"/>
        <v>-29647.770644284126</v>
      </c>
      <c r="AO179" s="20">
        <f t="shared" si="101"/>
        <v>-29944.248350726968</v>
      </c>
    </row>
    <row r="181" spans="1:41" s="2" customFormat="1" x14ac:dyDescent="0.2">
      <c r="A181" s="2" t="s">
        <v>81</v>
      </c>
    </row>
    <row r="182" spans="1:41" x14ac:dyDescent="0.2">
      <c r="A182" t="s">
        <v>82</v>
      </c>
      <c r="V182">
        <v>347</v>
      </c>
      <c r="W182">
        <f>5267-V182</f>
        <v>4920</v>
      </c>
      <c r="X182">
        <f>5373-W182-V182</f>
        <v>106</v>
      </c>
      <c r="Y182">
        <f>8887-X182-W182-V182</f>
        <v>3514</v>
      </c>
      <c r="Z182">
        <v>456</v>
      </c>
      <c r="AA182">
        <f>4558-Z182</f>
        <v>4102</v>
      </c>
      <c r="AC182">
        <f>6477-AA182-Z182</f>
        <v>1919</v>
      </c>
    </row>
    <row r="183" spans="1:41" x14ac:dyDescent="0.2">
      <c r="A183" t="s">
        <v>83</v>
      </c>
      <c r="V183">
        <v>-59176</v>
      </c>
      <c r="W183">
        <f>-74642-V183</f>
        <v>-15466</v>
      </c>
      <c r="X183">
        <f>-89339-W183-V183</f>
        <v>-14697</v>
      </c>
      <c r="Y183">
        <f>-94423-X183-W183-V183</f>
        <v>-5084</v>
      </c>
      <c r="Z183">
        <v>-7467</v>
      </c>
      <c r="AA183">
        <f>-10221-Z183</f>
        <v>-2754</v>
      </c>
      <c r="AB183">
        <f>-12776-AA183-Z183</f>
        <v>-2555</v>
      </c>
      <c r="AC183">
        <f>-26549-AB183-AA183-Z183</f>
        <v>-13773</v>
      </c>
    </row>
    <row r="184" spans="1:41" x14ac:dyDescent="0.2">
      <c r="A184" t="s">
        <v>154</v>
      </c>
      <c r="V184">
        <v>1091466</v>
      </c>
    </row>
    <row r="185" spans="1:41" x14ac:dyDescent="0.2">
      <c r="A185" t="s">
        <v>84</v>
      </c>
      <c r="V185">
        <v>-189849</v>
      </c>
      <c r="W185">
        <f>-300751-V185</f>
        <v>-110902</v>
      </c>
      <c r="X185">
        <f>-300755-W185-V185</f>
        <v>-4</v>
      </c>
      <c r="Y185">
        <v>-7</v>
      </c>
      <c r="AB185">
        <f>-401203</f>
        <v>-401203</v>
      </c>
    </row>
    <row r="186" spans="1:41" x14ac:dyDescent="0.2">
      <c r="A186" t="s">
        <v>85</v>
      </c>
      <c r="V186">
        <v>24812</v>
      </c>
      <c r="W186">
        <f>69004-V186</f>
        <v>44192</v>
      </c>
      <c r="X186">
        <v>1</v>
      </c>
    </row>
    <row r="187" spans="1:41" x14ac:dyDescent="0.2">
      <c r="A187" t="s">
        <v>86</v>
      </c>
      <c r="Y187">
        <v>-300000</v>
      </c>
      <c r="Z187">
        <v>-300450</v>
      </c>
      <c r="AB187">
        <f>-323528-AA187-Z187</f>
        <v>-23078</v>
      </c>
    </row>
    <row r="188" spans="1:41" x14ac:dyDescent="0.2">
      <c r="A188" t="s">
        <v>160</v>
      </c>
      <c r="X188">
        <f>-7451</f>
        <v>-7451</v>
      </c>
    </row>
    <row r="189" spans="1:41" s="2" customFormat="1" x14ac:dyDescent="0.2">
      <c r="A189" s="2" t="s">
        <v>87</v>
      </c>
      <c r="V189" s="2">
        <f>V182+V183+V184+V185+V186+V187</f>
        <v>867600</v>
      </c>
      <c r="W189" s="2">
        <f>W182+W183+W184+W185+W186+W187</f>
        <v>-77256</v>
      </c>
      <c r="X189" s="2">
        <f>X182+X183+X184+X185+X186+X187+X188</f>
        <v>-22045</v>
      </c>
      <c r="Y189" s="2">
        <f>Y182+Y183+Y184+Y185+Y186+Y187+Y188</f>
        <v>-301577</v>
      </c>
      <c r="Z189" s="2">
        <f>Z182+Z183+Z184+Z185+Z186+Z187</f>
        <v>-307461</v>
      </c>
      <c r="AA189" s="2">
        <f>AA182+AA183+AA184+AA185+AA186+AA187</f>
        <v>1348</v>
      </c>
      <c r="AB189" s="2">
        <f>AB182+AB183+AB184+AB185+AB186+AB187</f>
        <v>-426836</v>
      </c>
      <c r="AC189" s="2">
        <f>AC182+AC183+AC184+AC185+AC186+AC187</f>
        <v>-11854</v>
      </c>
      <c r="AD189" s="2">
        <f t="shared" ref="AD189:AO189" si="102">AD182+AD183+AD184+AD185+AD186+AD187</f>
        <v>0</v>
      </c>
      <c r="AE189" s="2">
        <f t="shared" si="102"/>
        <v>0</v>
      </c>
      <c r="AF189" s="2">
        <f t="shared" si="102"/>
        <v>0</v>
      </c>
      <c r="AG189" s="2">
        <f t="shared" si="102"/>
        <v>0</v>
      </c>
      <c r="AH189" s="2">
        <f t="shared" si="102"/>
        <v>0</v>
      </c>
      <c r="AI189" s="2">
        <f t="shared" si="102"/>
        <v>0</v>
      </c>
      <c r="AJ189" s="2">
        <f t="shared" si="102"/>
        <v>0</v>
      </c>
      <c r="AK189" s="2">
        <f t="shared" si="102"/>
        <v>0</v>
      </c>
      <c r="AL189" s="2">
        <f t="shared" si="102"/>
        <v>0</v>
      </c>
      <c r="AM189" s="2">
        <f t="shared" si="102"/>
        <v>0</v>
      </c>
      <c r="AN189" s="2">
        <f t="shared" si="102"/>
        <v>0</v>
      </c>
      <c r="AO189" s="2">
        <f t="shared" si="102"/>
        <v>0</v>
      </c>
    </row>
    <row r="191" spans="1:41" x14ac:dyDescent="0.2">
      <c r="A191" t="s">
        <v>146</v>
      </c>
      <c r="Z191">
        <v>4628</v>
      </c>
      <c r="AC191">
        <f>4137-Z191</f>
        <v>-491</v>
      </c>
    </row>
    <row r="192" spans="1:41" s="2" customFormat="1" x14ac:dyDescent="0.2">
      <c r="A192" s="2" t="s">
        <v>88</v>
      </c>
      <c r="V192" s="2">
        <f t="shared" ref="V192:AB192" si="103">V191+V189+V179+V168</f>
        <v>176221</v>
      </c>
      <c r="W192" s="2">
        <f t="shared" si="103"/>
        <v>183840</v>
      </c>
      <c r="X192" s="2">
        <f t="shared" si="103"/>
        <v>-126176</v>
      </c>
      <c r="Y192" s="2">
        <f t="shared" si="103"/>
        <v>140293</v>
      </c>
      <c r="Z192" s="2">
        <f t="shared" si="103"/>
        <v>-585870</v>
      </c>
      <c r="AA192" s="2">
        <f t="shared" si="103"/>
        <v>134321</v>
      </c>
      <c r="AB192" s="20">
        <f t="shared" si="103"/>
        <v>-332831</v>
      </c>
      <c r="AC192" s="20">
        <f t="shared" ref="AC192:AO192" si="104">AC191+AC189+AC179+AC168</f>
        <v>404341</v>
      </c>
      <c r="AD192" s="20">
        <f t="shared" si="104"/>
        <v>35695.875</v>
      </c>
      <c r="AE192" s="20">
        <f t="shared" si="104"/>
        <v>14440.486189763866</v>
      </c>
      <c r="AF192" s="20">
        <f t="shared" si="104"/>
        <v>6694.1739542122123</v>
      </c>
      <c r="AG192" s="20">
        <f t="shared" si="104"/>
        <v>21254.107924118969</v>
      </c>
      <c r="AH192" s="20">
        <f t="shared" si="104"/>
        <v>-1326.154797388117</v>
      </c>
      <c r="AI192" s="20">
        <f t="shared" si="104"/>
        <v>-2917.6049792993617</v>
      </c>
      <c r="AJ192" s="20">
        <f t="shared" si="104"/>
        <v>-9020.3843386548069</v>
      </c>
      <c r="AK192" s="20">
        <f t="shared" si="104"/>
        <v>2719.0762964136557</v>
      </c>
      <c r="AL192" s="20">
        <f t="shared" si="104"/>
        <v>-9005.5785958854249</v>
      </c>
      <c r="AM192" s="20">
        <f t="shared" si="104"/>
        <v>-9882.3851151774106</v>
      </c>
      <c r="AN192" s="20">
        <f t="shared" si="104"/>
        <v>-13357.742751214286</v>
      </c>
      <c r="AO192" s="20">
        <f t="shared" si="104"/>
        <v>-3569.0384277011217</v>
      </c>
    </row>
    <row r="193" spans="1:41" x14ac:dyDescent="0.2">
      <c r="A193" t="s">
        <v>90</v>
      </c>
      <c r="V193">
        <v>481715</v>
      </c>
      <c r="W193">
        <f t="shared" ref="W193:AB193" si="105">V194</f>
        <v>657936</v>
      </c>
      <c r="X193">
        <f t="shared" si="105"/>
        <v>841776</v>
      </c>
      <c r="Y193">
        <f t="shared" si="105"/>
        <v>715600</v>
      </c>
      <c r="Z193">
        <f t="shared" si="105"/>
        <v>855893</v>
      </c>
      <c r="AA193">
        <f t="shared" si="105"/>
        <v>270023</v>
      </c>
      <c r="AB193" s="6">
        <f t="shared" si="105"/>
        <v>404344</v>
      </c>
      <c r="AC193" s="6">
        <f t="shared" ref="AC193" si="106">AB194</f>
        <v>71513</v>
      </c>
      <c r="AD193" s="6">
        <f>AC194</f>
        <v>475854</v>
      </c>
      <c r="AE193" s="6">
        <f>AD194</f>
        <v>511549.875</v>
      </c>
      <c r="AF193" s="6">
        <f t="shared" ref="AF193" si="107">AE194</f>
        <v>525990.36118976388</v>
      </c>
      <c r="AG193" s="6">
        <f t="shared" ref="AG193" si="108">AF194</f>
        <v>532684.5351439761</v>
      </c>
      <c r="AH193" s="6">
        <f t="shared" ref="AH193" si="109">AG194</f>
        <v>553938.64306809509</v>
      </c>
      <c r="AI193" s="6">
        <f t="shared" ref="AI193" si="110">AH194</f>
        <v>552612.48827070696</v>
      </c>
      <c r="AJ193" s="6">
        <f t="shared" ref="AJ193" si="111">AI194</f>
        <v>549694.8832914076</v>
      </c>
      <c r="AK193" s="6">
        <f t="shared" ref="AK193" si="112">AJ194</f>
        <v>540674.49895275279</v>
      </c>
      <c r="AL193" s="6">
        <f t="shared" ref="AL193" si="113">AK194</f>
        <v>543393.57524916646</v>
      </c>
      <c r="AM193" s="6">
        <f t="shared" ref="AM193" si="114">AL194</f>
        <v>534387.99665328104</v>
      </c>
      <c r="AN193" s="6">
        <f t="shared" ref="AN193" si="115">AM194</f>
        <v>524505.61153810367</v>
      </c>
      <c r="AO193" s="6">
        <f t="shared" ref="AO193" si="116">AN194</f>
        <v>511147.86878688936</v>
      </c>
    </row>
    <row r="194" spans="1:41" x14ac:dyDescent="0.2">
      <c r="A194" t="s">
        <v>89</v>
      </c>
      <c r="V194">
        <f t="shared" ref="V194:AB194" si="117">V193+V192</f>
        <v>657936</v>
      </c>
      <c r="W194">
        <f t="shared" si="117"/>
        <v>841776</v>
      </c>
      <c r="X194">
        <f t="shared" si="117"/>
        <v>715600</v>
      </c>
      <c r="Y194">
        <f t="shared" si="117"/>
        <v>855893</v>
      </c>
      <c r="Z194">
        <f t="shared" si="117"/>
        <v>270023</v>
      </c>
      <c r="AA194">
        <f t="shared" si="117"/>
        <v>404344</v>
      </c>
      <c r="AB194" s="6">
        <f t="shared" si="117"/>
        <v>71513</v>
      </c>
      <c r="AC194" s="6">
        <f t="shared" ref="AC194:AO194" si="118">AC193+AC192</f>
        <v>475854</v>
      </c>
      <c r="AD194" s="6">
        <f t="shared" si="118"/>
        <v>511549.875</v>
      </c>
      <c r="AE194" s="6">
        <f t="shared" si="118"/>
        <v>525990.36118976388</v>
      </c>
      <c r="AF194" s="6">
        <f t="shared" si="118"/>
        <v>532684.5351439761</v>
      </c>
      <c r="AG194" s="6">
        <f t="shared" si="118"/>
        <v>553938.64306809509</v>
      </c>
      <c r="AH194" s="6">
        <f t="shared" si="118"/>
        <v>552612.48827070696</v>
      </c>
      <c r="AI194" s="6">
        <f t="shared" si="118"/>
        <v>549694.8832914076</v>
      </c>
      <c r="AJ194" s="6">
        <f t="shared" si="118"/>
        <v>540674.49895275279</v>
      </c>
      <c r="AK194" s="6">
        <f t="shared" si="118"/>
        <v>543393.57524916646</v>
      </c>
      <c r="AL194" s="6">
        <f t="shared" si="118"/>
        <v>534387.99665328104</v>
      </c>
      <c r="AM194" s="6">
        <f t="shared" si="118"/>
        <v>524505.61153810367</v>
      </c>
      <c r="AN194" s="6">
        <f t="shared" si="118"/>
        <v>511147.86878688936</v>
      </c>
      <c r="AO194" s="6">
        <f t="shared" si="118"/>
        <v>507578.83035918826</v>
      </c>
    </row>
    <row r="197" spans="1:41" x14ac:dyDescent="0.2">
      <c r="A197" s="2" t="s">
        <v>187</v>
      </c>
    </row>
    <row r="198" spans="1:41" x14ac:dyDescent="0.2">
      <c r="A198" t="s">
        <v>188</v>
      </c>
      <c r="V198">
        <f>V168</f>
        <v>73573</v>
      </c>
      <c r="W198">
        <f t="shared" ref="W198:AB198" si="119">W168</f>
        <v>70928</v>
      </c>
      <c r="X198">
        <f t="shared" si="119"/>
        <v>63622</v>
      </c>
      <c r="Y198">
        <f t="shared" si="119"/>
        <v>65101</v>
      </c>
      <c r="Z198">
        <f t="shared" si="119"/>
        <v>80035</v>
      </c>
      <c r="AA198">
        <f t="shared" si="119"/>
        <v>63720</v>
      </c>
      <c r="AB198">
        <f t="shared" si="119"/>
        <v>37961</v>
      </c>
      <c r="AC198">
        <f t="shared" ref="AC198" si="120">AC168</f>
        <v>74020</v>
      </c>
    </row>
    <row r="199" spans="1:41" x14ac:dyDescent="0.2">
      <c r="A199" t="s">
        <v>189</v>
      </c>
      <c r="V199">
        <f>V173+V172+V171</f>
        <v>-19473</v>
      </c>
      <c r="W199">
        <f t="shared" ref="W199:AB199" si="121">W173+W172+W171</f>
        <v>-25431</v>
      </c>
      <c r="X199">
        <f t="shared" si="121"/>
        <v>-25073</v>
      </c>
      <c r="Y199">
        <f t="shared" si="121"/>
        <v>-26420</v>
      </c>
      <c r="Z199">
        <f t="shared" si="121"/>
        <v>-30726</v>
      </c>
      <c r="AA199">
        <f t="shared" si="121"/>
        <v>-27881</v>
      </c>
      <c r="AB199">
        <f t="shared" si="121"/>
        <v>-21947</v>
      </c>
      <c r="AC199">
        <f t="shared" ref="AC199" si="122">AC173+AC172+AC171</f>
        <v>-20350</v>
      </c>
    </row>
    <row r="200" spans="1:41" x14ac:dyDescent="0.2">
      <c r="A200" t="s">
        <v>191</v>
      </c>
      <c r="V200">
        <f>V144</f>
        <v>23100</v>
      </c>
      <c r="W200">
        <f t="shared" ref="W200:AB200" si="123">W144</f>
        <v>28545</v>
      </c>
      <c r="X200">
        <f t="shared" si="123"/>
        <v>24512</v>
      </c>
      <c r="Y200">
        <f t="shared" si="123"/>
        <v>32689</v>
      </c>
      <c r="Z200">
        <f t="shared" si="123"/>
        <v>33084</v>
      </c>
      <c r="AA200">
        <f t="shared" si="123"/>
        <v>31087</v>
      </c>
      <c r="AB200">
        <f t="shared" si="123"/>
        <v>34170</v>
      </c>
      <c r="AC200">
        <f t="shared" ref="AC200" si="124">AC144</f>
        <v>35115</v>
      </c>
    </row>
    <row r="201" spans="1:41" x14ac:dyDescent="0.2">
      <c r="A201" t="s">
        <v>187</v>
      </c>
      <c r="V201">
        <f t="shared" ref="V201:AB201" si="125">V198+V199</f>
        <v>54100</v>
      </c>
      <c r="W201">
        <f t="shared" si="125"/>
        <v>45497</v>
      </c>
      <c r="X201">
        <f t="shared" si="125"/>
        <v>38549</v>
      </c>
      <c r="Y201">
        <f t="shared" si="125"/>
        <v>38681</v>
      </c>
      <c r="Z201">
        <f t="shared" si="125"/>
        <v>49309</v>
      </c>
      <c r="AA201">
        <f t="shared" si="125"/>
        <v>35839</v>
      </c>
      <c r="AB201">
        <f t="shared" si="125"/>
        <v>16014</v>
      </c>
      <c r="AC201">
        <f t="shared" ref="AC201" si="126">AC198+AC199</f>
        <v>53670</v>
      </c>
    </row>
    <row r="202" spans="1:41" x14ac:dyDescent="0.2">
      <c r="A202" t="s">
        <v>190</v>
      </c>
      <c r="V202">
        <f t="shared" ref="V202:AB202" si="127">V201-V200</f>
        <v>31000</v>
      </c>
      <c r="W202">
        <f t="shared" si="127"/>
        <v>16952</v>
      </c>
      <c r="X202">
        <f t="shared" si="127"/>
        <v>14037</v>
      </c>
      <c r="Y202">
        <f t="shared" si="127"/>
        <v>5992</v>
      </c>
      <c r="Z202">
        <f t="shared" si="127"/>
        <v>16225</v>
      </c>
      <c r="AA202">
        <f t="shared" si="127"/>
        <v>4752</v>
      </c>
      <c r="AB202">
        <f t="shared" si="127"/>
        <v>-18156</v>
      </c>
      <c r="AC202">
        <f t="shared" ref="AC202" si="128">AC201-AC200</f>
        <v>18555</v>
      </c>
    </row>
    <row r="204" spans="1:41" x14ac:dyDescent="0.2">
      <c r="A204" t="s">
        <v>192</v>
      </c>
      <c r="V204">
        <f>V65</f>
        <v>-65179</v>
      </c>
      <c r="W204">
        <f t="shared" ref="W204:AB204" si="129">W65</f>
        <v>32764</v>
      </c>
      <c r="X204">
        <f t="shared" si="129"/>
        <v>6651</v>
      </c>
      <c r="Y204">
        <f t="shared" si="129"/>
        <v>24306</v>
      </c>
      <c r="Z204">
        <f t="shared" si="129"/>
        <v>5742</v>
      </c>
      <c r="AA204">
        <f t="shared" si="129"/>
        <v>7476</v>
      </c>
      <c r="AB204">
        <f t="shared" si="129"/>
        <v>251562</v>
      </c>
      <c r="AC204">
        <f t="shared" ref="AC204:AH204" si="130">AC65</f>
        <v>1858</v>
      </c>
      <c r="AD204" s="6">
        <f t="shared" si="130"/>
        <v>2186</v>
      </c>
      <c r="AE204" s="6">
        <f t="shared" si="130"/>
        <v>-20327.23819190279</v>
      </c>
      <c r="AF204" s="6">
        <f t="shared" si="130"/>
        <v>-29343.661951902777</v>
      </c>
      <c r="AG204" s="6">
        <f t="shared" si="130"/>
        <v>-16066.223954302794</v>
      </c>
      <c r="AH204" s="6">
        <f t="shared" si="130"/>
        <v>-32128.003024678805</v>
      </c>
    </row>
    <row r="205" spans="1:41" x14ac:dyDescent="0.2">
      <c r="A205" t="s">
        <v>193</v>
      </c>
      <c r="V205">
        <f>V202</f>
        <v>31000</v>
      </c>
      <c r="W205">
        <f t="shared" ref="W205:AB205" si="131">W202</f>
        <v>16952</v>
      </c>
      <c r="X205">
        <f t="shared" si="131"/>
        <v>14037</v>
      </c>
      <c r="Y205">
        <f t="shared" si="131"/>
        <v>5992</v>
      </c>
      <c r="Z205">
        <f t="shared" si="131"/>
        <v>16225</v>
      </c>
      <c r="AA205">
        <f t="shared" si="131"/>
        <v>4752</v>
      </c>
      <c r="AB205">
        <f t="shared" si="131"/>
        <v>-18156</v>
      </c>
      <c r="AC205">
        <f t="shared" ref="AC205" si="132">AC202</f>
        <v>18555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81A0-B3E9-9344-B206-E0FB3B532E9E}">
  <dimension ref="A1:AI17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7" sqref="J17"/>
    </sheetView>
  </sheetViews>
  <sheetFormatPr baseColWidth="10" defaultRowHeight="16" x14ac:dyDescent="0.2"/>
  <cols>
    <col min="1" max="1" width="28.6640625" customWidth="1"/>
  </cols>
  <sheetData>
    <row r="1" spans="1:34" x14ac:dyDescent="0.2">
      <c r="A1" t="s">
        <v>15</v>
      </c>
      <c r="B1" s="2" t="s">
        <v>155</v>
      </c>
      <c r="C1" s="2" t="s">
        <v>156</v>
      </c>
      <c r="D1" s="2" t="s">
        <v>157</v>
      </c>
      <c r="E1" s="2" t="s">
        <v>158</v>
      </c>
      <c r="F1" s="2" t="s">
        <v>8</v>
      </c>
      <c r="G1" s="2" t="s">
        <v>91</v>
      </c>
      <c r="H1" s="2" t="s">
        <v>92</v>
      </c>
      <c r="I1" s="2" t="s">
        <v>93</v>
      </c>
      <c r="J1" s="2" t="s">
        <v>9</v>
      </c>
      <c r="K1" s="2" t="s">
        <v>94</v>
      </c>
      <c r="L1" s="2" t="s">
        <v>298</v>
      </c>
      <c r="M1" s="2" t="s">
        <v>297</v>
      </c>
      <c r="N1" s="2" t="s">
        <v>219</v>
      </c>
      <c r="O1" s="2" t="s">
        <v>220</v>
      </c>
      <c r="P1" s="2" t="s">
        <v>221</v>
      </c>
      <c r="Q1" s="2" t="s">
        <v>222</v>
      </c>
      <c r="R1" s="2" t="s">
        <v>263</v>
      </c>
      <c r="S1" s="2" t="s">
        <v>264</v>
      </c>
      <c r="T1" s="2" t="s">
        <v>265</v>
      </c>
      <c r="U1" s="2" t="s">
        <v>266</v>
      </c>
      <c r="V1" s="2" t="s">
        <v>267</v>
      </c>
      <c r="W1" s="2" t="s">
        <v>268</v>
      </c>
      <c r="X1" s="2" t="s">
        <v>269</v>
      </c>
      <c r="Y1" s="2" t="s">
        <v>270</v>
      </c>
      <c r="Z1" s="2"/>
      <c r="AA1" s="2" t="s">
        <v>148</v>
      </c>
      <c r="AB1" s="2" t="s">
        <v>153</v>
      </c>
      <c r="AC1" s="2" t="s">
        <v>0</v>
      </c>
      <c r="AD1" s="2" t="s">
        <v>1</v>
      </c>
      <c r="AE1" s="2" t="s">
        <v>141</v>
      </c>
      <c r="AF1" t="s">
        <v>142</v>
      </c>
      <c r="AG1" t="s">
        <v>143</v>
      </c>
      <c r="AH1" t="s">
        <v>144</v>
      </c>
    </row>
    <row r="2" spans="1:34" x14ac:dyDescent="0.2">
      <c r="B2" s="1">
        <v>43921</v>
      </c>
      <c r="C2" s="1">
        <v>44012</v>
      </c>
      <c r="D2" s="1">
        <v>44104</v>
      </c>
      <c r="E2" s="1">
        <v>44196</v>
      </c>
      <c r="F2" s="1">
        <v>44286</v>
      </c>
      <c r="G2" s="1">
        <v>44377</v>
      </c>
      <c r="H2" s="1">
        <v>44469</v>
      </c>
      <c r="I2" s="1">
        <v>44561</v>
      </c>
      <c r="J2" s="1">
        <f t="shared" ref="J2:Q2" si="0">F2+365</f>
        <v>44651</v>
      </c>
      <c r="K2" s="1">
        <f t="shared" si="0"/>
        <v>44742</v>
      </c>
      <c r="L2" s="1">
        <f t="shared" si="0"/>
        <v>44834</v>
      </c>
      <c r="M2" s="1">
        <f t="shared" si="0"/>
        <v>44926</v>
      </c>
      <c r="N2" s="1">
        <f t="shared" si="0"/>
        <v>45016</v>
      </c>
      <c r="O2" s="1">
        <f t="shared" si="0"/>
        <v>45107</v>
      </c>
      <c r="P2" s="1">
        <f t="shared" si="0"/>
        <v>45199</v>
      </c>
      <c r="Q2" s="1">
        <f t="shared" si="0"/>
        <v>45291</v>
      </c>
      <c r="R2" s="1">
        <f>N2+366</f>
        <v>45382</v>
      </c>
      <c r="S2" s="1">
        <f>O2+366</f>
        <v>45473</v>
      </c>
      <c r="T2" s="1">
        <f>P2+366</f>
        <v>45565</v>
      </c>
      <c r="U2" s="1">
        <f>Q2+366</f>
        <v>45657</v>
      </c>
      <c r="V2" s="1">
        <f>R2+365</f>
        <v>45747</v>
      </c>
      <c r="W2" s="1">
        <f>S2+365</f>
        <v>45838</v>
      </c>
      <c r="X2" s="1">
        <f>T2+365</f>
        <v>45930</v>
      </c>
      <c r="Y2" s="1">
        <f>U2+365</f>
        <v>46022</v>
      </c>
      <c r="Z2" s="1"/>
      <c r="AA2" s="6">
        <v>2019</v>
      </c>
      <c r="AB2" s="6">
        <f>AA2+1</f>
        <v>2020</v>
      </c>
      <c r="AC2" s="6">
        <f t="shared" ref="AC2:AH2" si="1">AB2+1</f>
        <v>2021</v>
      </c>
      <c r="AD2" s="6">
        <f t="shared" si="1"/>
        <v>2022</v>
      </c>
      <c r="AE2" s="6">
        <f t="shared" si="1"/>
        <v>2023</v>
      </c>
      <c r="AF2" s="6">
        <f t="shared" si="1"/>
        <v>2024</v>
      </c>
      <c r="AG2" s="6">
        <f t="shared" si="1"/>
        <v>2025</v>
      </c>
      <c r="AH2" s="6">
        <f t="shared" si="1"/>
        <v>2026</v>
      </c>
    </row>
    <row r="5" spans="1:34" x14ac:dyDescent="0.2">
      <c r="A5" s="2" t="s">
        <v>7</v>
      </c>
      <c r="B5" s="2"/>
      <c r="C5" s="2"/>
      <c r="D5" s="2"/>
      <c r="E5" s="2"/>
    </row>
    <row r="6" spans="1:34" x14ac:dyDescent="0.2">
      <c r="A6" t="s">
        <v>61</v>
      </c>
    </row>
    <row r="7" spans="1:34" x14ac:dyDescent="0.2">
      <c r="A7" t="s">
        <v>62</v>
      </c>
    </row>
    <row r="8" spans="1:34" x14ac:dyDescent="0.2">
      <c r="A8" t="s">
        <v>95</v>
      </c>
    </row>
    <row r="9" spans="1:34" x14ac:dyDescent="0.2">
      <c r="A9" t="s">
        <v>96</v>
      </c>
      <c r="J9">
        <v>4628</v>
      </c>
    </row>
    <row r="10" spans="1:34" x14ac:dyDescent="0.2">
      <c r="A10" t="s">
        <v>97</v>
      </c>
      <c r="J10">
        <v>1477</v>
      </c>
    </row>
    <row r="11" spans="1:34" x14ac:dyDescent="0.2">
      <c r="A11" t="s">
        <v>7</v>
      </c>
      <c r="J11">
        <v>75</v>
      </c>
    </row>
    <row r="12" spans="1:34" s="2" customFormat="1" x14ac:dyDescent="0.2">
      <c r="A12" s="2" t="s">
        <v>98</v>
      </c>
      <c r="J12" s="2">
        <f>SUM(J6:J11)</f>
        <v>6180</v>
      </c>
    </row>
    <row r="14" spans="1:34" s="2" customFormat="1" x14ac:dyDescent="0.2">
      <c r="A14" s="2" t="s">
        <v>99</v>
      </c>
    </row>
    <row r="15" spans="1:34" x14ac:dyDescent="0.2">
      <c r="A15" t="s">
        <v>100</v>
      </c>
      <c r="F15">
        <v>162351</v>
      </c>
      <c r="J15">
        <v>184812</v>
      </c>
    </row>
    <row r="16" spans="1:34" x14ac:dyDescent="0.2">
      <c r="A16" t="s">
        <v>103</v>
      </c>
      <c r="F16">
        <v>29500</v>
      </c>
      <c r="J16">
        <v>30900</v>
      </c>
    </row>
    <row r="18" spans="1:10" x14ac:dyDescent="0.2">
      <c r="A18" t="s">
        <v>101</v>
      </c>
      <c r="F18">
        <v>36027</v>
      </c>
      <c r="J18">
        <v>17432</v>
      </c>
    </row>
    <row r="19" spans="1:10" x14ac:dyDescent="0.2">
      <c r="A19" t="s">
        <v>104</v>
      </c>
      <c r="F19">
        <v>10700</v>
      </c>
      <c r="J19">
        <v>4800</v>
      </c>
    </row>
    <row r="20" spans="1:10" s="2" customFormat="1" x14ac:dyDescent="0.2">
      <c r="A20" s="2" t="s">
        <v>102</v>
      </c>
      <c r="F20" s="2">
        <f>F15+F18</f>
        <v>198378</v>
      </c>
      <c r="J20" s="2">
        <f>J15+J18</f>
        <v>202244</v>
      </c>
    </row>
    <row r="22" spans="1:10" x14ac:dyDescent="0.2">
      <c r="A22" s="2" t="s">
        <v>19</v>
      </c>
      <c r="B22" s="2"/>
      <c r="C22" s="2"/>
      <c r="D22" s="2"/>
      <c r="E22" s="2"/>
    </row>
    <row r="23" spans="1:10" x14ac:dyDescent="0.2">
      <c r="A23" t="s">
        <v>105</v>
      </c>
      <c r="J23">
        <v>19918</v>
      </c>
    </row>
    <row r="24" spans="1:10" x14ac:dyDescent="0.2">
      <c r="A24" t="s">
        <v>106</v>
      </c>
      <c r="J24">
        <v>13670</v>
      </c>
    </row>
    <row r="25" spans="1:10" x14ac:dyDescent="0.2">
      <c r="A25" t="s">
        <v>34</v>
      </c>
      <c r="J25">
        <v>60458</v>
      </c>
    </row>
    <row r="27" spans="1:10" x14ac:dyDescent="0.2">
      <c r="A27" s="2" t="s">
        <v>107</v>
      </c>
      <c r="B27" s="2"/>
      <c r="C27" s="2"/>
      <c r="D27" s="2"/>
      <c r="E27" s="2"/>
    </row>
    <row r="28" spans="1:10" x14ac:dyDescent="0.2">
      <c r="A28" t="s">
        <v>108</v>
      </c>
      <c r="J28">
        <v>132162</v>
      </c>
    </row>
    <row r="29" spans="1:10" x14ac:dyDescent="0.2">
      <c r="A29" t="s">
        <v>109</v>
      </c>
      <c r="J29">
        <v>1108</v>
      </c>
    </row>
    <row r="30" spans="1:10" x14ac:dyDescent="0.2">
      <c r="A30" t="s">
        <v>110</v>
      </c>
      <c r="J30">
        <f>J28+J29</f>
        <v>133270</v>
      </c>
    </row>
    <row r="32" spans="1:10" x14ac:dyDescent="0.2">
      <c r="A32" t="s">
        <v>111</v>
      </c>
      <c r="J32">
        <v>2300</v>
      </c>
    </row>
    <row r="33" spans="1:31" x14ac:dyDescent="0.2">
      <c r="A33" t="s">
        <v>112</v>
      </c>
      <c r="J33">
        <v>22875</v>
      </c>
    </row>
    <row r="34" spans="1:31" x14ac:dyDescent="0.2">
      <c r="A34" t="s">
        <v>113</v>
      </c>
      <c r="J34">
        <f>J32+J33</f>
        <v>25175</v>
      </c>
    </row>
    <row r="37" spans="1:31" x14ac:dyDescent="0.2">
      <c r="A37" s="2" t="s">
        <v>310</v>
      </c>
    </row>
    <row r="38" spans="1:31" x14ac:dyDescent="0.2">
      <c r="A38" t="s">
        <v>311</v>
      </c>
      <c r="E38">
        <v>181938</v>
      </c>
      <c r="I38">
        <v>258005</v>
      </c>
    </row>
    <row r="39" spans="1:31" x14ac:dyDescent="0.2">
      <c r="A39" t="s">
        <v>312</v>
      </c>
      <c r="E39">
        <v>15646</v>
      </c>
      <c r="I39">
        <v>29711</v>
      </c>
    </row>
    <row r="40" spans="1:31" x14ac:dyDescent="0.2">
      <c r="A40" t="s">
        <v>313</v>
      </c>
      <c r="E40">
        <v>19574</v>
      </c>
      <c r="I40">
        <v>19913</v>
      </c>
    </row>
    <row r="41" spans="1:31" x14ac:dyDescent="0.2">
      <c r="A41" t="s">
        <v>314</v>
      </c>
      <c r="E41">
        <v>3891</v>
      </c>
      <c r="I41">
        <v>4352</v>
      </c>
    </row>
    <row r="42" spans="1:31" x14ac:dyDescent="0.2">
      <c r="A42" t="s">
        <v>315</v>
      </c>
      <c r="E42">
        <v>3368</v>
      </c>
      <c r="I42">
        <v>3370</v>
      </c>
    </row>
    <row r="43" spans="1:31" x14ac:dyDescent="0.2">
      <c r="A43" t="s">
        <v>316</v>
      </c>
      <c r="E43">
        <f>E38+E39+E40+E41+E42</f>
        <v>224417</v>
      </c>
      <c r="F43">
        <f>F49-F44</f>
        <v>251687</v>
      </c>
      <c r="G43">
        <f t="shared" ref="G43:H43" si="2">G49-G44</f>
        <v>294832</v>
      </c>
      <c r="H43">
        <f t="shared" si="2"/>
        <v>321857</v>
      </c>
      <c r="I43">
        <f>I38+I39+I40+I41+I42</f>
        <v>315351</v>
      </c>
      <c r="J43">
        <f>J49-J44</f>
        <v>362689</v>
      </c>
      <c r="K43">
        <f t="shared" ref="K43:L43" si="3">K49-K44</f>
        <v>398069</v>
      </c>
      <c r="L43">
        <f t="shared" si="3"/>
        <v>427017</v>
      </c>
      <c r="M43" s="6">
        <f>L43+M48</f>
        <v>453591</v>
      </c>
      <c r="N43" s="6">
        <f t="shared" ref="N43:Y43" si="4">M43+N48</f>
        <v>480430.74</v>
      </c>
      <c r="O43" s="6">
        <f t="shared" si="4"/>
        <v>507538.8774</v>
      </c>
      <c r="P43" s="6">
        <f t="shared" si="4"/>
        <v>534918.09617399995</v>
      </c>
      <c r="Q43" s="6">
        <f t="shared" si="4"/>
        <v>562571.10713573999</v>
      </c>
      <c r="R43" s="6">
        <f t="shared" si="4"/>
        <v>590500.64820709743</v>
      </c>
      <c r="S43" s="6">
        <f t="shared" si="4"/>
        <v>618709.4846891684</v>
      </c>
      <c r="T43" s="6">
        <f t="shared" si="4"/>
        <v>647200.40953606006</v>
      </c>
      <c r="U43" s="6">
        <f t="shared" si="4"/>
        <v>675976.24363142066</v>
      </c>
      <c r="V43" s="6">
        <f t="shared" si="4"/>
        <v>705039.83606773487</v>
      </c>
      <c r="W43" s="6">
        <f t="shared" si="4"/>
        <v>734394.06442841224</v>
      </c>
      <c r="X43" s="6">
        <f t="shared" si="4"/>
        <v>764041.83507269633</v>
      </c>
      <c r="Y43" s="6">
        <f t="shared" si="4"/>
        <v>793986.08342342335</v>
      </c>
    </row>
    <row r="44" spans="1:31" x14ac:dyDescent="0.2">
      <c r="A44" t="s">
        <v>317</v>
      </c>
      <c r="E44">
        <v>-98610</v>
      </c>
      <c r="F44">
        <f>E44-F48</f>
        <v>-117594</v>
      </c>
      <c r="G44">
        <f t="shared" ref="G44:H44" si="5">F44-G48</f>
        <v>-145205</v>
      </c>
      <c r="H44">
        <f t="shared" si="5"/>
        <v>-165736</v>
      </c>
      <c r="I44">
        <f>-145413</f>
        <v>-145413</v>
      </c>
      <c r="J44">
        <f>I44-J48</f>
        <v>-174946</v>
      </c>
      <c r="K44">
        <f t="shared" ref="K44:L44" si="6">J44-K48</f>
        <v>-202699</v>
      </c>
      <c r="L44">
        <f t="shared" si="6"/>
        <v>-224655</v>
      </c>
      <c r="M44" s="6">
        <f>L44+M45</f>
        <v>-251343.5625</v>
      </c>
      <c r="N44" s="6">
        <f t="shared" ref="N44:Y44" si="7">M44+N45</f>
        <v>-276543.0625</v>
      </c>
      <c r="O44" s="6">
        <f t="shared" si="7"/>
        <v>-303233.65916666668</v>
      </c>
      <c r="P44" s="6">
        <f t="shared" si="7"/>
        <v>-331430.26346666669</v>
      </c>
      <c r="Q44" s="6">
        <f t="shared" si="7"/>
        <v>-361147.93547633337</v>
      </c>
      <c r="R44" s="6">
        <f t="shared" si="7"/>
        <v>-384588.39827365585</v>
      </c>
      <c r="S44" s="6">
        <f t="shared" si="7"/>
        <v>-409192.59194895159</v>
      </c>
      <c r="T44" s="6">
        <f t="shared" si="7"/>
        <v>-434972.15381100029</v>
      </c>
      <c r="U44" s="6">
        <f t="shared" si="7"/>
        <v>-461938.83754166943</v>
      </c>
      <c r="V44" s="6">
        <f t="shared" si="7"/>
        <v>-490104.51435964531</v>
      </c>
      <c r="W44" s="6">
        <f t="shared" si="7"/>
        <v>-519481.17419580091</v>
      </c>
      <c r="X44" s="6">
        <f t="shared" si="7"/>
        <v>-550080.92688031809</v>
      </c>
      <c r="Y44" s="6">
        <f t="shared" si="7"/>
        <v>-581916.00334168039</v>
      </c>
    </row>
    <row r="45" spans="1:31" x14ac:dyDescent="0.2">
      <c r="A45" t="s">
        <v>320</v>
      </c>
      <c r="F45">
        <f>-Model!V143</f>
        <v>-14846</v>
      </c>
      <c r="G45">
        <f>-Model!W143</f>
        <v>-15341</v>
      </c>
      <c r="H45">
        <f>-Model!X143</f>
        <v>-16086</v>
      </c>
      <c r="I45">
        <f>-Model!Y143</f>
        <v>-17001</v>
      </c>
      <c r="J45">
        <f>-Model!Z143</f>
        <v>-20285</v>
      </c>
      <c r="K45">
        <f>-Model!AA143</f>
        <v>-21636</v>
      </c>
      <c r="L45">
        <f>-Model!AB143</f>
        <v>-22374</v>
      </c>
      <c r="M45" s="6">
        <f>-L43/(M46*4)</f>
        <v>-26688.5625</v>
      </c>
      <c r="N45" s="6">
        <f t="shared" ref="N45:Y45" si="8">-M43/(N46*4)</f>
        <v>-25199.5</v>
      </c>
      <c r="O45" s="6">
        <f t="shared" si="8"/>
        <v>-26690.596666666665</v>
      </c>
      <c r="P45" s="6">
        <f t="shared" si="8"/>
        <v>-28196.604299999999</v>
      </c>
      <c r="Q45" s="6">
        <f t="shared" si="8"/>
        <v>-29717.672009666665</v>
      </c>
      <c r="R45" s="6">
        <f t="shared" si="8"/>
        <v>-23440.4627973225</v>
      </c>
      <c r="S45" s="6">
        <f t="shared" si="8"/>
        <v>-24604.193675295726</v>
      </c>
      <c r="T45" s="6">
        <f t="shared" si="8"/>
        <v>-25779.561862048682</v>
      </c>
      <c r="U45" s="6">
        <f t="shared" si="8"/>
        <v>-26966.68373066917</v>
      </c>
      <c r="V45" s="6">
        <f t="shared" si="8"/>
        <v>-28165.676817975862</v>
      </c>
      <c r="W45" s="6">
        <f t="shared" si="8"/>
        <v>-29376.659836155621</v>
      </c>
      <c r="X45" s="6">
        <f t="shared" si="8"/>
        <v>-30599.752684517178</v>
      </c>
      <c r="Y45" s="6">
        <f t="shared" si="8"/>
        <v>-31835.076461362347</v>
      </c>
    </row>
    <row r="46" spans="1:31" x14ac:dyDescent="0.2">
      <c r="A46" t="s">
        <v>319</v>
      </c>
      <c r="F46" s="6">
        <f>-1/(F45/E43)/4</f>
        <v>3.7790819075845343</v>
      </c>
      <c r="G46" s="6">
        <f t="shared" ref="G46:I46" si="9">-1/(G45/F43)/4</f>
        <v>4.1015416204941006</v>
      </c>
      <c r="H46" s="6">
        <f t="shared" si="9"/>
        <v>4.5821210990923786</v>
      </c>
      <c r="I46" s="6">
        <f t="shared" si="9"/>
        <v>4.7329127698370685</v>
      </c>
      <c r="J46" s="6">
        <f>-1/(J45/I43)/4</f>
        <v>3.8865048065072716</v>
      </c>
      <c r="K46" s="6">
        <f t="shared" ref="K46:L46" si="10">-1/(K45/J43)/4</f>
        <v>4.1908046773895364</v>
      </c>
      <c r="L46" s="6">
        <f t="shared" si="10"/>
        <v>4.4478971127201214</v>
      </c>
      <c r="M46" s="6">
        <v>4</v>
      </c>
      <c r="N46" s="6">
        <v>4.5</v>
      </c>
      <c r="O46" s="6">
        <v>4.5</v>
      </c>
      <c r="P46" s="6">
        <v>4.5</v>
      </c>
      <c r="Q46" s="6">
        <v>4.5</v>
      </c>
      <c r="R46" s="6">
        <v>6</v>
      </c>
      <c r="S46" s="6">
        <v>6</v>
      </c>
      <c r="T46" s="6">
        <v>6</v>
      </c>
      <c r="U46" s="6">
        <v>6</v>
      </c>
      <c r="V46" s="6">
        <v>6</v>
      </c>
      <c r="W46" s="6">
        <v>6</v>
      </c>
      <c r="X46" s="6">
        <v>6</v>
      </c>
      <c r="Y46" s="6">
        <v>6</v>
      </c>
    </row>
    <row r="48" spans="1:31" x14ac:dyDescent="0.2">
      <c r="A48" t="s">
        <v>318</v>
      </c>
      <c r="F48">
        <f>-Model!V171</f>
        <v>18984</v>
      </c>
      <c r="G48">
        <f>-Model!W171</f>
        <v>27611</v>
      </c>
      <c r="H48">
        <f>-Model!X171</f>
        <v>20531</v>
      </c>
      <c r="I48">
        <f>-Model!Y171</f>
        <v>27054</v>
      </c>
      <c r="J48">
        <f>-Model!Z171</f>
        <v>29533</v>
      </c>
      <c r="K48">
        <f>-Model!AA171</f>
        <v>27753</v>
      </c>
      <c r="L48">
        <f>-Model!AB171</f>
        <v>21956</v>
      </c>
      <c r="M48">
        <f>AVERAGE(I48:L48)</f>
        <v>26574</v>
      </c>
      <c r="N48" s="6">
        <f>M48*1.01</f>
        <v>26839.74</v>
      </c>
      <c r="O48" s="6">
        <f t="shared" ref="O48:T48" si="11">N48*1.01</f>
        <v>27108.137400000003</v>
      </c>
      <c r="P48" s="6">
        <f t="shared" si="11"/>
        <v>27379.218774000004</v>
      </c>
      <c r="Q48" s="6">
        <f t="shared" si="11"/>
        <v>27653.010961740005</v>
      </c>
      <c r="R48" s="6">
        <f t="shared" si="11"/>
        <v>27929.541071357406</v>
      </c>
      <c r="S48" s="6">
        <f t="shared" si="11"/>
        <v>28208.836482070979</v>
      </c>
      <c r="T48" s="6">
        <f t="shared" si="11"/>
        <v>28490.924846891689</v>
      </c>
      <c r="U48" s="6">
        <f t="shared" ref="U48:Y48" si="12">T48*1.01</f>
        <v>28775.834095360606</v>
      </c>
      <c r="V48" s="6">
        <f t="shared" si="12"/>
        <v>29063.592436314211</v>
      </c>
      <c r="W48" s="6">
        <f t="shared" si="12"/>
        <v>29354.228360677353</v>
      </c>
      <c r="X48" s="6">
        <f t="shared" si="12"/>
        <v>29647.770644284126</v>
      </c>
      <c r="Y48" s="6">
        <f t="shared" si="12"/>
        <v>29944.248350726968</v>
      </c>
      <c r="Z48" s="6"/>
      <c r="AA48" s="6"/>
      <c r="AB48" s="6"/>
      <c r="AC48" s="6"/>
      <c r="AD48" s="6"/>
      <c r="AE48" s="6"/>
    </row>
    <row r="49" spans="1:25" x14ac:dyDescent="0.2">
      <c r="A49" t="s">
        <v>27</v>
      </c>
      <c r="E49">
        <f>Model!U94</f>
        <v>125807</v>
      </c>
      <c r="F49">
        <f>Model!V94</f>
        <v>134093</v>
      </c>
      <c r="G49">
        <f>Model!W94</f>
        <v>149627</v>
      </c>
      <c r="H49">
        <f>Model!X94</f>
        <v>156121</v>
      </c>
      <c r="I49">
        <f>Model!Y94</f>
        <v>169938</v>
      </c>
      <c r="J49">
        <f>Model!Z94</f>
        <v>187743</v>
      </c>
      <c r="K49">
        <f>Model!AA94</f>
        <v>195370</v>
      </c>
      <c r="L49">
        <f>Model!AB94</f>
        <v>202362</v>
      </c>
      <c r="M49" s="6">
        <f>M43+M44</f>
        <v>202247.4375</v>
      </c>
      <c r="N49" s="6">
        <f>N43+N44</f>
        <v>203887.67749999999</v>
      </c>
      <c r="O49" s="6">
        <f t="shared" ref="O49:Y49" si="13">O43+O44</f>
        <v>204305.21823333332</v>
      </c>
      <c r="P49" s="6">
        <f t="shared" si="13"/>
        <v>203487.83270733326</v>
      </c>
      <c r="Q49" s="6">
        <f t="shared" si="13"/>
        <v>201423.17165940662</v>
      </c>
      <c r="R49" s="6">
        <f t="shared" si="13"/>
        <v>205912.24993344158</v>
      </c>
      <c r="S49" s="6">
        <f t="shared" si="13"/>
        <v>209516.8927402168</v>
      </c>
      <c r="T49" s="6">
        <f t="shared" si="13"/>
        <v>212228.25572505977</v>
      </c>
      <c r="U49" s="6">
        <f t="shared" si="13"/>
        <v>214037.40608975122</v>
      </c>
      <c r="V49" s="6">
        <f t="shared" si="13"/>
        <v>214935.32170808956</v>
      </c>
      <c r="W49" s="6">
        <f t="shared" si="13"/>
        <v>214912.89023261133</v>
      </c>
      <c r="X49" s="6">
        <f t="shared" si="13"/>
        <v>213960.90819237824</v>
      </c>
      <c r="Y49" s="6">
        <f t="shared" si="13"/>
        <v>212070.08008174296</v>
      </c>
    </row>
    <row r="56" spans="1:25" x14ac:dyDescent="0.2">
      <c r="A56" t="s">
        <v>114</v>
      </c>
    </row>
    <row r="57" spans="1:25" x14ac:dyDescent="0.2">
      <c r="A57" t="s">
        <v>115</v>
      </c>
    </row>
    <row r="58" spans="1:25" x14ac:dyDescent="0.2">
      <c r="A58" s="2" t="s">
        <v>120</v>
      </c>
      <c r="B58" s="2"/>
      <c r="C58" s="2"/>
      <c r="D58" s="2"/>
      <c r="E58" s="2"/>
    </row>
    <row r="59" spans="1:25" x14ac:dyDescent="0.2">
      <c r="A59" t="s">
        <v>18</v>
      </c>
    </row>
    <row r="60" spans="1:25" x14ac:dyDescent="0.2">
      <c r="A60" t="s">
        <v>121</v>
      </c>
    </row>
    <row r="61" spans="1:25" x14ac:dyDescent="0.2">
      <c r="A61" t="s">
        <v>116</v>
      </c>
    </row>
    <row r="62" spans="1:25" x14ac:dyDescent="0.2">
      <c r="A62" t="s">
        <v>117</v>
      </c>
    </row>
    <row r="63" spans="1:25" x14ac:dyDescent="0.2">
      <c r="A63" t="s">
        <v>118</v>
      </c>
    </row>
    <row r="64" spans="1:25" x14ac:dyDescent="0.2">
      <c r="A64" s="2" t="s">
        <v>119</v>
      </c>
      <c r="B64" s="2"/>
      <c r="C64" s="2"/>
      <c r="D64" s="2"/>
      <c r="E64" s="2"/>
    </row>
    <row r="65" spans="1:10" x14ac:dyDescent="0.2">
      <c r="A65" s="2" t="s">
        <v>26</v>
      </c>
      <c r="B65" s="2"/>
      <c r="C65" s="2"/>
      <c r="D65" s="2"/>
      <c r="E65" s="2"/>
    </row>
    <row r="66" spans="1:10" x14ac:dyDescent="0.2">
      <c r="A66" t="s">
        <v>116</v>
      </c>
    </row>
    <row r="67" spans="1:10" x14ac:dyDescent="0.2">
      <c r="A67" t="s">
        <v>117</v>
      </c>
    </row>
    <row r="68" spans="1:10" x14ac:dyDescent="0.2">
      <c r="A68" s="2" t="s">
        <v>122</v>
      </c>
      <c r="B68" s="2"/>
      <c r="C68" s="2"/>
      <c r="D68" s="2"/>
      <c r="E68" s="2"/>
    </row>
    <row r="71" spans="1:10" x14ac:dyDescent="0.2">
      <c r="A71" t="s">
        <v>127</v>
      </c>
    </row>
    <row r="72" spans="1:10" x14ac:dyDescent="0.2">
      <c r="A72" t="s">
        <v>123</v>
      </c>
      <c r="J72">
        <v>289763</v>
      </c>
    </row>
    <row r="73" spans="1:10" x14ac:dyDescent="0.2">
      <c r="A73" t="s">
        <v>124</v>
      </c>
      <c r="J73">
        <v>367376</v>
      </c>
    </row>
    <row r="74" spans="1:10" x14ac:dyDescent="0.2">
      <c r="A74" t="s">
        <v>125</v>
      </c>
      <c r="J74">
        <v>-15855</v>
      </c>
    </row>
    <row r="75" spans="1:10" x14ac:dyDescent="0.2">
      <c r="A75" t="s">
        <v>126</v>
      </c>
      <c r="J75">
        <f>J72+J73+J74</f>
        <v>641284</v>
      </c>
    </row>
    <row r="77" spans="1:10" x14ac:dyDescent="0.2">
      <c r="A77" s="2" t="s">
        <v>128</v>
      </c>
      <c r="B77" s="2"/>
      <c r="C77" s="2"/>
      <c r="D77" s="2"/>
      <c r="E77" s="2"/>
    </row>
    <row r="78" spans="1:10" x14ac:dyDescent="0.2">
      <c r="A78" t="s">
        <v>134</v>
      </c>
    </row>
    <row r="79" spans="1:10" x14ac:dyDescent="0.2">
      <c r="A79" t="s">
        <v>129</v>
      </c>
      <c r="I79">
        <v>76</v>
      </c>
      <c r="J79">
        <v>80</v>
      </c>
    </row>
    <row r="80" spans="1:10" x14ac:dyDescent="0.2">
      <c r="A80" t="s">
        <v>130</v>
      </c>
      <c r="I80">
        <v>60</v>
      </c>
      <c r="J80">
        <v>60</v>
      </c>
    </row>
    <row r="81" spans="1:10" x14ac:dyDescent="0.2">
      <c r="A81" t="s">
        <v>131</v>
      </c>
      <c r="I81">
        <v>47</v>
      </c>
      <c r="J81">
        <v>35</v>
      </c>
    </row>
    <row r="82" spans="1:10" x14ac:dyDescent="0.2">
      <c r="A82" t="s">
        <v>132</v>
      </c>
      <c r="I82">
        <v>44</v>
      </c>
      <c r="J82">
        <v>52</v>
      </c>
    </row>
    <row r="83" spans="1:10" x14ac:dyDescent="0.2">
      <c r="A83" t="s">
        <v>133</v>
      </c>
    </row>
    <row r="84" spans="1:10" x14ac:dyDescent="0.2">
      <c r="A84" t="s">
        <v>135</v>
      </c>
      <c r="I84">
        <v>65</v>
      </c>
      <c r="J84">
        <v>67</v>
      </c>
    </row>
    <row r="86" spans="1:10" x14ac:dyDescent="0.2">
      <c r="A86" s="2" t="s">
        <v>136</v>
      </c>
      <c r="B86" s="2"/>
      <c r="C86" s="2"/>
      <c r="D86" s="2"/>
      <c r="E86" s="2"/>
    </row>
    <row r="87" spans="1:10" x14ac:dyDescent="0.2">
      <c r="A87" t="s">
        <v>129</v>
      </c>
      <c r="I87">
        <v>57521</v>
      </c>
      <c r="J87">
        <v>106703</v>
      </c>
    </row>
    <row r="88" spans="1:10" x14ac:dyDescent="0.2">
      <c r="A88" t="s">
        <v>130</v>
      </c>
      <c r="I88">
        <v>12230</v>
      </c>
      <c r="J88">
        <v>12230</v>
      </c>
    </row>
    <row r="89" spans="1:10" x14ac:dyDescent="0.2">
      <c r="A89" t="s">
        <v>131</v>
      </c>
      <c r="I89">
        <v>16190</v>
      </c>
      <c r="J89">
        <v>34190</v>
      </c>
    </row>
    <row r="90" spans="1:10" x14ac:dyDescent="0.2">
      <c r="A90" t="s">
        <v>132</v>
      </c>
      <c r="I90">
        <v>11613</v>
      </c>
      <c r="J90">
        <v>16213</v>
      </c>
    </row>
    <row r="91" spans="1:10" x14ac:dyDescent="0.2">
      <c r="A91" t="s">
        <v>133</v>
      </c>
      <c r="I91">
        <v>3600</v>
      </c>
      <c r="J91">
        <v>3600</v>
      </c>
    </row>
    <row r="92" spans="1:10" x14ac:dyDescent="0.2">
      <c r="A92" t="s">
        <v>135</v>
      </c>
      <c r="I92">
        <f>SUM(I87:I91)</f>
        <v>101154</v>
      </c>
      <c r="J92">
        <f>SUM(J87:J91)</f>
        <v>172936</v>
      </c>
    </row>
    <row r="94" spans="1:10" x14ac:dyDescent="0.2">
      <c r="A94" s="2" t="s">
        <v>137</v>
      </c>
      <c r="B94" s="2"/>
      <c r="C94" s="2"/>
      <c r="D94" s="2"/>
      <c r="E94" s="2"/>
    </row>
    <row r="95" spans="1:10" x14ac:dyDescent="0.2">
      <c r="A95" t="s">
        <v>129</v>
      </c>
      <c r="I95">
        <v>-31790</v>
      </c>
      <c r="J95">
        <v>-34921</v>
      </c>
    </row>
    <row r="96" spans="1:10" x14ac:dyDescent="0.2">
      <c r="A96" t="s">
        <v>130</v>
      </c>
      <c r="I96">
        <v>-6836</v>
      </c>
      <c r="J96">
        <v>-7447</v>
      </c>
    </row>
    <row r="97" spans="1:10" x14ac:dyDescent="0.2">
      <c r="A97" t="s">
        <v>131</v>
      </c>
      <c r="I97">
        <v>-12432</v>
      </c>
      <c r="J97">
        <v>-14756</v>
      </c>
    </row>
    <row r="98" spans="1:10" x14ac:dyDescent="0.2">
      <c r="A98" t="s">
        <v>132</v>
      </c>
      <c r="I98">
        <v>-9530</v>
      </c>
      <c r="J98">
        <v>-9993</v>
      </c>
    </row>
    <row r="99" spans="1:10" x14ac:dyDescent="0.2">
      <c r="A99" t="s">
        <v>133</v>
      </c>
    </row>
    <row r="100" spans="1:10" x14ac:dyDescent="0.2">
      <c r="A100" t="s">
        <v>135</v>
      </c>
      <c r="I100">
        <f>SUM(I95:I99)</f>
        <v>-60588</v>
      </c>
      <c r="J100">
        <f>SUM(J95:J99)</f>
        <v>-67117</v>
      </c>
    </row>
    <row r="102" spans="1:10" x14ac:dyDescent="0.2">
      <c r="A102" s="2" t="s">
        <v>138</v>
      </c>
      <c r="B102" s="2"/>
      <c r="C102" s="2"/>
      <c r="D102" s="2"/>
      <c r="E102" s="2"/>
    </row>
    <row r="103" spans="1:10" x14ac:dyDescent="0.2">
      <c r="A103" t="s">
        <v>129</v>
      </c>
      <c r="J103">
        <v>-2165</v>
      </c>
    </row>
    <row r="104" spans="1:10" x14ac:dyDescent="0.2">
      <c r="A104" t="s">
        <v>130</v>
      </c>
    </row>
    <row r="105" spans="1:10" x14ac:dyDescent="0.2">
      <c r="A105" t="s">
        <v>131</v>
      </c>
      <c r="J105">
        <v>-772</v>
      </c>
    </row>
    <row r="106" spans="1:10" x14ac:dyDescent="0.2">
      <c r="A106" t="s">
        <v>132</v>
      </c>
      <c r="J106">
        <v>-197</v>
      </c>
    </row>
    <row r="107" spans="1:10" x14ac:dyDescent="0.2">
      <c r="A107" t="s">
        <v>133</v>
      </c>
    </row>
    <row r="108" spans="1:10" x14ac:dyDescent="0.2">
      <c r="A108" t="s">
        <v>135</v>
      </c>
      <c r="J108">
        <f>SUM(J103:J107)</f>
        <v>-3134</v>
      </c>
    </row>
    <row r="110" spans="1:10" x14ac:dyDescent="0.2">
      <c r="A110" s="2" t="s">
        <v>139</v>
      </c>
      <c r="B110" s="2"/>
      <c r="C110" s="2"/>
      <c r="D110" s="2"/>
      <c r="E110" s="2"/>
    </row>
    <row r="111" spans="1:10" x14ac:dyDescent="0.2">
      <c r="A111" t="s">
        <v>129</v>
      </c>
      <c r="I111">
        <f>I87+I95+I103</f>
        <v>25731</v>
      </c>
      <c r="J111">
        <f>J87+J95+J103</f>
        <v>69617</v>
      </c>
    </row>
    <row r="112" spans="1:10" x14ac:dyDescent="0.2">
      <c r="A112" t="s">
        <v>130</v>
      </c>
      <c r="I112">
        <f t="shared" ref="I112:J115" si="14">I88+I96+I104</f>
        <v>5394</v>
      </c>
      <c r="J112">
        <f t="shared" si="14"/>
        <v>4783</v>
      </c>
    </row>
    <row r="113" spans="1:35" x14ac:dyDescent="0.2">
      <c r="A113" t="s">
        <v>131</v>
      </c>
      <c r="I113">
        <f>I89+I97+I105</f>
        <v>3758</v>
      </c>
      <c r="J113">
        <f t="shared" si="14"/>
        <v>18662</v>
      </c>
    </row>
    <row r="114" spans="1:35" x14ac:dyDescent="0.2">
      <c r="A114" t="s">
        <v>132</v>
      </c>
      <c r="I114">
        <f t="shared" si="14"/>
        <v>2083</v>
      </c>
      <c r="J114">
        <f t="shared" si="14"/>
        <v>6023</v>
      </c>
    </row>
    <row r="115" spans="1:35" x14ac:dyDescent="0.2">
      <c r="A115" t="s">
        <v>133</v>
      </c>
      <c r="I115">
        <f t="shared" si="14"/>
        <v>3600</v>
      </c>
      <c r="J115">
        <f t="shared" si="14"/>
        <v>3600</v>
      </c>
    </row>
    <row r="116" spans="1:35" x14ac:dyDescent="0.2">
      <c r="A116" s="2" t="s">
        <v>135</v>
      </c>
      <c r="B116" s="2"/>
      <c r="C116" s="2"/>
      <c r="D116" s="2"/>
      <c r="E116" s="2"/>
      <c r="I116">
        <f>SUM(I111:I115)</f>
        <v>40566</v>
      </c>
      <c r="J116">
        <f>SUM(J111:J115)</f>
        <v>102685</v>
      </c>
    </row>
    <row r="118" spans="1:35" x14ac:dyDescent="0.2">
      <c r="A118" t="s">
        <v>140</v>
      </c>
      <c r="S118">
        <v>20402</v>
      </c>
      <c r="Y118">
        <v>25203</v>
      </c>
      <c r="AF118">
        <v>13858</v>
      </c>
      <c r="AG118">
        <v>11744</v>
      </c>
      <c r="AH118">
        <v>11396</v>
      </c>
      <c r="AI118">
        <v>16482</v>
      </c>
    </row>
    <row r="120" spans="1:35" x14ac:dyDescent="0.2">
      <c r="A120" t="s">
        <v>172</v>
      </c>
    </row>
    <row r="121" spans="1:35" x14ac:dyDescent="0.2">
      <c r="A121" t="s">
        <v>173</v>
      </c>
      <c r="I121" s="9">
        <v>0.21</v>
      </c>
    </row>
    <row r="122" spans="1:35" x14ac:dyDescent="0.2">
      <c r="A122" t="s">
        <v>174</v>
      </c>
      <c r="I122">
        <v>-232</v>
      </c>
    </row>
    <row r="124" spans="1:35" x14ac:dyDescent="0.2">
      <c r="A124" t="s">
        <v>168</v>
      </c>
    </row>
    <row r="125" spans="1:35" x14ac:dyDescent="0.2">
      <c r="A125" t="s">
        <v>175</v>
      </c>
      <c r="E125">
        <v>6365</v>
      </c>
      <c r="I125">
        <v>6402</v>
      </c>
    </row>
    <row r="126" spans="1:35" x14ac:dyDescent="0.2">
      <c r="A126" t="s">
        <v>58</v>
      </c>
      <c r="E126">
        <v>6473</v>
      </c>
      <c r="I126">
        <v>8979</v>
      </c>
    </row>
    <row r="127" spans="1:35" x14ac:dyDescent="0.2">
      <c r="A127" t="s">
        <v>176</v>
      </c>
      <c r="E127">
        <v>2402</v>
      </c>
    </row>
    <row r="128" spans="1:35" x14ac:dyDescent="0.2">
      <c r="A128" t="s">
        <v>177</v>
      </c>
      <c r="E128">
        <v>190904</v>
      </c>
      <c r="I128">
        <v>188329</v>
      </c>
    </row>
    <row r="129" spans="1:9" x14ac:dyDescent="0.2">
      <c r="A129" t="s">
        <v>178</v>
      </c>
      <c r="I129">
        <v>1849</v>
      </c>
    </row>
    <row r="130" spans="1:9" x14ac:dyDescent="0.2">
      <c r="A130" t="s">
        <v>145</v>
      </c>
      <c r="I130">
        <v>32254</v>
      </c>
    </row>
    <row r="131" spans="1:9" x14ac:dyDescent="0.2">
      <c r="A131" t="s">
        <v>179</v>
      </c>
      <c r="E131">
        <v>5734</v>
      </c>
      <c r="I131">
        <v>7221</v>
      </c>
    </row>
    <row r="132" spans="1:9" x14ac:dyDescent="0.2">
      <c r="A132" t="s">
        <v>180</v>
      </c>
      <c r="E132">
        <f>E125+E126+E127+E128+E129+E130+E131</f>
        <v>211878</v>
      </c>
      <c r="I132">
        <f>I125+I126+I127+I128+I129+I130+I131</f>
        <v>245034</v>
      </c>
    </row>
    <row r="133" spans="1:9" x14ac:dyDescent="0.2">
      <c r="A133" t="s">
        <v>181</v>
      </c>
      <c r="E133">
        <v>-151825</v>
      </c>
      <c r="I133">
        <v>-238317</v>
      </c>
    </row>
    <row r="134" spans="1:9" x14ac:dyDescent="0.2">
      <c r="A134" t="s">
        <v>182</v>
      </c>
      <c r="E134">
        <f>E132+E133</f>
        <v>60053</v>
      </c>
      <c r="I134">
        <f>I132+I133</f>
        <v>6717</v>
      </c>
    </row>
    <row r="136" spans="1:9" x14ac:dyDescent="0.2">
      <c r="A136" t="s">
        <v>183</v>
      </c>
    </row>
    <row r="137" spans="1:9" x14ac:dyDescent="0.2">
      <c r="A137" t="s">
        <v>178</v>
      </c>
      <c r="E137">
        <v>-4066</v>
      </c>
    </row>
    <row r="138" spans="1:9" x14ac:dyDescent="0.2">
      <c r="A138" t="s">
        <v>145</v>
      </c>
      <c r="E138">
        <v>-51607</v>
      </c>
    </row>
    <row r="139" spans="1:9" x14ac:dyDescent="0.2">
      <c r="A139" t="s">
        <v>184</v>
      </c>
      <c r="E139">
        <v>-5890</v>
      </c>
      <c r="I139">
        <v>-7878</v>
      </c>
    </row>
    <row r="140" spans="1:9" x14ac:dyDescent="0.2">
      <c r="A140" t="s">
        <v>185</v>
      </c>
      <c r="E140">
        <f>E139+E138+E137</f>
        <v>-61563</v>
      </c>
      <c r="I140">
        <f>I139+I138+I137</f>
        <v>-7878</v>
      </c>
    </row>
    <row r="142" spans="1:9" x14ac:dyDescent="0.2">
      <c r="A142" t="s">
        <v>186</v>
      </c>
      <c r="E142">
        <f>E140+E134</f>
        <v>-1510</v>
      </c>
      <c r="I142">
        <f>I140+I134</f>
        <v>-1161</v>
      </c>
    </row>
    <row r="146" spans="1:23" x14ac:dyDescent="0.2">
      <c r="A146" t="s">
        <v>238</v>
      </c>
      <c r="F146">
        <f>E147</f>
        <v>1145420</v>
      </c>
      <c r="G146">
        <f t="shared" ref="G146:L146" si="15">F147</f>
        <v>1872112</v>
      </c>
      <c r="H146">
        <f t="shared" si="15"/>
        <v>2061722</v>
      </c>
      <c r="I146">
        <f t="shared" si="15"/>
        <v>1752182</v>
      </c>
      <c r="J146">
        <f t="shared" si="15"/>
        <v>1545859</v>
      </c>
      <c r="K146">
        <f t="shared" si="15"/>
        <v>1183162</v>
      </c>
      <c r="L146">
        <f t="shared" si="15"/>
        <v>1383377</v>
      </c>
    </row>
    <row r="147" spans="1:23" x14ac:dyDescent="0.2">
      <c r="A147" t="s">
        <v>239</v>
      </c>
      <c r="E147">
        <f>Model!U83+Model!U84</f>
        <v>1145420</v>
      </c>
      <c r="F147">
        <f>Model!V83+Model!V84</f>
        <v>1872112</v>
      </c>
      <c r="G147">
        <f>Model!W83+Model!W84</f>
        <v>2061722</v>
      </c>
      <c r="H147">
        <f>Model!X83+Model!X84</f>
        <v>1752182</v>
      </c>
      <c r="I147">
        <f>Model!Y83+Model!Y84</f>
        <v>1545859</v>
      </c>
      <c r="J147">
        <f>Model!Z83+Model!Z84</f>
        <v>1183162</v>
      </c>
      <c r="K147">
        <f>Model!AA83+Model!AA84</f>
        <v>1383377</v>
      </c>
      <c r="L147">
        <f>Model!AB83+Model!AB84</f>
        <v>940757</v>
      </c>
    </row>
    <row r="148" spans="1:23" x14ac:dyDescent="0.2">
      <c r="A148" t="s">
        <v>240</v>
      </c>
      <c r="E148">
        <f>E147-90000</f>
        <v>1055420</v>
      </c>
      <c r="F148">
        <f t="shared" ref="F148:L148" si="16">F147-90000</f>
        <v>1782112</v>
      </c>
      <c r="G148">
        <f t="shared" si="16"/>
        <v>1971722</v>
      </c>
      <c r="H148">
        <f t="shared" si="16"/>
        <v>1662182</v>
      </c>
      <c r="I148">
        <f t="shared" si="16"/>
        <v>1455859</v>
      </c>
      <c r="J148">
        <f t="shared" si="16"/>
        <v>1093162</v>
      </c>
      <c r="K148">
        <f t="shared" si="16"/>
        <v>1293377</v>
      </c>
      <c r="L148">
        <f t="shared" si="16"/>
        <v>850757</v>
      </c>
    </row>
    <row r="150" spans="1:23" x14ac:dyDescent="0.2">
      <c r="A150" t="s">
        <v>241</v>
      </c>
    </row>
    <row r="152" spans="1:23" x14ac:dyDescent="0.2">
      <c r="A152" t="s">
        <v>242</v>
      </c>
    </row>
    <row r="153" spans="1:23" x14ac:dyDescent="0.2">
      <c r="A153" t="s">
        <v>123</v>
      </c>
      <c r="F153">
        <f>Model!U111</f>
        <v>1506922</v>
      </c>
      <c r="G153">
        <f>Model!V111</f>
        <v>1673946</v>
      </c>
      <c r="H153">
        <f>Model!W111</f>
        <v>1675340</v>
      </c>
      <c r="I153">
        <f>Model!X111</f>
        <v>1676749</v>
      </c>
      <c r="J153">
        <f>Model!Y111</f>
        <v>1678155</v>
      </c>
      <c r="K153">
        <f>Model!Z111</f>
        <v>1679534</v>
      </c>
      <c r="L153">
        <f>Model!AA111</f>
        <v>1680931</v>
      </c>
      <c r="M153">
        <f t="shared" ref="M153:W153" si="17">L155</f>
        <v>1187513</v>
      </c>
      <c r="N153">
        <f t="shared" si="17"/>
        <v>1187513</v>
      </c>
      <c r="O153">
        <f t="shared" si="17"/>
        <v>1187513</v>
      </c>
      <c r="P153">
        <f t="shared" si="17"/>
        <v>1187513</v>
      </c>
      <c r="Q153">
        <f t="shared" si="17"/>
        <v>1187513</v>
      </c>
      <c r="R153">
        <f t="shared" si="17"/>
        <v>1187513</v>
      </c>
      <c r="S153">
        <f t="shared" si="17"/>
        <v>1187513</v>
      </c>
      <c r="T153">
        <f t="shared" si="17"/>
        <v>1187513</v>
      </c>
      <c r="U153">
        <f t="shared" si="17"/>
        <v>1187513</v>
      </c>
      <c r="V153">
        <f t="shared" si="17"/>
        <v>1187513</v>
      </c>
      <c r="W153">
        <f t="shared" si="17"/>
        <v>1187513</v>
      </c>
    </row>
    <row r="154" spans="1:23" x14ac:dyDescent="0.2">
      <c r="A154" t="s">
        <v>244</v>
      </c>
      <c r="F154">
        <f>F155-F153</f>
        <v>167024</v>
      </c>
      <c r="G154">
        <f t="shared" ref="G154:L154" si="18">G155-G153</f>
        <v>1394</v>
      </c>
      <c r="H154">
        <f t="shared" si="18"/>
        <v>1409</v>
      </c>
      <c r="I154">
        <f t="shared" si="18"/>
        <v>1406</v>
      </c>
      <c r="J154">
        <f t="shared" si="18"/>
        <v>1379</v>
      </c>
      <c r="K154">
        <f t="shared" si="18"/>
        <v>1397</v>
      </c>
      <c r="L154">
        <f t="shared" si="18"/>
        <v>-493418</v>
      </c>
    </row>
    <row r="155" spans="1:23" x14ac:dyDescent="0.2">
      <c r="A155" t="s">
        <v>126</v>
      </c>
      <c r="F155">
        <f>Model!V111</f>
        <v>1673946</v>
      </c>
      <c r="G155">
        <f>Model!W111</f>
        <v>1675340</v>
      </c>
      <c r="H155">
        <f>Model!X111</f>
        <v>1676749</v>
      </c>
      <c r="I155">
        <f>Model!Y111</f>
        <v>1678155</v>
      </c>
      <c r="J155">
        <f>Model!Z111</f>
        <v>1679534</v>
      </c>
      <c r="K155">
        <f>Model!AA111</f>
        <v>1680931</v>
      </c>
      <c r="L155">
        <f>Model!AB111</f>
        <v>1187513</v>
      </c>
      <c r="M155">
        <f>M153+M154</f>
        <v>1187513</v>
      </c>
      <c r="N155">
        <f t="shared" ref="N155:W155" si="19">N153+N154</f>
        <v>1187513</v>
      </c>
      <c r="O155">
        <f t="shared" si="19"/>
        <v>1187513</v>
      </c>
      <c r="P155">
        <f t="shared" si="19"/>
        <v>1187513</v>
      </c>
      <c r="Q155">
        <f t="shared" si="19"/>
        <v>1187513</v>
      </c>
      <c r="R155">
        <f t="shared" si="19"/>
        <v>1187513</v>
      </c>
      <c r="S155">
        <f t="shared" si="19"/>
        <v>1187513</v>
      </c>
      <c r="T155">
        <f t="shared" si="19"/>
        <v>1187513</v>
      </c>
      <c r="U155">
        <f t="shared" si="19"/>
        <v>1187513</v>
      </c>
      <c r="V155">
        <f t="shared" si="19"/>
        <v>1187513</v>
      </c>
      <c r="W155">
        <f t="shared" si="19"/>
        <v>1187513</v>
      </c>
    </row>
    <row r="156" spans="1:23" x14ac:dyDescent="0.2">
      <c r="A156" t="s">
        <v>276</v>
      </c>
      <c r="F156">
        <f>(F153+F155)/2</f>
        <v>1590434</v>
      </c>
      <c r="G156">
        <f t="shared" ref="G156:L156" si="20">(G153+G155)/2</f>
        <v>1674643</v>
      </c>
      <c r="H156">
        <f t="shared" si="20"/>
        <v>1676044.5</v>
      </c>
      <c r="I156">
        <f t="shared" si="20"/>
        <v>1677452</v>
      </c>
      <c r="J156">
        <f t="shared" si="20"/>
        <v>1678844.5</v>
      </c>
      <c r="K156">
        <f t="shared" si="20"/>
        <v>1680232.5</v>
      </c>
      <c r="L156">
        <f t="shared" si="20"/>
        <v>1434222</v>
      </c>
      <c r="M156">
        <f t="shared" ref="M156" si="21">(M153+M155)/2</f>
        <v>1187513</v>
      </c>
      <c r="N156">
        <f t="shared" ref="N156" si="22">(N153+N155)/2</f>
        <v>1187513</v>
      </c>
      <c r="O156">
        <f t="shared" ref="O156" si="23">(O153+O155)/2</f>
        <v>1187513</v>
      </c>
      <c r="P156">
        <f t="shared" ref="P156" si="24">(P153+P155)/2</f>
        <v>1187513</v>
      </c>
      <c r="Q156">
        <f t="shared" ref="Q156" si="25">(Q153+Q155)/2</f>
        <v>1187513</v>
      </c>
      <c r="R156">
        <f t="shared" ref="R156" si="26">(R153+R155)/2</f>
        <v>1187513</v>
      </c>
      <c r="S156">
        <f t="shared" ref="S156" si="27">(S153+S155)/2</f>
        <v>1187513</v>
      </c>
      <c r="T156">
        <f t="shared" ref="T156" si="28">(T153+T155)/2</f>
        <v>1187513</v>
      </c>
      <c r="U156">
        <f t="shared" ref="U156" si="29">(U153+U155)/2</f>
        <v>1187513</v>
      </c>
      <c r="V156">
        <f t="shared" ref="V156" si="30">(V153+V155)/2</f>
        <v>1187513</v>
      </c>
      <c r="W156">
        <f t="shared" ref="W156" si="31">(W153+W155)/2</f>
        <v>1187513</v>
      </c>
    </row>
    <row r="157" spans="1:23" x14ac:dyDescent="0.2">
      <c r="A157" t="s">
        <v>277</v>
      </c>
    </row>
    <row r="158" spans="1:23" x14ac:dyDescent="0.2">
      <c r="A158" t="s">
        <v>278</v>
      </c>
    </row>
    <row r="159" spans="1:23" x14ac:dyDescent="0.2">
      <c r="A159" t="s">
        <v>279</v>
      </c>
    </row>
    <row r="160" spans="1:23" x14ac:dyDescent="0.2">
      <c r="A160" t="s">
        <v>280</v>
      </c>
    </row>
    <row r="161" spans="1:25" x14ac:dyDescent="0.2">
      <c r="A161" t="s">
        <v>247</v>
      </c>
    </row>
    <row r="163" spans="1:25" x14ac:dyDescent="0.2">
      <c r="A163" t="s">
        <v>248</v>
      </c>
      <c r="F163">
        <f>Model!V54</f>
        <v>-1929</v>
      </c>
      <c r="G163">
        <f>Model!W54</f>
        <v>-1701</v>
      </c>
      <c r="H163">
        <f>Model!X54</f>
        <v>-1633</v>
      </c>
      <c r="I163">
        <f>Model!Y54</f>
        <v>-1633</v>
      </c>
      <c r="J163">
        <f>Model!Z54</f>
        <v>-1597</v>
      </c>
      <c r="K163">
        <f>Model!AA54</f>
        <v>-1616</v>
      </c>
      <c r="L163">
        <f>Model!AB54</f>
        <v>-1525</v>
      </c>
      <c r="M163" s="6">
        <f>M164*M156</f>
        <v>-1262.6757398784846</v>
      </c>
      <c r="N163" s="6">
        <f t="shared" ref="N163:W163" si="32">N164*N156</f>
        <v>-1262.6757398784846</v>
      </c>
      <c r="O163" s="6">
        <f t="shared" si="32"/>
        <v>-1262.6757398784846</v>
      </c>
      <c r="P163" s="6">
        <f t="shared" si="32"/>
        <v>-1262.6757398784846</v>
      </c>
      <c r="Q163" s="6">
        <f t="shared" si="32"/>
        <v>-1262.6757398784846</v>
      </c>
      <c r="R163" s="6">
        <f t="shared" si="32"/>
        <v>-1262.6757398784846</v>
      </c>
      <c r="S163" s="6">
        <f t="shared" si="32"/>
        <v>-1262.6757398784846</v>
      </c>
      <c r="T163" s="6">
        <f t="shared" si="32"/>
        <v>-1262.6757398784846</v>
      </c>
      <c r="U163" s="6">
        <f t="shared" si="32"/>
        <v>-1262.6757398784846</v>
      </c>
      <c r="V163" s="6">
        <f t="shared" si="32"/>
        <v>-1262.6757398784846</v>
      </c>
      <c r="W163" s="6">
        <f t="shared" si="32"/>
        <v>-1262.6757398784846</v>
      </c>
    </row>
    <row r="164" spans="1:25" x14ac:dyDescent="0.2">
      <c r="F164" s="31">
        <f>F163/F156</f>
        <v>-1.212876485286406E-3</v>
      </c>
      <c r="G164" s="31">
        <f t="shared" ref="G164:L164" si="33">G163/G156</f>
        <v>-1.0157388768830132E-3</v>
      </c>
      <c r="H164" s="31">
        <f t="shared" si="33"/>
        <v>-9.7431780600097434E-4</v>
      </c>
      <c r="I164" s="31">
        <f t="shared" si="33"/>
        <v>-9.735002849559928E-4</v>
      </c>
      <c r="J164" s="31">
        <f t="shared" si="33"/>
        <v>-9.5124950524006239E-4</v>
      </c>
      <c r="K164" s="31">
        <f t="shared" si="33"/>
        <v>-9.6177165957687407E-4</v>
      </c>
      <c r="L164" s="31">
        <f t="shared" si="33"/>
        <v>-1.0632942459396105E-3</v>
      </c>
      <c r="M164" s="32">
        <f>L164</f>
        <v>-1.0632942459396105E-3</v>
      </c>
      <c r="N164" s="32">
        <f t="shared" ref="N164:W164" si="34">M164</f>
        <v>-1.0632942459396105E-3</v>
      </c>
      <c r="O164" s="32">
        <f t="shared" si="34"/>
        <v>-1.0632942459396105E-3</v>
      </c>
      <c r="P164" s="32">
        <f t="shared" si="34"/>
        <v>-1.0632942459396105E-3</v>
      </c>
      <c r="Q164" s="32">
        <f t="shared" si="34"/>
        <v>-1.0632942459396105E-3</v>
      </c>
      <c r="R164" s="32">
        <f t="shared" si="34"/>
        <v>-1.0632942459396105E-3</v>
      </c>
      <c r="S164" s="32">
        <f t="shared" si="34"/>
        <v>-1.0632942459396105E-3</v>
      </c>
      <c r="T164" s="32">
        <f t="shared" si="34"/>
        <v>-1.0632942459396105E-3</v>
      </c>
      <c r="U164" s="32">
        <f t="shared" si="34"/>
        <v>-1.0632942459396105E-3</v>
      </c>
      <c r="V164" s="32">
        <f t="shared" si="34"/>
        <v>-1.0632942459396105E-3</v>
      </c>
      <c r="W164" s="32">
        <f t="shared" si="34"/>
        <v>-1.0632942459396105E-3</v>
      </c>
    </row>
    <row r="167" spans="1:25" x14ac:dyDescent="0.2">
      <c r="A167" t="s">
        <v>249</v>
      </c>
      <c r="E167">
        <f>Model!U83+Model!U84</f>
        <v>1145420</v>
      </c>
      <c r="F167">
        <f>Model!V83+Model!V84</f>
        <v>1872112</v>
      </c>
      <c r="G167">
        <f>Model!W83+Model!W84</f>
        <v>2061722</v>
      </c>
      <c r="H167">
        <f>Model!X83+Model!X84</f>
        <v>1752182</v>
      </c>
      <c r="I167">
        <f>Model!Y83+Model!Y84</f>
        <v>1545859</v>
      </c>
      <c r="J167">
        <f>Model!Z83+Model!Z84</f>
        <v>1183162</v>
      </c>
      <c r="K167">
        <f>Model!AA83+Model!AA84</f>
        <v>1383377</v>
      </c>
      <c r="L167">
        <f>Model!AB83+Model!AB84</f>
        <v>940757</v>
      </c>
    </row>
    <row r="169" spans="1:25" x14ac:dyDescent="0.2">
      <c r="A169" t="s">
        <v>243</v>
      </c>
      <c r="F169">
        <f>E167</f>
        <v>1145420</v>
      </c>
      <c r="G169">
        <f t="shared" ref="G169:L169" si="35">F167</f>
        <v>1872112</v>
      </c>
      <c r="H169">
        <f t="shared" si="35"/>
        <v>2061722</v>
      </c>
      <c r="I169">
        <f t="shared" si="35"/>
        <v>1752182</v>
      </c>
      <c r="J169">
        <f t="shared" si="35"/>
        <v>1545859</v>
      </c>
      <c r="K169">
        <f t="shared" si="35"/>
        <v>1183162</v>
      </c>
      <c r="L169">
        <f t="shared" si="35"/>
        <v>1383377</v>
      </c>
      <c r="M169">
        <f>L167</f>
        <v>940757</v>
      </c>
    </row>
    <row r="170" spans="1:25" x14ac:dyDescent="0.2">
      <c r="A170" t="s">
        <v>250</v>
      </c>
      <c r="F170">
        <f t="shared" ref="F170:L170" si="36">F167-F169</f>
        <v>726692</v>
      </c>
      <c r="G170">
        <f t="shared" si="36"/>
        <v>189610</v>
      </c>
      <c r="H170">
        <f t="shared" si="36"/>
        <v>-309540</v>
      </c>
      <c r="I170">
        <f t="shared" si="36"/>
        <v>-206323</v>
      </c>
      <c r="J170">
        <f t="shared" si="36"/>
        <v>-362697</v>
      </c>
      <c r="K170">
        <f t="shared" si="36"/>
        <v>200215</v>
      </c>
      <c r="L170">
        <f t="shared" si="36"/>
        <v>-442620</v>
      </c>
      <c r="M170">
        <f>M167-M169</f>
        <v>-940757</v>
      </c>
    </row>
    <row r="171" spans="1:25" x14ac:dyDescent="0.2">
      <c r="A171" t="s">
        <v>245</v>
      </c>
      <c r="F171">
        <f t="shared" ref="F171:L171" si="37">F167</f>
        <v>1872112</v>
      </c>
      <c r="G171">
        <f t="shared" si="37"/>
        <v>2061722</v>
      </c>
      <c r="H171">
        <f t="shared" si="37"/>
        <v>1752182</v>
      </c>
      <c r="I171">
        <f t="shared" si="37"/>
        <v>1545859</v>
      </c>
      <c r="J171">
        <f t="shared" si="37"/>
        <v>1183162</v>
      </c>
      <c r="K171">
        <f t="shared" si="37"/>
        <v>1383377</v>
      </c>
      <c r="L171">
        <f t="shared" si="37"/>
        <v>940757</v>
      </c>
      <c r="M171">
        <f>M167</f>
        <v>0</v>
      </c>
    </row>
    <row r="172" spans="1:25" x14ac:dyDescent="0.2">
      <c r="A172" t="s">
        <v>246</v>
      </c>
      <c r="F172">
        <f t="shared" ref="F172:L172" si="38">(F171+F169)/2</f>
        <v>1508766</v>
      </c>
      <c r="G172">
        <f t="shared" si="38"/>
        <v>1966917</v>
      </c>
      <c r="H172">
        <f t="shared" si="38"/>
        <v>1906952</v>
      </c>
      <c r="I172">
        <f t="shared" si="38"/>
        <v>1649020.5</v>
      </c>
      <c r="J172">
        <f t="shared" si="38"/>
        <v>1364510.5</v>
      </c>
      <c r="K172">
        <f t="shared" si="38"/>
        <v>1283269.5</v>
      </c>
      <c r="L172">
        <f t="shared" si="38"/>
        <v>1162067</v>
      </c>
      <c r="M172">
        <f t="shared" ref="M172" si="39">(M171+M169)/2</f>
        <v>470378.5</v>
      </c>
    </row>
    <row r="173" spans="1:25" x14ac:dyDescent="0.2">
      <c r="A173" t="s">
        <v>251</v>
      </c>
      <c r="F173" s="28">
        <f t="shared" ref="F173:L173" si="40">F174/F172</f>
        <v>1.3580634770401772E-3</v>
      </c>
      <c r="G173" s="28">
        <f t="shared" si="40"/>
        <v>9.4106665405810212E-4</v>
      </c>
      <c r="H173" s="28">
        <f t="shared" si="40"/>
        <v>7.7872961668673361E-4</v>
      </c>
      <c r="I173" s="28">
        <f t="shared" si="40"/>
        <v>7.9744308818477394E-4</v>
      </c>
      <c r="J173" s="28">
        <f t="shared" si="40"/>
        <v>1.0824394535622849E-3</v>
      </c>
      <c r="K173" s="28">
        <f t="shared" si="40"/>
        <v>1.5834553848587533E-3</v>
      </c>
      <c r="L173" s="28">
        <f t="shared" si="40"/>
        <v>3.2158214629621185E-3</v>
      </c>
      <c r="M173" s="28">
        <f>0.2%</f>
        <v>2E-3</v>
      </c>
      <c r="N173" s="28">
        <f t="shared" ref="N173:Y173" si="41">0.2%</f>
        <v>2E-3</v>
      </c>
      <c r="O173" s="28">
        <f t="shared" si="41"/>
        <v>2E-3</v>
      </c>
      <c r="P173" s="28">
        <f t="shared" si="41"/>
        <v>2E-3</v>
      </c>
      <c r="Q173" s="28">
        <f t="shared" si="41"/>
        <v>2E-3</v>
      </c>
      <c r="R173" s="28">
        <f t="shared" si="41"/>
        <v>2E-3</v>
      </c>
      <c r="S173" s="28">
        <f t="shared" si="41"/>
        <v>2E-3</v>
      </c>
      <c r="T173" s="28">
        <f t="shared" si="41"/>
        <v>2E-3</v>
      </c>
      <c r="U173" s="28">
        <f t="shared" si="41"/>
        <v>2E-3</v>
      </c>
      <c r="V173" s="28">
        <f t="shared" si="41"/>
        <v>2E-3</v>
      </c>
      <c r="W173" s="28">
        <f t="shared" si="41"/>
        <v>2E-3</v>
      </c>
      <c r="X173" s="28">
        <f t="shared" si="41"/>
        <v>2E-3</v>
      </c>
      <c r="Y173" s="28">
        <f t="shared" si="41"/>
        <v>2E-3</v>
      </c>
    </row>
    <row r="174" spans="1:25" x14ac:dyDescent="0.2">
      <c r="A174" t="s">
        <v>252</v>
      </c>
      <c r="F174">
        <f>Model!V59</f>
        <v>2049</v>
      </c>
      <c r="G174">
        <f>Model!W59</f>
        <v>1851</v>
      </c>
      <c r="H174">
        <f>Model!X59</f>
        <v>1485</v>
      </c>
      <c r="I174">
        <f>Model!Y59</f>
        <v>1315</v>
      </c>
      <c r="J174">
        <f>Model!Z59</f>
        <v>1477</v>
      </c>
      <c r="K174">
        <f>Model!AA59</f>
        <v>2032</v>
      </c>
      <c r="L174">
        <f>Model!AB59</f>
        <v>3737</v>
      </c>
      <c r="M174" s="6">
        <f>M173*L171</f>
        <v>1881.5140000000001</v>
      </c>
      <c r="N174" s="6">
        <f t="shared" ref="N174:R174" si="42">N173*M171</f>
        <v>0</v>
      </c>
      <c r="O174" s="6">
        <f t="shared" si="42"/>
        <v>0</v>
      </c>
      <c r="P174" s="6">
        <f t="shared" si="42"/>
        <v>0</v>
      </c>
      <c r="Q174" s="6">
        <f t="shared" si="42"/>
        <v>0</v>
      </c>
      <c r="R174" s="6">
        <f t="shared" si="42"/>
        <v>0</v>
      </c>
      <c r="S174" s="6">
        <f t="shared" ref="S174" si="43">S173*R171</f>
        <v>0</v>
      </c>
      <c r="T174" s="6">
        <f t="shared" ref="T174" si="44">T173*S171</f>
        <v>0</v>
      </c>
      <c r="U174" s="6">
        <f t="shared" ref="U174" si="45">U173*T171</f>
        <v>0</v>
      </c>
      <c r="V174" s="6">
        <f t="shared" ref="V174" si="46">V173*U171</f>
        <v>0</v>
      </c>
      <c r="W174" s="6">
        <f t="shared" ref="W174" si="47">W173*V171</f>
        <v>0</v>
      </c>
      <c r="X174" s="6">
        <f t="shared" ref="X174" si="48">X173*W171</f>
        <v>0</v>
      </c>
      <c r="Y174" s="6">
        <f t="shared" ref="Y174" si="49">Y173*X171</f>
        <v>0</v>
      </c>
    </row>
    <row r="176" spans="1:25" x14ac:dyDescent="0.2">
      <c r="A176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2022-11-30T17:13:42Z</dcterms:created>
  <dcterms:modified xsi:type="dcterms:W3CDTF">2023-05-03T02:15:59Z</dcterms:modified>
</cp:coreProperties>
</file>