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FA462A6F-8200-694E-8863-F04611D91AE7}" xr6:coauthVersionLast="47" xr6:coauthVersionMax="47" xr10:uidLastSave="{00000000-0000-0000-0000-000000000000}"/>
  <bookViews>
    <workbookView xWindow="1100" yWindow="820" windowWidth="28040" windowHeight="17440" activeTab="1" xr2:uid="{36D8C0C0-4AA2-D142-82CA-D909189D98B1}"/>
  </bookViews>
  <sheets>
    <sheet name="Model" sheetId="1" r:id="rId1"/>
    <sheet name="DCF &amp; NP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2" l="1"/>
  <c r="V10" i="2"/>
  <c r="V5" i="2"/>
  <c r="V4" i="2"/>
  <c r="D5" i="2"/>
  <c r="E5" i="2"/>
  <c r="F5" i="2"/>
  <c r="G6" i="2" s="1"/>
  <c r="G5" i="2"/>
  <c r="H5" i="2"/>
  <c r="H6" i="2" s="1"/>
  <c r="I5" i="2"/>
  <c r="I6" i="2" s="1"/>
  <c r="J5" i="2"/>
  <c r="J6" i="2" s="1"/>
  <c r="K5" i="2"/>
  <c r="K6" i="2" s="1"/>
  <c r="L5" i="2"/>
  <c r="L6" i="2" s="1"/>
  <c r="M5" i="2"/>
  <c r="N5" i="2"/>
  <c r="O6" i="2" s="1"/>
  <c r="O5" i="2"/>
  <c r="P5" i="2"/>
  <c r="P6" i="2" s="1"/>
  <c r="Q5" i="2"/>
  <c r="R5" i="2"/>
  <c r="R6" i="2" s="1"/>
  <c r="S5" i="2"/>
  <c r="S6" i="2" s="1"/>
  <c r="C5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C8" i="2"/>
  <c r="V8" i="2" s="1"/>
  <c r="V9" i="2" s="1"/>
  <c r="V11" i="2" s="1"/>
  <c r="D4" i="2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R34" i="1"/>
  <c r="S35" i="1"/>
  <c r="T35" i="1"/>
  <c r="U35" i="1"/>
  <c r="V35" i="1"/>
  <c r="W35" i="1"/>
  <c r="X35" i="1"/>
  <c r="Y35" i="1"/>
  <c r="Z35" i="1"/>
  <c r="S34" i="1"/>
  <c r="T34" i="1"/>
  <c r="U34" i="1"/>
  <c r="U37" i="1" s="1"/>
  <c r="U38" i="1" s="1"/>
  <c r="U43" i="1" s="1"/>
  <c r="U45" i="1" s="1"/>
  <c r="R35" i="1"/>
  <c r="R37" i="1"/>
  <c r="R55" i="1" s="1"/>
  <c r="S37" i="1"/>
  <c r="S38" i="1" s="1"/>
  <c r="S43" i="1" s="1"/>
  <c r="S45" i="1" s="1"/>
  <c r="T37" i="1"/>
  <c r="T38" i="1" s="1"/>
  <c r="T43" i="1" s="1"/>
  <c r="T45" i="1" s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R31" i="1"/>
  <c r="Q33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S12" i="1"/>
  <c r="T12" i="1"/>
  <c r="U12" i="1"/>
  <c r="R12" i="1"/>
  <c r="R22" i="1"/>
  <c r="S22" i="1"/>
  <c r="T22" i="1"/>
  <c r="U22" i="1"/>
  <c r="R18" i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R19" i="1"/>
  <c r="S19" i="1"/>
  <c r="T19" i="1"/>
  <c r="U19" i="1"/>
  <c r="V19" i="1"/>
  <c r="W19" i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R20" i="1"/>
  <c r="S20" i="1"/>
  <c r="T20" i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R21" i="1"/>
  <c r="S21" i="1"/>
  <c r="T21" i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H22" i="1" s="1"/>
  <c r="S17" i="1"/>
  <c r="T17" i="1"/>
  <c r="U17" i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R17" i="1"/>
  <c r="AA2" i="1"/>
  <c r="AB2" i="1" s="1"/>
  <c r="AC2" i="1" s="1"/>
  <c r="AD2" i="1" s="1"/>
  <c r="AE2" i="1" s="1"/>
  <c r="AF2" i="1" s="1"/>
  <c r="AG2" i="1" s="1"/>
  <c r="AH2" i="1" s="1"/>
  <c r="V2" i="1"/>
  <c r="W2" i="1"/>
  <c r="X2" i="1"/>
  <c r="Y2" i="1"/>
  <c r="Z2" i="1"/>
  <c r="S2" i="1"/>
  <c r="T2" i="1" s="1"/>
  <c r="U2" i="1" s="1"/>
  <c r="R2" i="1"/>
  <c r="P103" i="1"/>
  <c r="Q103" i="1"/>
  <c r="P104" i="1"/>
  <c r="Q104" i="1"/>
  <c r="O104" i="1"/>
  <c r="O103" i="1"/>
  <c r="P100" i="1"/>
  <c r="Q100" i="1"/>
  <c r="O100" i="1"/>
  <c r="O91" i="1"/>
  <c r="O10" i="1"/>
  <c r="P7" i="1"/>
  <c r="Q7" i="1"/>
  <c r="P8" i="1"/>
  <c r="Q8" i="1"/>
  <c r="P9" i="1"/>
  <c r="Q9" i="1"/>
  <c r="P10" i="1"/>
  <c r="Q10" i="1"/>
  <c r="P11" i="1"/>
  <c r="Q11" i="1"/>
  <c r="O8" i="1"/>
  <c r="O9" i="1"/>
  <c r="O11" i="1"/>
  <c r="O7" i="1"/>
  <c r="Q136" i="1"/>
  <c r="Q125" i="1"/>
  <c r="Q129" i="1" s="1"/>
  <c r="Q112" i="1"/>
  <c r="Q120" i="1" s="1"/>
  <c r="P96" i="1"/>
  <c r="Q96" i="1"/>
  <c r="O96" i="1"/>
  <c r="P98" i="1"/>
  <c r="Q98" i="1"/>
  <c r="O98" i="1"/>
  <c r="P97" i="1"/>
  <c r="Q97" i="1"/>
  <c r="O97" i="1"/>
  <c r="P42" i="1"/>
  <c r="Q42" i="1"/>
  <c r="O42" i="1"/>
  <c r="P37" i="1"/>
  <c r="Q37" i="1"/>
  <c r="O37" i="1"/>
  <c r="O27" i="1"/>
  <c r="O22" i="1"/>
  <c r="N22" i="1"/>
  <c r="O88" i="1"/>
  <c r="P88" i="1"/>
  <c r="P77" i="1"/>
  <c r="O77" i="1"/>
  <c r="Q88" i="1"/>
  <c r="Q77" i="1"/>
  <c r="E2" i="1"/>
  <c r="F2" i="1"/>
  <c r="G2" i="1"/>
  <c r="H2" i="1"/>
  <c r="D2" i="1" s="1"/>
  <c r="P22" i="1"/>
  <c r="Q22" i="1"/>
  <c r="Q30" i="1" s="1"/>
  <c r="Q27" i="1"/>
  <c r="P27" i="1"/>
  <c r="M6" i="2" l="1"/>
  <c r="D6" i="2"/>
  <c r="Q6" i="2"/>
  <c r="F6" i="2"/>
  <c r="N6" i="2"/>
  <c r="E6" i="2"/>
  <c r="E4" i="2"/>
  <c r="F4" i="2" s="1"/>
  <c r="G4" i="2" s="1"/>
  <c r="H4" i="2" s="1"/>
  <c r="I4" i="2" s="1"/>
  <c r="J4" i="2" s="1"/>
  <c r="V34" i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S55" i="1"/>
  <c r="T55" i="1" s="1"/>
  <c r="U55" i="1" s="1"/>
  <c r="R38" i="1"/>
  <c r="R43" i="1" s="1"/>
  <c r="R45" i="1" s="1"/>
  <c r="W22" i="1"/>
  <c r="V22" i="1"/>
  <c r="V12" i="1" s="1"/>
  <c r="AC22" i="1"/>
  <c r="AB22" i="1"/>
  <c r="AA22" i="1"/>
  <c r="Z22" i="1"/>
  <c r="Z12" i="1" s="1"/>
  <c r="AF22" i="1"/>
  <c r="AF12" i="1" s="1"/>
  <c r="X22" i="1"/>
  <c r="AE22" i="1"/>
  <c r="AD22" i="1"/>
  <c r="AG22" i="1"/>
  <c r="Y22" i="1"/>
  <c r="Y12" i="1" s="1"/>
  <c r="P12" i="1"/>
  <c r="O12" i="1"/>
  <c r="Q138" i="1"/>
  <c r="Q139" i="1" s="1"/>
  <c r="Q12" i="1"/>
  <c r="P30" i="1"/>
  <c r="P32" i="1" s="1"/>
  <c r="O30" i="1"/>
  <c r="O32" i="1" s="1"/>
  <c r="Q32" i="1"/>
  <c r="K4" i="2" l="1"/>
  <c r="L4" i="2" s="1"/>
  <c r="V37" i="1"/>
  <c r="V38" i="1" s="1"/>
  <c r="V43" i="1" s="1"/>
  <c r="V45" i="1" s="1"/>
  <c r="W37" i="1"/>
  <c r="W38" i="1" s="1"/>
  <c r="W43" i="1" s="1"/>
  <c r="W45" i="1" s="1"/>
  <c r="AA12" i="1"/>
  <c r="AB12" i="1"/>
  <c r="AG12" i="1"/>
  <c r="AC12" i="1"/>
  <c r="AD12" i="1"/>
  <c r="AE12" i="1"/>
  <c r="W12" i="1"/>
  <c r="X12" i="1"/>
  <c r="AH12" i="1"/>
  <c r="O33" i="1"/>
  <c r="O38" i="1"/>
  <c r="O43" i="1" s="1"/>
  <c r="O45" i="1" s="1"/>
  <c r="O53" i="1" s="1"/>
  <c r="O68" i="1" s="1"/>
  <c r="P33" i="1"/>
  <c r="P38" i="1"/>
  <c r="P43" i="1" s="1"/>
  <c r="P45" i="1" s="1"/>
  <c r="P53" i="1" s="1"/>
  <c r="P68" i="1" s="1"/>
  <c r="Q38" i="1"/>
  <c r="Q43" i="1" s="1"/>
  <c r="Q45" i="1" s="1"/>
  <c r="Q53" i="1" s="1"/>
  <c r="Q68" i="1" s="1"/>
  <c r="M4" i="2" l="1"/>
  <c r="N4" i="2" s="1"/>
  <c r="O4" i="2" s="1"/>
  <c r="P4" i="2" s="1"/>
  <c r="Q4" i="2" s="1"/>
  <c r="R4" i="2" s="1"/>
  <c r="S4" i="2" s="1"/>
  <c r="V55" i="1"/>
  <c r="X37" i="1"/>
  <c r="X38" i="1" s="1"/>
  <c r="X43" i="1" s="1"/>
  <c r="X45" i="1" s="1"/>
  <c r="W55" i="1"/>
  <c r="X55" i="1" s="1"/>
  <c r="Q95" i="1"/>
  <c r="Q90" i="1"/>
  <c r="P95" i="1"/>
  <c r="P90" i="1"/>
  <c r="O95" i="1"/>
  <c r="O90" i="1"/>
  <c r="O92" i="1" s="1"/>
  <c r="P91" i="1" s="1"/>
  <c r="P92" i="1" s="1"/>
  <c r="Q91" i="1" s="1"/>
  <c r="Y37" i="1" l="1"/>
  <c r="Y38" i="1" s="1"/>
  <c r="Y43" i="1" s="1"/>
  <c r="Y45" i="1" s="1"/>
  <c r="Q92" i="1"/>
  <c r="AA35" i="1" l="1"/>
  <c r="Z37" i="1"/>
  <c r="Z38" i="1" s="1"/>
  <c r="Z43" i="1" s="1"/>
  <c r="Z45" i="1" s="1"/>
  <c r="Y55" i="1"/>
  <c r="Z55" i="1" s="1"/>
  <c r="AB35" i="1" l="1"/>
  <c r="AA37" i="1"/>
  <c r="AA38" i="1" s="1"/>
  <c r="AA43" i="1" s="1"/>
  <c r="AA45" i="1" s="1"/>
  <c r="AC35" i="1" l="1"/>
  <c r="AB37" i="1"/>
  <c r="AB38" i="1" s="1"/>
  <c r="AB43" i="1" s="1"/>
  <c r="AB45" i="1" s="1"/>
  <c r="AA55" i="1"/>
  <c r="AB55" i="1" s="1"/>
  <c r="AD35" i="1" l="1"/>
  <c r="AC37" i="1"/>
  <c r="AC38" i="1" s="1"/>
  <c r="AC43" i="1" s="1"/>
  <c r="AC45" i="1" s="1"/>
  <c r="AE35" i="1" l="1"/>
  <c r="AD37" i="1"/>
  <c r="AD38" i="1" s="1"/>
  <c r="AD43" i="1" s="1"/>
  <c r="AD45" i="1" s="1"/>
  <c r="AC55" i="1"/>
  <c r="AD55" i="1" s="1"/>
  <c r="AF35" i="1" l="1"/>
  <c r="AE37" i="1"/>
  <c r="AE38" i="1" s="1"/>
  <c r="AE43" i="1" s="1"/>
  <c r="AE45" i="1" s="1"/>
  <c r="AG35" i="1" l="1"/>
  <c r="AF37" i="1"/>
  <c r="AF38" i="1" s="1"/>
  <c r="AF43" i="1" s="1"/>
  <c r="AF45" i="1" s="1"/>
  <c r="AE55" i="1"/>
  <c r="AF55" i="1" s="1"/>
  <c r="AH35" i="1" l="1"/>
  <c r="AH37" i="1" s="1"/>
  <c r="AH38" i="1" s="1"/>
  <c r="AH43" i="1" s="1"/>
  <c r="AH45" i="1" s="1"/>
  <c r="AG37" i="1"/>
  <c r="AG38" i="1" s="1"/>
  <c r="AG43" i="1" s="1"/>
  <c r="AG45" i="1" s="1"/>
  <c r="AG55" i="1" l="1"/>
  <c r="AH55" i="1"/>
</calcChain>
</file>

<file path=xl/sharedStrings.xml><?xml version="1.0" encoding="utf-8"?>
<sst xmlns="http://schemas.openxmlformats.org/spreadsheetml/2006/main" count="182" uniqueCount="138">
  <si>
    <t>Nvidia Coirporation</t>
  </si>
  <si>
    <t>NVDA</t>
  </si>
  <si>
    <t>FY2021A</t>
  </si>
  <si>
    <t>FY2022A</t>
  </si>
  <si>
    <t>Revenue</t>
  </si>
  <si>
    <t>Data Center</t>
  </si>
  <si>
    <t>Gaming</t>
  </si>
  <si>
    <t>Professional Visualization</t>
  </si>
  <si>
    <t>Automotive</t>
  </si>
  <si>
    <t>OEM &amp; Other</t>
  </si>
  <si>
    <t>Revenue by Reportable Segments</t>
  </si>
  <si>
    <t>Compute &amp; Networking</t>
  </si>
  <si>
    <t>Graphics</t>
  </si>
  <si>
    <t>Total</t>
  </si>
  <si>
    <t>FY2023A</t>
  </si>
  <si>
    <t>FQ222A</t>
  </si>
  <si>
    <t>FQ122A</t>
  </si>
  <si>
    <t>FQ322A</t>
  </si>
  <si>
    <t>FQ422A</t>
  </si>
  <si>
    <t>FQ123A</t>
  </si>
  <si>
    <t>FQ223A</t>
  </si>
  <si>
    <t>FQ323A</t>
  </si>
  <si>
    <t>FQ423A</t>
  </si>
  <si>
    <t>FQ124A</t>
  </si>
  <si>
    <t>Cost of Revenues</t>
  </si>
  <si>
    <t>Research &amp; development</t>
  </si>
  <si>
    <t>Sales, general, &amp; administrative</t>
  </si>
  <si>
    <t>Acquisition termination cost</t>
  </si>
  <si>
    <t>Interest Income</t>
  </si>
  <si>
    <t>Interest Expense</t>
  </si>
  <si>
    <t>Net other expense</t>
  </si>
  <si>
    <t>Income tax expense</t>
  </si>
  <si>
    <t>Reported net income</t>
  </si>
  <si>
    <t>Shares outstanding</t>
  </si>
  <si>
    <t>Basic</t>
  </si>
  <si>
    <t>Diluted</t>
  </si>
  <si>
    <t>Consolidated Statement of Cash Flows</t>
  </si>
  <si>
    <t>Net Income</t>
  </si>
  <si>
    <t>SBC</t>
  </si>
  <si>
    <t xml:space="preserve">DA </t>
  </si>
  <si>
    <t>Losses (gains) on investments in non-affiliates</t>
  </si>
  <si>
    <t>Deferred taxes</t>
  </si>
  <si>
    <t>Other</t>
  </si>
  <si>
    <t>AR</t>
  </si>
  <si>
    <t>Inventories</t>
  </si>
  <si>
    <t>PE</t>
  </si>
  <si>
    <t>AP</t>
  </si>
  <si>
    <t>AOCL</t>
  </si>
  <si>
    <t>Other long-term liabilities</t>
  </si>
  <si>
    <t>CFFI</t>
  </si>
  <si>
    <t>Maturities of MS</t>
  </si>
  <si>
    <t>Sales of MS</t>
  </si>
  <si>
    <t>Purchase of MS</t>
  </si>
  <si>
    <t>PPE &amp; Intangibles</t>
  </si>
  <si>
    <t xml:space="preserve">Acquisitions </t>
  </si>
  <si>
    <t>Investments</t>
  </si>
  <si>
    <t>CFFO</t>
  </si>
  <si>
    <t>CFFF</t>
  </si>
  <si>
    <t>ESPP</t>
  </si>
  <si>
    <t>Common Buyback</t>
  </si>
  <si>
    <t>RSU tax liabilities</t>
  </si>
  <si>
    <t>Dividend</t>
  </si>
  <si>
    <t>Principle payments of PPE</t>
  </si>
  <si>
    <t>Issuance of debt</t>
  </si>
  <si>
    <t>Repayment of debt</t>
  </si>
  <si>
    <t>Total Revenues</t>
  </si>
  <si>
    <t>FY2020A</t>
  </si>
  <si>
    <t>Gross Margin %</t>
  </si>
  <si>
    <t>Gross Margin</t>
  </si>
  <si>
    <t>Total Operating Expenses</t>
  </si>
  <si>
    <t>Total Other Income</t>
  </si>
  <si>
    <t>EBT</t>
  </si>
  <si>
    <t>EBIT</t>
  </si>
  <si>
    <t>N</t>
  </si>
  <si>
    <t>Net Cash</t>
  </si>
  <si>
    <t>Cash Beginning</t>
  </si>
  <si>
    <t>Cash End</t>
  </si>
  <si>
    <t>Free Cash Flow</t>
  </si>
  <si>
    <t>Consolidated Balance Sheets</t>
  </si>
  <si>
    <t>MS</t>
  </si>
  <si>
    <t>Net AR</t>
  </si>
  <si>
    <t>Total Current Assets</t>
  </si>
  <si>
    <t>Net PPE</t>
  </si>
  <si>
    <t>OLA</t>
  </si>
  <si>
    <t>Goodwill</t>
  </si>
  <si>
    <t>Intangibles</t>
  </si>
  <si>
    <t>Deferred tax assets</t>
  </si>
  <si>
    <t>Total assets</t>
  </si>
  <si>
    <t>Short-term debt</t>
  </si>
  <si>
    <t>Total current liabilities</t>
  </si>
  <si>
    <t>Long-term debt</t>
  </si>
  <si>
    <t>Long-term operating lease liabilities</t>
  </si>
  <si>
    <t>SE</t>
  </si>
  <si>
    <t>Commons</t>
  </si>
  <si>
    <t>APIC</t>
  </si>
  <si>
    <t>AOCI</t>
  </si>
  <si>
    <t>RE</t>
  </si>
  <si>
    <t>Total SE</t>
  </si>
  <si>
    <t>Total SE + Liabilities</t>
  </si>
  <si>
    <t>Cash &amp; cash equivalents</t>
  </si>
  <si>
    <t>Total liabilities</t>
  </si>
  <si>
    <t>Check</t>
  </si>
  <si>
    <t>Reportable Segments</t>
  </si>
  <si>
    <t>Income Statement</t>
  </si>
  <si>
    <t>P&amp;L GAAP</t>
  </si>
  <si>
    <t>Drivers</t>
  </si>
  <si>
    <t>Y/Y</t>
  </si>
  <si>
    <t>Adjustments from Net Income to CFFO</t>
  </si>
  <si>
    <t>FCF per share</t>
  </si>
  <si>
    <t>FY2024E</t>
  </si>
  <si>
    <t>FY2025E</t>
  </si>
  <si>
    <t>FY2026E</t>
  </si>
  <si>
    <t>FY2027E</t>
  </si>
  <si>
    <t>FY2028E</t>
  </si>
  <si>
    <t>FY2030E</t>
  </si>
  <si>
    <t>FY2029E</t>
  </si>
  <si>
    <t>FY2031E</t>
  </si>
  <si>
    <t>FY2032E</t>
  </si>
  <si>
    <t>FY2033E</t>
  </si>
  <si>
    <t>FY2039E</t>
  </si>
  <si>
    <t>FY2040E</t>
  </si>
  <si>
    <t>FY2034E</t>
  </si>
  <si>
    <t>FY2035E</t>
  </si>
  <si>
    <t>FY2036E</t>
  </si>
  <si>
    <t>FY2037E</t>
  </si>
  <si>
    <t>FY2038E</t>
  </si>
  <si>
    <t>Earnings</t>
  </si>
  <si>
    <t>FCF</t>
  </si>
  <si>
    <t>Cash</t>
  </si>
  <si>
    <t>Debt</t>
  </si>
  <si>
    <t>Shares</t>
  </si>
  <si>
    <t>Terminal</t>
  </si>
  <si>
    <t>NPV of Earnings</t>
  </si>
  <si>
    <t>Discount</t>
  </si>
  <si>
    <t>Equity Value</t>
  </si>
  <si>
    <t>Fair Value</t>
  </si>
  <si>
    <t>NPV Valuation</t>
  </si>
  <si>
    <t>$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</si>
</sst>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[$-409]d\-mmm;@"/>
    <numFmt numFmtId="174" formatCode="0.0"/>
    <numFmt numFmtId="178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venir Book"/>
      <family val="2"/>
    </font>
    <font>
      <b/>
      <sz val="12"/>
      <color theme="1"/>
      <name val="Avenir Book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9" fontId="4" fillId="0" borderId="0" xfId="0" applyNumberFormat="1" applyFont="1"/>
    <xf numFmtId="0" fontId="5" fillId="0" borderId="0" xfId="0" applyFont="1"/>
    <xf numFmtId="174" fontId="4" fillId="0" borderId="0" xfId="0" applyNumberFormat="1" applyFont="1"/>
    <xf numFmtId="0" fontId="5" fillId="2" borderId="0" xfId="0" applyFont="1" applyFill="1"/>
    <xf numFmtId="0" fontId="4" fillId="2" borderId="0" xfId="0" applyFont="1" applyFill="1"/>
    <xf numFmtId="1" fontId="4" fillId="0" borderId="0" xfId="0" applyNumberFormat="1" applyFont="1"/>
    <xf numFmtId="1" fontId="4" fillId="0" borderId="0" xfId="0" applyNumberFormat="1" applyFont="1" applyAlignment="1">
      <alignment horizontal="right"/>
    </xf>
    <xf numFmtId="0" fontId="2" fillId="3" borderId="0" xfId="0" applyFont="1" applyFill="1"/>
    <xf numFmtId="0" fontId="3" fillId="3" borderId="1" xfId="0" applyFont="1" applyFill="1" applyBorder="1"/>
    <xf numFmtId="0" fontId="2" fillId="3" borderId="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3" fillId="3" borderId="4" xfId="0" applyNumberFormat="1" applyFont="1" applyFill="1" applyBorder="1"/>
    <xf numFmtId="164" fontId="3" fillId="3" borderId="5" xfId="0" applyNumberFormat="1" applyFont="1" applyFill="1" applyBorder="1"/>
    <xf numFmtId="164" fontId="3" fillId="3" borderId="6" xfId="0" applyNumberFormat="1" applyFont="1" applyFill="1" applyBorder="1"/>
    <xf numFmtId="0" fontId="2" fillId="3" borderId="7" xfId="0" applyFont="1" applyFill="1" applyBorder="1"/>
    <xf numFmtId="178" fontId="2" fillId="3" borderId="0" xfId="1" applyNumberFormat="1" applyFont="1" applyFill="1"/>
    <xf numFmtId="9" fontId="2" fillId="3" borderId="0" xfId="1" applyNumberFormat="1" applyFont="1" applyFill="1"/>
    <xf numFmtId="9" fontId="2" fillId="3" borderId="8" xfId="0" applyNumberFormat="1" applyFont="1" applyFill="1" applyBorder="1"/>
    <xf numFmtId="178" fontId="2" fillId="3" borderId="8" xfId="1" applyNumberFormat="1" applyFont="1" applyFill="1" applyBorder="1"/>
    <xf numFmtId="0" fontId="3" fillId="3" borderId="4" xfId="0" applyFont="1" applyFill="1" applyBorder="1"/>
    <xf numFmtId="6" fontId="3" fillId="3" borderId="6" xfId="0" applyNumberFormat="1" applyFont="1" applyFill="1" applyBorder="1"/>
    <xf numFmtId="0" fontId="3" fillId="2" borderId="9" xfId="0" applyFont="1" applyFill="1" applyBorder="1"/>
    <xf numFmtId="0" fontId="2" fillId="2" borderId="10" xfId="0" applyFont="1" applyFill="1" applyBorder="1"/>
    <xf numFmtId="164" fontId="6" fillId="0" borderId="0" xfId="0" applyNumberFormat="1" applyFont="1"/>
    <xf numFmtId="164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751E-64E7-7E4A-82F6-D4B2D34DD9EB}">
  <dimension ref="A1:AH139"/>
  <sheetViews>
    <sheetView zoomScale="5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S36" sqref="S36"/>
    </sheetView>
  </sheetViews>
  <sheetFormatPr baseColWidth="10" defaultRowHeight="16" x14ac:dyDescent="0.2"/>
  <cols>
    <col min="1" max="1" width="23.1640625" style="1" customWidth="1"/>
    <col min="2" max="16384" width="10.83203125" style="1"/>
  </cols>
  <sheetData>
    <row r="1" spans="1:34" s="3" customFormat="1" x14ac:dyDescent="0.2">
      <c r="A1" s="3" t="s">
        <v>0</v>
      </c>
      <c r="D1" s="3" t="s">
        <v>16</v>
      </c>
      <c r="E1" s="3" t="s">
        <v>15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N1" s="3" t="s">
        <v>66</v>
      </c>
      <c r="O1" s="3" t="s">
        <v>2</v>
      </c>
      <c r="P1" s="3" t="s">
        <v>3</v>
      </c>
      <c r="Q1" s="3" t="s">
        <v>14</v>
      </c>
      <c r="R1" s="3" t="s">
        <v>109</v>
      </c>
      <c r="S1" s="3" t="s">
        <v>110</v>
      </c>
      <c r="T1" s="3" t="s">
        <v>111</v>
      </c>
      <c r="U1" s="3" t="s">
        <v>112</v>
      </c>
      <c r="V1" s="3" t="s">
        <v>113</v>
      </c>
      <c r="W1" s="3" t="s">
        <v>115</v>
      </c>
      <c r="X1" s="3" t="s">
        <v>114</v>
      </c>
      <c r="Y1" s="3" t="s">
        <v>116</v>
      </c>
      <c r="Z1" s="3" t="s">
        <v>117</v>
      </c>
      <c r="AA1" s="3" t="s">
        <v>118</v>
      </c>
      <c r="AB1" s="3" t="s">
        <v>121</v>
      </c>
      <c r="AC1" s="3" t="s">
        <v>122</v>
      </c>
      <c r="AD1" s="3" t="s">
        <v>123</v>
      </c>
      <c r="AE1" s="3" t="s">
        <v>124</v>
      </c>
      <c r="AF1" s="3" t="s">
        <v>125</v>
      </c>
      <c r="AG1" s="3" t="s">
        <v>119</v>
      </c>
      <c r="AH1" s="3" t="s">
        <v>120</v>
      </c>
    </row>
    <row r="2" spans="1:34" s="3" customFormat="1" x14ac:dyDescent="0.2">
      <c r="A2" s="3" t="s">
        <v>1</v>
      </c>
      <c r="D2" s="26">
        <f>H2-365</f>
        <v>44316</v>
      </c>
      <c r="E2" s="26">
        <f t="shared" ref="E2:G2" si="0">I2-365</f>
        <v>44408</v>
      </c>
      <c r="F2" s="26">
        <f t="shared" si="0"/>
        <v>44499</v>
      </c>
      <c r="G2" s="26">
        <f t="shared" si="0"/>
        <v>44681</v>
      </c>
      <c r="H2" s="26">
        <f>L2-365</f>
        <v>44681</v>
      </c>
      <c r="I2" s="26">
        <v>44773</v>
      </c>
      <c r="J2" s="26">
        <v>44864</v>
      </c>
      <c r="K2" s="26">
        <v>45046</v>
      </c>
      <c r="L2" s="27">
        <v>45046</v>
      </c>
      <c r="N2" s="27">
        <v>43856</v>
      </c>
      <c r="O2" s="27">
        <v>44227</v>
      </c>
      <c r="P2" s="27">
        <v>44591</v>
      </c>
      <c r="Q2" s="27">
        <v>44955</v>
      </c>
      <c r="R2" s="27">
        <f>Q2+365</f>
        <v>45320</v>
      </c>
      <c r="S2" s="27">
        <f t="shared" ref="S2:AH2" si="1">R2+365</f>
        <v>45685</v>
      </c>
      <c r="T2" s="27">
        <f t="shared" si="1"/>
        <v>46050</v>
      </c>
      <c r="U2" s="27">
        <f t="shared" si="1"/>
        <v>46415</v>
      </c>
      <c r="V2" s="27">
        <f t="shared" si="1"/>
        <v>46780</v>
      </c>
      <c r="W2" s="27">
        <f t="shared" si="1"/>
        <v>47145</v>
      </c>
      <c r="X2" s="27">
        <f t="shared" si="1"/>
        <v>47510</v>
      </c>
      <c r="Y2" s="27">
        <f t="shared" si="1"/>
        <v>47875</v>
      </c>
      <c r="Z2" s="27">
        <f t="shared" si="1"/>
        <v>48240</v>
      </c>
      <c r="AA2" s="27">
        <f t="shared" si="1"/>
        <v>48605</v>
      </c>
      <c r="AB2" s="27">
        <f t="shared" si="1"/>
        <v>48970</v>
      </c>
      <c r="AC2" s="27">
        <f t="shared" si="1"/>
        <v>49335</v>
      </c>
      <c r="AD2" s="27">
        <f t="shared" si="1"/>
        <v>49700</v>
      </c>
      <c r="AE2" s="27">
        <f t="shared" si="1"/>
        <v>50065</v>
      </c>
      <c r="AF2" s="27">
        <f t="shared" si="1"/>
        <v>50430</v>
      </c>
      <c r="AG2" s="27">
        <f t="shared" si="1"/>
        <v>50795</v>
      </c>
      <c r="AH2" s="27">
        <f t="shared" si="1"/>
        <v>51160</v>
      </c>
    </row>
    <row r="4" spans="1:34" s="6" customFormat="1" x14ac:dyDescent="0.2">
      <c r="A4" s="5" t="s">
        <v>105</v>
      </c>
    </row>
    <row r="5" spans="1:34" x14ac:dyDescent="0.2">
      <c r="A5" s="1" t="s">
        <v>106</v>
      </c>
    </row>
    <row r="6" spans="1:34" x14ac:dyDescent="0.2">
      <c r="A6" s="1" t="s">
        <v>102</v>
      </c>
    </row>
    <row r="7" spans="1:34" x14ac:dyDescent="0.2">
      <c r="A7" s="1" t="s">
        <v>5</v>
      </c>
      <c r="O7" s="2">
        <f>O17/N17-1</f>
        <v>1.2447200804559166</v>
      </c>
      <c r="P7" s="2">
        <f t="shared" ref="P7:Q7" si="2">P17/O17-1</f>
        <v>0.5849761051373954</v>
      </c>
      <c r="Q7" s="2">
        <f t="shared" si="2"/>
        <v>0.4138320927164798</v>
      </c>
      <c r="R7" s="2">
        <v>0.4</v>
      </c>
      <c r="S7" s="2">
        <v>0.3</v>
      </c>
      <c r="T7" s="2">
        <v>0.3</v>
      </c>
      <c r="U7" s="2">
        <v>0.2</v>
      </c>
      <c r="V7" s="2">
        <v>0.2</v>
      </c>
      <c r="W7" s="2">
        <v>0.2</v>
      </c>
      <c r="X7" s="2">
        <v>0.2</v>
      </c>
      <c r="Y7" s="2">
        <v>0.2</v>
      </c>
      <c r="Z7" s="2">
        <v>0.2</v>
      </c>
      <c r="AA7" s="2">
        <v>0.2</v>
      </c>
      <c r="AB7" s="2">
        <v>0.2</v>
      </c>
      <c r="AC7" s="2">
        <v>0.2</v>
      </c>
      <c r="AD7" s="2">
        <v>0.1</v>
      </c>
      <c r="AE7" s="2">
        <v>0.1</v>
      </c>
      <c r="AF7" s="2">
        <v>0.1</v>
      </c>
      <c r="AG7" s="2">
        <v>0.1</v>
      </c>
      <c r="AH7" s="2">
        <v>0.1</v>
      </c>
    </row>
    <row r="8" spans="1:34" x14ac:dyDescent="0.2">
      <c r="A8" s="1" t="s">
        <v>6</v>
      </c>
      <c r="O8" s="2">
        <f t="shared" ref="O8:Q12" si="3">O18/N18-1</f>
        <v>0.40612540775643358</v>
      </c>
      <c r="P8" s="2">
        <f t="shared" si="3"/>
        <v>0.60613481118700863</v>
      </c>
      <c r="Q8" s="2">
        <f t="shared" si="3"/>
        <v>-0.27242818167228378</v>
      </c>
      <c r="R8" s="2">
        <v>-0.1</v>
      </c>
      <c r="S8" s="2">
        <v>0.06</v>
      </c>
      <c r="T8" s="2">
        <v>0.06</v>
      </c>
      <c r="U8" s="2">
        <v>0.06</v>
      </c>
      <c r="V8" s="2">
        <v>0.06</v>
      </c>
      <c r="W8" s="2">
        <v>0.06</v>
      </c>
      <c r="X8" s="2">
        <v>0.06</v>
      </c>
      <c r="Y8" s="2">
        <v>0.06</v>
      </c>
      <c r="Z8" s="2">
        <v>0.02</v>
      </c>
      <c r="AA8" s="2">
        <v>0.02</v>
      </c>
      <c r="AB8" s="2">
        <v>0.02</v>
      </c>
      <c r="AC8" s="2">
        <v>0.02</v>
      </c>
      <c r="AD8" s="2">
        <v>0.02</v>
      </c>
      <c r="AE8" s="2">
        <v>0.02</v>
      </c>
      <c r="AF8" s="2">
        <v>0.02</v>
      </c>
      <c r="AG8" s="2">
        <v>0.02</v>
      </c>
      <c r="AH8" s="2">
        <v>0.02</v>
      </c>
    </row>
    <row r="9" spans="1:34" x14ac:dyDescent="0.2">
      <c r="A9" s="1" t="s">
        <v>7</v>
      </c>
      <c r="O9" s="2">
        <f t="shared" si="3"/>
        <v>-0.13118811881188119</v>
      </c>
      <c r="P9" s="2">
        <f t="shared" si="3"/>
        <v>1.0047483380816713</v>
      </c>
      <c r="Q9" s="2">
        <f t="shared" si="3"/>
        <v>-0.26859308384651825</v>
      </c>
      <c r="R9" s="2">
        <v>0.05</v>
      </c>
      <c r="S9" s="2">
        <v>0.05</v>
      </c>
      <c r="T9" s="2">
        <v>0.1</v>
      </c>
      <c r="U9" s="2">
        <v>0.1</v>
      </c>
      <c r="V9" s="2">
        <v>0.1</v>
      </c>
      <c r="W9" s="2">
        <v>0.1</v>
      </c>
      <c r="X9" s="2">
        <v>0.1</v>
      </c>
      <c r="Y9" s="2">
        <v>0.1</v>
      </c>
      <c r="Z9" s="2">
        <v>0.1</v>
      </c>
      <c r="AA9" s="2">
        <v>0.1</v>
      </c>
      <c r="AB9" s="2">
        <v>0.1</v>
      </c>
      <c r="AC9" s="2">
        <v>0.1</v>
      </c>
      <c r="AD9" s="2">
        <v>0.1</v>
      </c>
      <c r="AE9" s="2">
        <v>0.1</v>
      </c>
      <c r="AF9" s="2">
        <v>0.1</v>
      </c>
      <c r="AG9" s="2">
        <v>0.1</v>
      </c>
      <c r="AH9" s="2">
        <v>0.1</v>
      </c>
    </row>
    <row r="10" spans="1:34" x14ac:dyDescent="0.2">
      <c r="A10" s="1" t="s">
        <v>8</v>
      </c>
      <c r="O10" s="2">
        <f>O20/N20-1</f>
        <v>-0.23428571428571432</v>
      </c>
      <c r="P10" s="2">
        <f t="shared" si="3"/>
        <v>5.5970149253731449E-2</v>
      </c>
      <c r="Q10" s="2">
        <f t="shared" si="3"/>
        <v>0.59540636042402828</v>
      </c>
      <c r="R10" s="2">
        <v>0.2</v>
      </c>
      <c r="S10" s="2">
        <v>0.1</v>
      </c>
      <c r="T10" s="2">
        <v>0.1</v>
      </c>
      <c r="U10" s="2">
        <v>0.1</v>
      </c>
      <c r="V10" s="2">
        <v>0.06</v>
      </c>
      <c r="W10" s="2">
        <v>0.06</v>
      </c>
      <c r="X10" s="2">
        <v>0.06</v>
      </c>
      <c r="Y10" s="2">
        <v>0.06</v>
      </c>
      <c r="Z10" s="2">
        <v>0.06</v>
      </c>
      <c r="AA10" s="2">
        <v>0.06</v>
      </c>
      <c r="AB10" s="2">
        <v>0.06</v>
      </c>
      <c r="AC10" s="2">
        <v>0.06</v>
      </c>
      <c r="AD10" s="2">
        <v>0.06</v>
      </c>
      <c r="AE10" s="2">
        <v>0.06</v>
      </c>
      <c r="AF10" s="2">
        <v>0.06</v>
      </c>
      <c r="AG10" s="2">
        <v>0.06</v>
      </c>
      <c r="AH10" s="2">
        <v>0.06</v>
      </c>
    </row>
    <row r="11" spans="1:34" x14ac:dyDescent="0.2">
      <c r="A11" s="1" t="s">
        <v>9</v>
      </c>
      <c r="O11" s="2">
        <f t="shared" si="3"/>
        <v>0.2495049504950495</v>
      </c>
      <c r="P11" s="2">
        <f t="shared" si="3"/>
        <v>0.84152139461172748</v>
      </c>
      <c r="Q11" s="2">
        <f t="shared" si="3"/>
        <v>-0.60843373493975905</v>
      </c>
      <c r="R11" s="2">
        <v>0.1</v>
      </c>
      <c r="S11" s="2">
        <v>0.1</v>
      </c>
      <c r="T11" s="2">
        <v>0.1</v>
      </c>
      <c r="U11" s="2">
        <v>0.1</v>
      </c>
      <c r="V11" s="2">
        <v>0.1</v>
      </c>
      <c r="W11" s="2">
        <v>0.1</v>
      </c>
      <c r="X11" s="2">
        <v>0.1</v>
      </c>
      <c r="Y11" s="2">
        <v>0.05</v>
      </c>
      <c r="Z11" s="2">
        <v>0.05</v>
      </c>
      <c r="AA11" s="2">
        <v>0.05</v>
      </c>
      <c r="AB11" s="2">
        <v>0.05</v>
      </c>
      <c r="AC11" s="2">
        <v>0.05</v>
      </c>
      <c r="AD11" s="2">
        <v>0.05</v>
      </c>
      <c r="AE11" s="2">
        <v>0.05</v>
      </c>
      <c r="AF11" s="2">
        <v>0.05</v>
      </c>
      <c r="AG11" s="2">
        <v>0.05</v>
      </c>
      <c r="AH11" s="2">
        <v>0.05</v>
      </c>
    </row>
    <row r="12" spans="1:34" x14ac:dyDescent="0.2">
      <c r="A12" s="1" t="s">
        <v>13</v>
      </c>
      <c r="O12" s="2">
        <f t="shared" si="3"/>
        <v>0.52729437625938824</v>
      </c>
      <c r="P12" s="2">
        <f t="shared" si="3"/>
        <v>0.61403298350824587</v>
      </c>
      <c r="Q12" s="2">
        <f>Q22/P22-1</f>
        <v>2.2293230289069932E-3</v>
      </c>
      <c r="R12" s="2">
        <f>R22/Q22-1</f>
        <v>0.20014087639949585</v>
      </c>
      <c r="S12" s="2">
        <f t="shared" ref="S12:AH12" si="4">S22/R22-1</f>
        <v>0.21719565311405353</v>
      </c>
      <c r="T12" s="2">
        <f t="shared" si="4"/>
        <v>0.22983074825191907</v>
      </c>
      <c r="U12" s="2">
        <f t="shared" si="4"/>
        <v>0.16569185159849731</v>
      </c>
      <c r="V12" s="2">
        <f t="shared" si="4"/>
        <v>0.16751294527083838</v>
      </c>
      <c r="W12" s="2">
        <f t="shared" si="4"/>
        <v>0.17033925971396724</v>
      </c>
      <c r="X12" s="2">
        <f t="shared" si="4"/>
        <v>0.17298027641699742</v>
      </c>
      <c r="Y12" s="2">
        <f t="shared" si="4"/>
        <v>0.17494740244383178</v>
      </c>
      <c r="Z12" s="2">
        <f t="shared" si="4"/>
        <v>0.17269397738877523</v>
      </c>
      <c r="AA12" s="2">
        <f t="shared" si="4"/>
        <v>0.17594072300157615</v>
      </c>
      <c r="AB12" s="2">
        <f t="shared" si="4"/>
        <v>0.1788466391817134</v>
      </c>
      <c r="AC12" s="2">
        <f t="shared" si="4"/>
        <v>0.18143523820395968</v>
      </c>
      <c r="AD12" s="2">
        <f t="shared" si="4"/>
        <v>9.4072432788907312E-2</v>
      </c>
      <c r="AE12" s="2">
        <f t="shared" si="4"/>
        <v>9.4449701040020706E-2</v>
      </c>
      <c r="AF12" s="2">
        <f t="shared" si="4"/>
        <v>9.4804037003400232E-2</v>
      </c>
      <c r="AG12" s="2">
        <f t="shared" si="4"/>
        <v>9.513664140516398E-2</v>
      </c>
      <c r="AH12" s="2">
        <f t="shared" si="4"/>
        <v>9.5448679311062268E-2</v>
      </c>
    </row>
    <row r="15" spans="1:34" s="6" customFormat="1" x14ac:dyDescent="0.2">
      <c r="A15" s="5" t="s">
        <v>104</v>
      </c>
    </row>
    <row r="16" spans="1:34" x14ac:dyDescent="0.2">
      <c r="A16" s="1" t="s">
        <v>102</v>
      </c>
    </row>
    <row r="17" spans="1:34" x14ac:dyDescent="0.2">
      <c r="A17" s="1" t="s">
        <v>5</v>
      </c>
      <c r="N17" s="1">
        <v>2983</v>
      </c>
      <c r="O17" s="1">
        <v>6696</v>
      </c>
      <c r="P17" s="1">
        <v>10613</v>
      </c>
      <c r="Q17" s="1">
        <v>15005</v>
      </c>
      <c r="R17" s="7">
        <f>(R7+1)*Q17</f>
        <v>21007</v>
      </c>
      <c r="S17" s="7">
        <f t="shared" ref="S17:AH17" si="5">(S7+1)*R17</f>
        <v>27309.100000000002</v>
      </c>
      <c r="T17" s="7">
        <f t="shared" si="5"/>
        <v>35501.83</v>
      </c>
      <c r="U17" s="7">
        <f t="shared" si="5"/>
        <v>42602.196000000004</v>
      </c>
      <c r="V17" s="7">
        <f t="shared" si="5"/>
        <v>51122.635200000004</v>
      </c>
      <c r="W17" s="7">
        <f t="shared" si="5"/>
        <v>61347.162240000005</v>
      </c>
      <c r="X17" s="7">
        <f t="shared" si="5"/>
        <v>73616.594687999997</v>
      </c>
      <c r="Y17" s="7">
        <f t="shared" si="5"/>
        <v>88339.913625599991</v>
      </c>
      <c r="Z17" s="7">
        <f t="shared" si="5"/>
        <v>106007.89635071998</v>
      </c>
      <c r="AA17" s="7">
        <f t="shared" si="5"/>
        <v>127209.47562086397</v>
      </c>
      <c r="AB17" s="7">
        <f t="shared" si="5"/>
        <v>152651.37074503675</v>
      </c>
      <c r="AC17" s="7">
        <f t="shared" si="5"/>
        <v>183181.64489404409</v>
      </c>
      <c r="AD17" s="7">
        <f t="shared" si="5"/>
        <v>201499.8093834485</v>
      </c>
      <c r="AE17" s="7">
        <f t="shared" si="5"/>
        <v>221649.79032179338</v>
      </c>
      <c r="AF17" s="7">
        <f t="shared" si="5"/>
        <v>243814.76935397275</v>
      </c>
      <c r="AG17" s="7">
        <f t="shared" si="5"/>
        <v>268196.24628937006</v>
      </c>
      <c r="AH17" s="7">
        <f t="shared" si="5"/>
        <v>295015.8709183071</v>
      </c>
    </row>
    <row r="18" spans="1:34" x14ac:dyDescent="0.2">
      <c r="A18" s="1" t="s">
        <v>6</v>
      </c>
      <c r="N18" s="1">
        <v>5518</v>
      </c>
      <c r="O18" s="1">
        <v>7759</v>
      </c>
      <c r="P18" s="1">
        <v>12462</v>
      </c>
      <c r="Q18" s="1">
        <v>9067</v>
      </c>
      <c r="R18" s="7">
        <f t="shared" ref="R18:AH18" si="6">(R8+1)*Q18</f>
        <v>8160.3</v>
      </c>
      <c r="S18" s="7">
        <f t="shared" si="6"/>
        <v>8649.9180000000015</v>
      </c>
      <c r="T18" s="7">
        <f t="shared" si="6"/>
        <v>9168.9130800000021</v>
      </c>
      <c r="U18" s="7">
        <f t="shared" si="6"/>
        <v>9719.0478648000026</v>
      </c>
      <c r="V18" s="7">
        <f t="shared" si="6"/>
        <v>10302.190736688004</v>
      </c>
      <c r="W18" s="7">
        <f t="shared" si="6"/>
        <v>10920.322180889285</v>
      </c>
      <c r="X18" s="7">
        <f t="shared" si="6"/>
        <v>11575.541511742642</v>
      </c>
      <c r="Y18" s="7">
        <f t="shared" si="6"/>
        <v>12270.074002447202</v>
      </c>
      <c r="Z18" s="7">
        <f t="shared" si="6"/>
        <v>12515.475482496146</v>
      </c>
      <c r="AA18" s="7">
        <f t="shared" si="6"/>
        <v>12765.784992146069</v>
      </c>
      <c r="AB18" s="7">
        <f t="shared" si="6"/>
        <v>13021.100691988991</v>
      </c>
      <c r="AC18" s="7">
        <f t="shared" si="6"/>
        <v>13281.522705828771</v>
      </c>
      <c r="AD18" s="7">
        <f t="shared" si="6"/>
        <v>13547.153159945346</v>
      </c>
      <c r="AE18" s="7">
        <f t="shared" si="6"/>
        <v>13818.096223144254</v>
      </c>
      <c r="AF18" s="7">
        <f t="shared" si="6"/>
        <v>14094.458147607138</v>
      </c>
      <c r="AG18" s="7">
        <f t="shared" si="6"/>
        <v>14376.34731055928</v>
      </c>
      <c r="AH18" s="7">
        <f t="shared" si="6"/>
        <v>14663.874256770467</v>
      </c>
    </row>
    <row r="19" spans="1:34" x14ac:dyDescent="0.2">
      <c r="A19" s="1" t="s">
        <v>7</v>
      </c>
      <c r="N19" s="1">
        <v>1212</v>
      </c>
      <c r="O19" s="1">
        <v>1053</v>
      </c>
      <c r="P19" s="1">
        <v>2111</v>
      </c>
      <c r="Q19" s="1">
        <v>1544</v>
      </c>
      <c r="R19" s="7">
        <f t="shared" ref="R19:AH19" si="7">(R9+1)*Q19</f>
        <v>1621.2</v>
      </c>
      <c r="S19" s="7">
        <f t="shared" si="7"/>
        <v>1702.2600000000002</v>
      </c>
      <c r="T19" s="7">
        <f t="shared" si="7"/>
        <v>1872.4860000000003</v>
      </c>
      <c r="U19" s="7">
        <f t="shared" si="7"/>
        <v>2059.7346000000007</v>
      </c>
      <c r="V19" s="7">
        <f t="shared" si="7"/>
        <v>2265.7080600000008</v>
      </c>
      <c r="W19" s="7">
        <f t="shared" si="7"/>
        <v>2492.278866000001</v>
      </c>
      <c r="X19" s="7">
        <f t="shared" si="7"/>
        <v>2741.5067526000012</v>
      </c>
      <c r="Y19" s="7">
        <f t="shared" si="7"/>
        <v>3015.6574278600015</v>
      </c>
      <c r="Z19" s="7">
        <f t="shared" si="7"/>
        <v>3317.223170646002</v>
      </c>
      <c r="AA19" s="7">
        <f t="shared" si="7"/>
        <v>3648.9454877106027</v>
      </c>
      <c r="AB19" s="7">
        <f t="shared" si="7"/>
        <v>4013.8400364816634</v>
      </c>
      <c r="AC19" s="7">
        <f t="shared" si="7"/>
        <v>4415.2240401298304</v>
      </c>
      <c r="AD19" s="7">
        <f t="shared" si="7"/>
        <v>4856.7464441428137</v>
      </c>
      <c r="AE19" s="7">
        <f t="shared" si="7"/>
        <v>5342.4210885570956</v>
      </c>
      <c r="AF19" s="7">
        <f t="shared" si="7"/>
        <v>5876.6631974128059</v>
      </c>
      <c r="AG19" s="7">
        <f t="shared" si="7"/>
        <v>6464.3295171540867</v>
      </c>
      <c r="AH19" s="7">
        <f t="shared" si="7"/>
        <v>7110.7624688694959</v>
      </c>
    </row>
    <row r="20" spans="1:34" x14ac:dyDescent="0.2">
      <c r="A20" s="1" t="s">
        <v>8</v>
      </c>
      <c r="N20" s="1">
        <v>700</v>
      </c>
      <c r="O20" s="1">
        <v>536</v>
      </c>
      <c r="P20" s="1">
        <v>566</v>
      </c>
      <c r="Q20" s="1">
        <v>903</v>
      </c>
      <c r="R20" s="7">
        <f t="shared" ref="R20:AH20" si="8">(R10+1)*Q20</f>
        <v>1083.5999999999999</v>
      </c>
      <c r="S20" s="7">
        <f t="shared" si="8"/>
        <v>1191.96</v>
      </c>
      <c r="T20" s="7">
        <f t="shared" si="8"/>
        <v>1311.1560000000002</v>
      </c>
      <c r="U20" s="7">
        <f t="shared" si="8"/>
        <v>1442.2716000000003</v>
      </c>
      <c r="V20" s="7">
        <f t="shared" si="8"/>
        <v>1528.8078960000003</v>
      </c>
      <c r="W20" s="7">
        <f t="shared" si="8"/>
        <v>1620.5363697600003</v>
      </c>
      <c r="X20" s="7">
        <f t="shared" si="8"/>
        <v>1717.7685519456004</v>
      </c>
      <c r="Y20" s="7">
        <f t="shared" si="8"/>
        <v>1820.8346650623364</v>
      </c>
      <c r="Z20" s="7">
        <f t="shared" si="8"/>
        <v>1930.0847449660766</v>
      </c>
      <c r="AA20" s="7">
        <f t="shared" si="8"/>
        <v>2045.8898296640414</v>
      </c>
      <c r="AB20" s="7">
        <f t="shared" si="8"/>
        <v>2168.6432194438839</v>
      </c>
      <c r="AC20" s="7">
        <f t="shared" si="8"/>
        <v>2298.7618126105172</v>
      </c>
      <c r="AD20" s="7">
        <f t="shared" si="8"/>
        <v>2436.6875213671483</v>
      </c>
      <c r="AE20" s="7">
        <f t="shared" si="8"/>
        <v>2582.8887726491771</v>
      </c>
      <c r="AF20" s="7">
        <f t="shared" si="8"/>
        <v>2737.8620990081276</v>
      </c>
      <c r="AG20" s="7">
        <f t="shared" si="8"/>
        <v>2902.1338249486153</v>
      </c>
      <c r="AH20" s="7">
        <f t="shared" si="8"/>
        <v>3076.2618544455322</v>
      </c>
    </row>
    <row r="21" spans="1:34" x14ac:dyDescent="0.2">
      <c r="A21" s="1" t="s">
        <v>9</v>
      </c>
      <c r="N21" s="1">
        <v>505</v>
      </c>
      <c r="O21" s="1">
        <v>631</v>
      </c>
      <c r="P21" s="1">
        <v>1162</v>
      </c>
      <c r="Q21" s="1">
        <v>455</v>
      </c>
      <c r="R21" s="7">
        <f t="shared" ref="R21:AH21" si="9">(R11+1)*Q21</f>
        <v>500.50000000000006</v>
      </c>
      <c r="S21" s="7">
        <f t="shared" si="9"/>
        <v>550.55000000000007</v>
      </c>
      <c r="T21" s="7">
        <f t="shared" si="9"/>
        <v>605.60500000000013</v>
      </c>
      <c r="U21" s="7">
        <f t="shared" si="9"/>
        <v>666.16550000000018</v>
      </c>
      <c r="V21" s="7">
        <f t="shared" si="9"/>
        <v>732.78205000000025</v>
      </c>
      <c r="W21" s="7">
        <f t="shared" si="9"/>
        <v>806.06025500000032</v>
      </c>
      <c r="X21" s="7">
        <f t="shared" si="9"/>
        <v>886.66628050000043</v>
      </c>
      <c r="Y21" s="7">
        <f t="shared" si="9"/>
        <v>930.99959452500048</v>
      </c>
      <c r="Z21" s="7">
        <f t="shared" si="9"/>
        <v>977.54957425125053</v>
      </c>
      <c r="AA21" s="7">
        <f t="shared" si="9"/>
        <v>1026.4270529638131</v>
      </c>
      <c r="AB21" s="7">
        <f t="shared" si="9"/>
        <v>1077.7484056120038</v>
      </c>
      <c r="AC21" s="7">
        <f t="shared" si="9"/>
        <v>1131.6358258926041</v>
      </c>
      <c r="AD21" s="7">
        <f t="shared" si="9"/>
        <v>1188.2176171872343</v>
      </c>
      <c r="AE21" s="7">
        <f t="shared" si="9"/>
        <v>1247.628498046596</v>
      </c>
      <c r="AF21" s="7">
        <f t="shared" si="9"/>
        <v>1310.0099229489258</v>
      </c>
      <c r="AG21" s="7">
        <f t="shared" si="9"/>
        <v>1375.5104190963721</v>
      </c>
      <c r="AH21" s="7">
        <f t="shared" si="9"/>
        <v>1444.2859400511907</v>
      </c>
    </row>
    <row r="22" spans="1:34" x14ac:dyDescent="0.2">
      <c r="A22" s="1" t="s">
        <v>13</v>
      </c>
      <c r="N22" s="1">
        <f>N17+N18+N19+N20+N21</f>
        <v>10918</v>
      </c>
      <c r="O22" s="1">
        <f>O17+O18+O19+O20+O21</f>
        <v>16675</v>
      </c>
      <c r="P22" s="1">
        <f>P17+P18+P19+P20+P21</f>
        <v>26914</v>
      </c>
      <c r="Q22" s="1">
        <f>Q17+Q18+Q19+Q20+Q21</f>
        <v>26974</v>
      </c>
      <c r="R22" s="7">
        <f t="shared" ref="R22:AH22" si="10">R17+R18+R19+R20+R21</f>
        <v>32372.6</v>
      </c>
      <c r="S22" s="7">
        <f t="shared" si="10"/>
        <v>39403.788000000008</v>
      </c>
      <c r="T22" s="7">
        <f t="shared" si="10"/>
        <v>48459.990080000003</v>
      </c>
      <c r="U22" s="7">
        <f t="shared" si="10"/>
        <v>56489.415564800016</v>
      </c>
      <c r="V22" s="7">
        <f t="shared" si="10"/>
        <v>65952.123942688006</v>
      </c>
      <c r="W22" s="7">
        <f t="shared" si="10"/>
        <v>77186.359911649299</v>
      </c>
      <c r="X22" s="7">
        <f t="shared" si="10"/>
        <v>90538.077784788242</v>
      </c>
      <c r="Y22" s="7">
        <f t="shared" si="10"/>
        <v>106377.47931549454</v>
      </c>
      <c r="Z22" s="7">
        <f t="shared" si="10"/>
        <v>124748.22932307946</v>
      </c>
      <c r="AA22" s="7">
        <f t="shared" si="10"/>
        <v>146696.52298334849</v>
      </c>
      <c r="AB22" s="7">
        <f t="shared" si="10"/>
        <v>172932.70309856333</v>
      </c>
      <c r="AC22" s="7">
        <f t="shared" si="10"/>
        <v>204308.78927850581</v>
      </c>
      <c r="AD22" s="7">
        <f t="shared" si="10"/>
        <v>223528.61412609107</v>
      </c>
      <c r="AE22" s="7">
        <f t="shared" si="10"/>
        <v>244640.82490419049</v>
      </c>
      <c r="AF22" s="7">
        <f t="shared" si="10"/>
        <v>267833.76272094972</v>
      </c>
      <c r="AG22" s="7">
        <f t="shared" si="10"/>
        <v>293314.56736112846</v>
      </c>
      <c r="AH22" s="7">
        <f t="shared" si="10"/>
        <v>321311.05543844379</v>
      </c>
    </row>
    <row r="24" spans="1:34" x14ac:dyDescent="0.2">
      <c r="A24" s="3" t="s">
        <v>10</v>
      </c>
    </row>
    <row r="25" spans="1:34" x14ac:dyDescent="0.2">
      <c r="A25" s="1" t="s">
        <v>11</v>
      </c>
      <c r="O25" s="1">
        <v>6841</v>
      </c>
      <c r="P25" s="1">
        <v>11046</v>
      </c>
      <c r="Q25" s="1">
        <v>15068</v>
      </c>
    </row>
    <row r="26" spans="1:34" x14ac:dyDescent="0.2">
      <c r="A26" s="1" t="s">
        <v>12</v>
      </c>
      <c r="O26" s="1">
        <v>9834</v>
      </c>
      <c r="P26" s="1">
        <v>15868</v>
      </c>
      <c r="Q26" s="1">
        <v>11906</v>
      </c>
    </row>
    <row r="27" spans="1:34" x14ac:dyDescent="0.2">
      <c r="A27" s="1" t="s">
        <v>13</v>
      </c>
      <c r="O27" s="1">
        <f>O26+O25</f>
        <v>16675</v>
      </c>
      <c r="P27" s="1">
        <f>P25+P26</f>
        <v>26914</v>
      </c>
      <c r="Q27" s="1">
        <f>Q25+Q26</f>
        <v>26974</v>
      </c>
    </row>
    <row r="29" spans="1:34" s="6" customFormat="1" x14ac:dyDescent="0.2">
      <c r="A29" s="5" t="s">
        <v>103</v>
      </c>
    </row>
    <row r="30" spans="1:34" x14ac:dyDescent="0.2">
      <c r="A30" s="1" t="s">
        <v>65</v>
      </c>
      <c r="O30" s="1">
        <f>O22</f>
        <v>16675</v>
      </c>
      <c r="P30" s="1">
        <f t="shared" ref="P30:AH30" si="11">P22</f>
        <v>26914</v>
      </c>
      <c r="Q30" s="1">
        <f t="shared" si="11"/>
        <v>26974</v>
      </c>
      <c r="R30" s="7">
        <f t="shared" si="11"/>
        <v>32372.6</v>
      </c>
      <c r="S30" s="7">
        <f t="shared" si="11"/>
        <v>39403.788000000008</v>
      </c>
      <c r="T30" s="7">
        <f t="shared" si="11"/>
        <v>48459.990080000003</v>
      </c>
      <c r="U30" s="7">
        <f t="shared" si="11"/>
        <v>56489.415564800016</v>
      </c>
      <c r="V30" s="7">
        <f t="shared" si="11"/>
        <v>65952.123942688006</v>
      </c>
      <c r="W30" s="7">
        <f t="shared" si="11"/>
        <v>77186.359911649299</v>
      </c>
      <c r="X30" s="7">
        <f t="shared" si="11"/>
        <v>90538.077784788242</v>
      </c>
      <c r="Y30" s="7">
        <f t="shared" si="11"/>
        <v>106377.47931549454</v>
      </c>
      <c r="Z30" s="7">
        <f t="shared" si="11"/>
        <v>124748.22932307946</v>
      </c>
      <c r="AA30" s="7">
        <f t="shared" si="11"/>
        <v>146696.52298334849</v>
      </c>
      <c r="AB30" s="7">
        <f t="shared" si="11"/>
        <v>172932.70309856333</v>
      </c>
      <c r="AC30" s="7">
        <f t="shared" si="11"/>
        <v>204308.78927850581</v>
      </c>
      <c r="AD30" s="7">
        <f t="shared" si="11"/>
        <v>223528.61412609107</v>
      </c>
      <c r="AE30" s="7">
        <f t="shared" si="11"/>
        <v>244640.82490419049</v>
      </c>
      <c r="AF30" s="7">
        <f t="shared" si="11"/>
        <v>267833.76272094972</v>
      </c>
      <c r="AG30" s="7">
        <f t="shared" si="11"/>
        <v>293314.56736112846</v>
      </c>
      <c r="AH30" s="7">
        <f t="shared" si="11"/>
        <v>321311.05543844379</v>
      </c>
    </row>
    <row r="31" spans="1:34" x14ac:dyDescent="0.2">
      <c r="A31" s="1" t="s">
        <v>24</v>
      </c>
      <c r="O31" s="1">
        <v>6279</v>
      </c>
      <c r="P31" s="1">
        <v>9439</v>
      </c>
      <c r="Q31" s="1">
        <v>11618</v>
      </c>
      <c r="R31" s="8">
        <f>R30*(1-R33)</f>
        <v>12949.04</v>
      </c>
      <c r="S31" s="8">
        <f t="shared" ref="S31:AH31" si="12">S30*(1-S33)</f>
        <v>15761.515200000003</v>
      </c>
      <c r="T31" s="8">
        <f t="shared" si="12"/>
        <v>19383.996032000003</v>
      </c>
      <c r="U31" s="8">
        <f t="shared" si="12"/>
        <v>22595.766225920008</v>
      </c>
      <c r="V31" s="8">
        <f t="shared" si="12"/>
        <v>26380.849577075205</v>
      </c>
      <c r="W31" s="8">
        <f t="shared" si="12"/>
        <v>30874.543964659722</v>
      </c>
      <c r="X31" s="8">
        <f t="shared" si="12"/>
        <v>36215.231113915295</v>
      </c>
      <c r="Y31" s="8">
        <f t="shared" si="12"/>
        <v>42550.991726197819</v>
      </c>
      <c r="Z31" s="8">
        <f t="shared" si="12"/>
        <v>49899.291729231787</v>
      </c>
      <c r="AA31" s="8">
        <f t="shared" si="12"/>
        <v>58678.609193339398</v>
      </c>
      <c r="AB31" s="8">
        <f t="shared" si="12"/>
        <v>69173.08123942533</v>
      </c>
      <c r="AC31" s="8">
        <f t="shared" si="12"/>
        <v>81723.515711402331</v>
      </c>
      <c r="AD31" s="8">
        <f t="shared" si="12"/>
        <v>89411.445650436435</v>
      </c>
      <c r="AE31" s="8">
        <f t="shared" si="12"/>
        <v>97856.329961676209</v>
      </c>
      <c r="AF31" s="8">
        <f t="shared" si="12"/>
        <v>107133.5050883799</v>
      </c>
      <c r="AG31" s="8">
        <f t="shared" si="12"/>
        <v>117325.82694445139</v>
      </c>
      <c r="AH31" s="8">
        <f t="shared" si="12"/>
        <v>128524.42217537752</v>
      </c>
    </row>
    <row r="32" spans="1:34" x14ac:dyDescent="0.2">
      <c r="A32" s="1" t="s">
        <v>68</v>
      </c>
      <c r="O32" s="1">
        <f>O30-O31</f>
        <v>10396</v>
      </c>
      <c r="P32" s="1">
        <f t="shared" ref="P32:Q32" si="13">P30-P31</f>
        <v>17475</v>
      </c>
      <c r="Q32" s="7">
        <f t="shared" si="13"/>
        <v>15356</v>
      </c>
      <c r="R32" s="7">
        <f t="shared" ref="R32" si="14">R30-R31</f>
        <v>19423.559999999998</v>
      </c>
      <c r="S32" s="7">
        <f t="shared" ref="S32" si="15">S30-S31</f>
        <v>23642.272800000006</v>
      </c>
      <c r="T32" s="7">
        <f t="shared" ref="T32" si="16">T30-T31</f>
        <v>29075.994048</v>
      </c>
      <c r="U32" s="7">
        <f t="shared" ref="U32" si="17">U30-U31</f>
        <v>33893.649338880008</v>
      </c>
      <c r="V32" s="7">
        <f t="shared" ref="V32" si="18">V30-V31</f>
        <v>39571.2743656128</v>
      </c>
      <c r="W32" s="7">
        <f t="shared" ref="W32" si="19">W30-W31</f>
        <v>46311.815946989576</v>
      </c>
      <c r="X32" s="7">
        <f t="shared" ref="X32" si="20">X30-X31</f>
        <v>54322.846670872947</v>
      </c>
      <c r="Y32" s="7">
        <f t="shared" ref="Y32" si="21">Y30-Y31</f>
        <v>63826.487589296717</v>
      </c>
      <c r="Z32" s="7">
        <f t="shared" ref="Z32" si="22">Z30-Z31</f>
        <v>74848.937593847673</v>
      </c>
      <c r="AA32" s="7">
        <f t="shared" ref="AA32" si="23">AA30-AA31</f>
        <v>88017.913790009101</v>
      </c>
      <c r="AB32" s="7">
        <f t="shared" ref="AB32" si="24">AB30-AB31</f>
        <v>103759.621859138</v>
      </c>
      <c r="AC32" s="7">
        <f t="shared" ref="AC32" si="25">AC30-AC31</f>
        <v>122585.27356710348</v>
      </c>
      <c r="AD32" s="7">
        <f t="shared" ref="AD32" si="26">AD30-AD31</f>
        <v>134117.16847565462</v>
      </c>
      <c r="AE32" s="7">
        <f t="shared" ref="AE32" si="27">AE30-AE31</f>
        <v>146784.49494251428</v>
      </c>
      <c r="AF32" s="7">
        <f t="shared" ref="AF32" si="28">AF30-AF31</f>
        <v>160700.25763256982</v>
      </c>
      <c r="AG32" s="7">
        <f t="shared" ref="AG32" si="29">AG30-AG31</f>
        <v>175988.74041667709</v>
      </c>
      <c r="AH32" s="7">
        <f t="shared" ref="AH32" si="30">AH30-AH31</f>
        <v>192786.63326306627</v>
      </c>
    </row>
    <row r="33" spans="1:34" x14ac:dyDescent="0.2">
      <c r="A33" s="1" t="s">
        <v>67</v>
      </c>
      <c r="O33" s="2">
        <f>O32/O30</f>
        <v>0.62344827586206897</v>
      </c>
      <c r="P33" s="2">
        <f t="shared" ref="P33:Q33" si="31">P32/P30</f>
        <v>0.64929033216913135</v>
      </c>
      <c r="Q33" s="2">
        <f t="shared" si="31"/>
        <v>0.56928894490991322</v>
      </c>
      <c r="R33" s="2">
        <v>0.6</v>
      </c>
      <c r="S33" s="2">
        <v>0.6</v>
      </c>
      <c r="T33" s="2">
        <v>0.6</v>
      </c>
      <c r="U33" s="2">
        <v>0.6</v>
      </c>
      <c r="V33" s="2">
        <v>0.6</v>
      </c>
      <c r="W33" s="2">
        <v>0.6</v>
      </c>
      <c r="X33" s="2">
        <v>0.6</v>
      </c>
      <c r="Y33" s="2">
        <v>0.6</v>
      </c>
      <c r="Z33" s="2">
        <v>0.6</v>
      </c>
      <c r="AA33" s="2">
        <v>0.6</v>
      </c>
      <c r="AB33" s="2">
        <v>0.6</v>
      </c>
      <c r="AC33" s="2">
        <v>0.6</v>
      </c>
      <c r="AD33" s="2">
        <v>0.6</v>
      </c>
      <c r="AE33" s="2">
        <v>0.6</v>
      </c>
      <c r="AF33" s="2">
        <v>0.6</v>
      </c>
      <c r="AG33" s="2">
        <v>0.6</v>
      </c>
      <c r="AH33" s="2">
        <v>0.6</v>
      </c>
    </row>
    <row r="34" spans="1:34" x14ac:dyDescent="0.2">
      <c r="A34" s="1" t="s">
        <v>25</v>
      </c>
      <c r="O34" s="1">
        <v>3924</v>
      </c>
      <c r="P34" s="1">
        <v>5268</v>
      </c>
      <c r="Q34" s="1">
        <v>7339</v>
      </c>
      <c r="R34" s="7">
        <f>Q34*1.1</f>
        <v>8072.9000000000005</v>
      </c>
      <c r="S34" s="7">
        <f t="shared" ref="S34:Y34" si="32">R34*1.1</f>
        <v>8880.19</v>
      </c>
      <c r="T34" s="7">
        <f t="shared" si="32"/>
        <v>9768.2090000000007</v>
      </c>
      <c r="U34" s="7">
        <f t="shared" si="32"/>
        <v>10745.029900000001</v>
      </c>
      <c r="V34" s="7">
        <f t="shared" si="32"/>
        <v>11819.532890000002</v>
      </c>
      <c r="W34" s="7">
        <f t="shared" si="32"/>
        <v>13001.486179000003</v>
      </c>
      <c r="X34" s="7">
        <f t="shared" si="32"/>
        <v>14301.634796900005</v>
      </c>
      <c r="Y34" s="7">
        <f t="shared" si="32"/>
        <v>15731.798276590007</v>
      </c>
      <c r="Z34" s="7">
        <f t="shared" ref="S34:AH34" si="33">Y34*1.03</f>
        <v>16203.752224887707</v>
      </c>
      <c r="AA34" s="7">
        <f t="shared" si="33"/>
        <v>16689.86479163434</v>
      </c>
      <c r="AB34" s="7">
        <f t="shared" si="33"/>
        <v>17190.560735383369</v>
      </c>
      <c r="AC34" s="7">
        <f t="shared" si="33"/>
        <v>17706.277557444871</v>
      </c>
      <c r="AD34" s="7">
        <f t="shared" si="33"/>
        <v>18237.465884168218</v>
      </c>
      <c r="AE34" s="7">
        <f t="shared" si="33"/>
        <v>18784.589860693264</v>
      </c>
      <c r="AF34" s="7">
        <f t="shared" si="33"/>
        <v>19348.127556514064</v>
      </c>
      <c r="AG34" s="7">
        <f t="shared" si="33"/>
        <v>19928.571383209488</v>
      </c>
      <c r="AH34" s="7">
        <f t="shared" si="33"/>
        <v>20526.428524705774</v>
      </c>
    </row>
    <row r="35" spans="1:34" x14ac:dyDescent="0.2">
      <c r="A35" s="1" t="s">
        <v>26</v>
      </c>
      <c r="O35" s="1">
        <v>1940</v>
      </c>
      <c r="P35" s="1">
        <v>2166</v>
      </c>
      <c r="Q35" s="1">
        <v>2440</v>
      </c>
      <c r="R35" s="7">
        <f>Q35*1.1</f>
        <v>2684</v>
      </c>
      <c r="S35" s="7">
        <f t="shared" ref="S35:Z35" si="34">R35*1.1</f>
        <v>2952.4</v>
      </c>
      <c r="T35" s="7">
        <f t="shared" si="34"/>
        <v>3247.6400000000003</v>
      </c>
      <c r="U35" s="7">
        <f t="shared" si="34"/>
        <v>3572.4040000000005</v>
      </c>
      <c r="V35" s="7">
        <f t="shared" si="34"/>
        <v>3929.6444000000006</v>
      </c>
      <c r="W35" s="7">
        <f t="shared" si="34"/>
        <v>4322.6088400000008</v>
      </c>
      <c r="X35" s="7">
        <f t="shared" si="34"/>
        <v>4754.869724000001</v>
      </c>
      <c r="Y35" s="7">
        <f t="shared" si="34"/>
        <v>5230.356696400002</v>
      </c>
      <c r="Z35" s="7">
        <f t="shared" si="34"/>
        <v>5753.3923660400023</v>
      </c>
      <c r="AA35" s="7">
        <f t="shared" ref="S35:AH35" si="35">Z35*1.03</f>
        <v>5925.9941370212027</v>
      </c>
      <c r="AB35" s="7">
        <f t="shared" si="35"/>
        <v>6103.7739611318393</v>
      </c>
      <c r="AC35" s="7">
        <f t="shared" si="35"/>
        <v>6286.8871799657945</v>
      </c>
      <c r="AD35" s="7">
        <f t="shared" si="35"/>
        <v>6475.4937953647686</v>
      </c>
      <c r="AE35" s="7">
        <f t="shared" si="35"/>
        <v>6669.7586092257116</v>
      </c>
      <c r="AF35" s="7">
        <f t="shared" si="35"/>
        <v>6869.8513675024833</v>
      </c>
      <c r="AG35" s="7">
        <f t="shared" si="35"/>
        <v>7075.9469085275578</v>
      </c>
      <c r="AH35" s="7">
        <f t="shared" si="35"/>
        <v>7288.2253157833848</v>
      </c>
    </row>
    <row r="36" spans="1:34" x14ac:dyDescent="0.2">
      <c r="A36" s="1" t="s">
        <v>27</v>
      </c>
      <c r="Q36" s="1">
        <v>1353</v>
      </c>
    </row>
    <row r="37" spans="1:34" x14ac:dyDescent="0.2">
      <c r="A37" s="1" t="s">
        <v>69</v>
      </c>
      <c r="O37" s="1">
        <f>O34+O35+O36</f>
        <v>5864</v>
      </c>
      <c r="P37" s="1">
        <f t="shared" ref="P37:Q37" si="36">P34+P35+P36</f>
        <v>7434</v>
      </c>
      <c r="Q37" s="7">
        <f t="shared" si="36"/>
        <v>11132</v>
      </c>
      <c r="R37" s="7">
        <f t="shared" ref="R37" si="37">R34+R35+R36</f>
        <v>10756.900000000001</v>
      </c>
      <c r="S37" s="7">
        <f t="shared" ref="S37" si="38">S34+S35+S36</f>
        <v>11832.59</v>
      </c>
      <c r="T37" s="7">
        <f t="shared" ref="T37" si="39">T34+T35+T36</f>
        <v>13015.849000000002</v>
      </c>
      <c r="U37" s="7">
        <f t="shared" ref="U37" si="40">U34+U35+U36</f>
        <v>14317.433900000002</v>
      </c>
      <c r="V37" s="7">
        <f t="shared" ref="V37" si="41">V34+V35+V36</f>
        <v>15749.177290000003</v>
      </c>
      <c r="W37" s="7">
        <f t="shared" ref="W37" si="42">W34+W35+W36</f>
        <v>17324.095019000004</v>
      </c>
      <c r="X37" s="7">
        <f t="shared" ref="X37" si="43">X34+X35+X36</f>
        <v>19056.504520900005</v>
      </c>
      <c r="Y37" s="7">
        <f t="shared" ref="Y37" si="44">Y34+Y35+Y36</f>
        <v>20962.154972990007</v>
      </c>
      <c r="Z37" s="7">
        <f t="shared" ref="Z37" si="45">Z34+Z35+Z36</f>
        <v>21957.14459092771</v>
      </c>
      <c r="AA37" s="7">
        <f t="shared" ref="AA37" si="46">AA34+AA35+AA36</f>
        <v>22615.858928655543</v>
      </c>
      <c r="AB37" s="7">
        <f t="shared" ref="AB37" si="47">AB34+AB35+AB36</f>
        <v>23294.334696515209</v>
      </c>
      <c r="AC37" s="7">
        <f t="shared" ref="AC37" si="48">AC34+AC35+AC36</f>
        <v>23993.164737410665</v>
      </c>
      <c r="AD37" s="7">
        <f t="shared" ref="AD37" si="49">AD34+AD35+AD36</f>
        <v>24712.959679532985</v>
      </c>
      <c r="AE37" s="7">
        <f t="shared" ref="AE37" si="50">AE34+AE35+AE36</f>
        <v>25454.348469918976</v>
      </c>
      <c r="AF37" s="7">
        <f t="shared" ref="AF37" si="51">AF34+AF35+AF36</f>
        <v>26217.978924016548</v>
      </c>
      <c r="AG37" s="7">
        <f t="shared" ref="AG37" si="52">AG34+AG35+AG36</f>
        <v>27004.518291737048</v>
      </c>
      <c r="AH37" s="7">
        <f t="shared" ref="AH37" si="53">AH34+AH35+AH36</f>
        <v>27814.653840489158</v>
      </c>
    </row>
    <row r="38" spans="1:34" x14ac:dyDescent="0.2">
      <c r="A38" s="1" t="s">
        <v>72</v>
      </c>
      <c r="O38" s="1">
        <f>O32-O37</f>
        <v>4532</v>
      </c>
      <c r="P38" s="1">
        <f t="shared" ref="P38:Q38" si="54">P32-P37</f>
        <v>10041</v>
      </c>
      <c r="Q38" s="7">
        <f t="shared" si="54"/>
        <v>4224</v>
      </c>
      <c r="R38" s="7">
        <f t="shared" ref="R38" si="55">R32-R37</f>
        <v>8666.6599999999962</v>
      </c>
      <c r="S38" s="7">
        <f t="shared" ref="S38" si="56">S32-S37</f>
        <v>11809.682800000006</v>
      </c>
      <c r="T38" s="7">
        <f t="shared" ref="T38" si="57">T32-T37</f>
        <v>16060.145047999998</v>
      </c>
      <c r="U38" s="7">
        <f t="shared" ref="U38" si="58">U32-U37</f>
        <v>19576.215438880005</v>
      </c>
      <c r="V38" s="7">
        <f t="shared" ref="V38" si="59">V32-V37</f>
        <v>23822.097075612797</v>
      </c>
      <c r="W38" s="7">
        <f t="shared" ref="W38" si="60">W32-W37</f>
        <v>28987.720927989572</v>
      </c>
      <c r="X38" s="7">
        <f t="shared" ref="X38" si="61">X32-X37</f>
        <v>35266.342149972945</v>
      </c>
      <c r="Y38" s="7">
        <f t="shared" ref="Y38" si="62">Y32-Y37</f>
        <v>42864.33261630671</v>
      </c>
      <c r="Z38" s="7">
        <f t="shared" ref="Z38" si="63">Z32-Z37</f>
        <v>52891.793002919963</v>
      </c>
      <c r="AA38" s="7">
        <f t="shared" ref="AA38" si="64">AA32-AA37</f>
        <v>65402.054861353557</v>
      </c>
      <c r="AB38" s="7">
        <f t="shared" ref="AB38" si="65">AB32-AB37</f>
        <v>80465.287162622786</v>
      </c>
      <c r="AC38" s="7">
        <f t="shared" ref="AC38" si="66">AC32-AC37</f>
        <v>98592.108829692806</v>
      </c>
      <c r="AD38" s="7">
        <f t="shared" ref="AD38" si="67">AD32-AD37</f>
        <v>109404.20879612163</v>
      </c>
      <c r="AE38" s="7">
        <f t="shared" ref="AE38" si="68">AE32-AE37</f>
        <v>121330.14647259531</v>
      </c>
      <c r="AF38" s="7">
        <f t="shared" ref="AF38" si="69">AF32-AF37</f>
        <v>134482.27870855326</v>
      </c>
      <c r="AG38" s="7">
        <f t="shared" ref="AG38" si="70">AG32-AG37</f>
        <v>148984.22212494005</v>
      </c>
      <c r="AH38" s="7">
        <f t="shared" ref="AH38" si="71">AH32-AH37</f>
        <v>164971.9794225771</v>
      </c>
    </row>
    <row r="39" spans="1:34" x14ac:dyDescent="0.2">
      <c r="A39" s="1" t="s">
        <v>28</v>
      </c>
      <c r="O39" s="1">
        <v>57</v>
      </c>
      <c r="P39" s="1">
        <v>29</v>
      </c>
      <c r="Q39" s="1">
        <v>267</v>
      </c>
    </row>
    <row r="40" spans="1:34" x14ac:dyDescent="0.2">
      <c r="A40" s="1" t="s">
        <v>29</v>
      </c>
      <c r="O40" s="1">
        <v>-184</v>
      </c>
      <c r="P40" s="1">
        <v>-236</v>
      </c>
      <c r="Q40" s="1">
        <v>-262</v>
      </c>
    </row>
    <row r="41" spans="1:34" x14ac:dyDescent="0.2">
      <c r="A41" s="1" t="s">
        <v>30</v>
      </c>
      <c r="O41" s="1">
        <v>4</v>
      </c>
      <c r="P41" s="1">
        <v>107</v>
      </c>
      <c r="Q41" s="1">
        <v>-48</v>
      </c>
    </row>
    <row r="42" spans="1:34" x14ac:dyDescent="0.2">
      <c r="A42" s="1" t="s">
        <v>70</v>
      </c>
      <c r="O42" s="1">
        <f>O41+O40+O39</f>
        <v>-123</v>
      </c>
      <c r="P42" s="1">
        <f t="shared" ref="P42:Q42" si="72">P41+P40+P39</f>
        <v>-100</v>
      </c>
      <c r="Q42" s="1">
        <f t="shared" si="72"/>
        <v>-43</v>
      </c>
    </row>
    <row r="43" spans="1:34" x14ac:dyDescent="0.2">
      <c r="A43" s="1" t="s">
        <v>71</v>
      </c>
      <c r="O43" s="1">
        <f>O38+O42</f>
        <v>4409</v>
      </c>
      <c r="P43" s="1">
        <f t="shared" ref="P43:Q43" si="73">P38+P42</f>
        <v>9941</v>
      </c>
      <c r="Q43" s="1">
        <f t="shared" si="73"/>
        <v>4181</v>
      </c>
      <c r="R43" s="7">
        <f t="shared" ref="R43" si="74">R38+R42</f>
        <v>8666.6599999999962</v>
      </c>
      <c r="S43" s="7">
        <f t="shared" ref="S43" si="75">S38+S42</f>
        <v>11809.682800000006</v>
      </c>
      <c r="T43" s="7">
        <f t="shared" ref="T43" si="76">T38+T42</f>
        <v>16060.145047999998</v>
      </c>
      <c r="U43" s="7">
        <f t="shared" ref="U43" si="77">U38+U42</f>
        <v>19576.215438880005</v>
      </c>
      <c r="V43" s="7">
        <f t="shared" ref="V43" si="78">V38+V42</f>
        <v>23822.097075612797</v>
      </c>
      <c r="W43" s="7">
        <f t="shared" ref="W43" si="79">W38+W42</f>
        <v>28987.720927989572</v>
      </c>
      <c r="X43" s="7">
        <f t="shared" ref="X43" si="80">X38+X42</f>
        <v>35266.342149972945</v>
      </c>
      <c r="Y43" s="7">
        <f t="shared" ref="Y43" si="81">Y38+Y42</f>
        <v>42864.33261630671</v>
      </c>
      <c r="Z43" s="7">
        <f t="shared" ref="Z43" si="82">Z38+Z42</f>
        <v>52891.793002919963</v>
      </c>
      <c r="AA43" s="7">
        <f t="shared" ref="AA43" si="83">AA38+AA42</f>
        <v>65402.054861353557</v>
      </c>
      <c r="AB43" s="7">
        <f t="shared" ref="AB43" si="84">AB38+AB42</f>
        <v>80465.287162622786</v>
      </c>
      <c r="AC43" s="7">
        <f t="shared" ref="AC43" si="85">AC38+AC42</f>
        <v>98592.108829692806</v>
      </c>
      <c r="AD43" s="7">
        <f t="shared" ref="AD43" si="86">AD38+AD42</f>
        <v>109404.20879612163</v>
      </c>
      <c r="AE43" s="7">
        <f t="shared" ref="AE43" si="87">AE38+AE42</f>
        <v>121330.14647259531</v>
      </c>
      <c r="AF43" s="7">
        <f t="shared" ref="AF43" si="88">AF38+AF42</f>
        <v>134482.27870855326</v>
      </c>
      <c r="AG43" s="7">
        <f t="shared" ref="AG43" si="89">AG38+AG42</f>
        <v>148984.22212494005</v>
      </c>
      <c r="AH43" s="7">
        <f t="shared" ref="AH43" si="90">AH38+AH42</f>
        <v>164971.9794225771</v>
      </c>
    </row>
    <row r="44" spans="1:34" x14ac:dyDescent="0.2">
      <c r="A44" s="1" t="s">
        <v>31</v>
      </c>
      <c r="O44" s="1">
        <v>77</v>
      </c>
      <c r="P44" s="1">
        <v>189</v>
      </c>
      <c r="Q44" s="1">
        <v>-187</v>
      </c>
    </row>
    <row r="45" spans="1:34" x14ac:dyDescent="0.2">
      <c r="A45" s="1" t="s">
        <v>37</v>
      </c>
      <c r="O45" s="1">
        <f>O43-O44</f>
        <v>4332</v>
      </c>
      <c r="P45" s="1">
        <f t="shared" ref="P45:Q45" si="91">P43-P44</f>
        <v>9752</v>
      </c>
      <c r="Q45" s="7">
        <f t="shared" si="91"/>
        <v>4368</v>
      </c>
      <c r="R45" s="7">
        <f t="shared" ref="R45" si="92">R43-R44</f>
        <v>8666.6599999999962</v>
      </c>
      <c r="S45" s="7">
        <f t="shared" ref="S45" si="93">S43-S44</f>
        <v>11809.682800000006</v>
      </c>
      <c r="T45" s="7">
        <f t="shared" ref="T45" si="94">T43-T44</f>
        <v>16060.145047999998</v>
      </c>
      <c r="U45" s="7">
        <f t="shared" ref="U45" si="95">U43-U44</f>
        <v>19576.215438880005</v>
      </c>
      <c r="V45" s="7">
        <f t="shared" ref="V45" si="96">V43-V44</f>
        <v>23822.097075612797</v>
      </c>
      <c r="W45" s="7">
        <f t="shared" ref="W45" si="97">W43-W44</f>
        <v>28987.720927989572</v>
      </c>
      <c r="X45" s="7">
        <f t="shared" ref="X45" si="98">X43-X44</f>
        <v>35266.342149972945</v>
      </c>
      <c r="Y45" s="7">
        <f t="shared" ref="Y45" si="99">Y43-Y44</f>
        <v>42864.33261630671</v>
      </c>
      <c r="Z45" s="7">
        <f t="shared" ref="Z45" si="100">Z43-Z44</f>
        <v>52891.793002919963</v>
      </c>
      <c r="AA45" s="7">
        <f t="shared" ref="AA45" si="101">AA43-AA44</f>
        <v>65402.054861353557</v>
      </c>
      <c r="AB45" s="7">
        <f t="shared" ref="AB45" si="102">AB43-AB44</f>
        <v>80465.287162622786</v>
      </c>
      <c r="AC45" s="7">
        <f t="shared" ref="AC45" si="103">AC43-AC44</f>
        <v>98592.108829692806</v>
      </c>
      <c r="AD45" s="7">
        <f t="shared" ref="AD45" si="104">AD43-AD44</f>
        <v>109404.20879612163</v>
      </c>
      <c r="AE45" s="7">
        <f t="shared" ref="AE45" si="105">AE43-AE44</f>
        <v>121330.14647259531</v>
      </c>
      <c r="AF45" s="7">
        <f t="shared" ref="AF45" si="106">AF43-AF44</f>
        <v>134482.27870855326</v>
      </c>
      <c r="AG45" s="7">
        <f t="shared" ref="AG45" si="107">AG43-AG44</f>
        <v>148984.22212494005</v>
      </c>
      <c r="AH45" s="7">
        <f t="shared" ref="AH45" si="108">AH43-AH44</f>
        <v>164971.9794225771</v>
      </c>
    </row>
    <row r="46" spans="1:34" x14ac:dyDescent="0.2">
      <c r="A46" s="1" t="s">
        <v>32</v>
      </c>
      <c r="O46" s="1">
        <v>4332</v>
      </c>
      <c r="P46" s="1">
        <v>9752</v>
      </c>
      <c r="Q46" s="1">
        <v>4368</v>
      </c>
    </row>
    <row r="48" spans="1:34" x14ac:dyDescent="0.2">
      <c r="A48" s="1" t="s">
        <v>33</v>
      </c>
    </row>
    <row r="49" spans="1:34" x14ac:dyDescent="0.2">
      <c r="A49" s="1" t="s">
        <v>34</v>
      </c>
      <c r="O49" s="1">
        <v>2467</v>
      </c>
      <c r="P49" s="1">
        <v>2496</v>
      </c>
      <c r="Q49" s="1">
        <v>2487</v>
      </c>
    </row>
    <row r="50" spans="1:34" x14ac:dyDescent="0.2">
      <c r="A50" s="1" t="s">
        <v>35</v>
      </c>
      <c r="O50" s="1">
        <v>2510</v>
      </c>
      <c r="P50" s="1">
        <v>2535</v>
      </c>
      <c r="Q50" s="1">
        <v>2507</v>
      </c>
    </row>
    <row r="51" spans="1:34" x14ac:dyDescent="0.2">
      <c r="O51" s="1" t="s">
        <v>73</v>
      </c>
    </row>
    <row r="52" spans="1:34" s="6" customFormat="1" x14ac:dyDescent="0.2">
      <c r="A52" s="5" t="s">
        <v>36</v>
      </c>
    </row>
    <row r="53" spans="1:34" x14ac:dyDescent="0.2">
      <c r="A53" s="1" t="s">
        <v>37</v>
      </c>
      <c r="O53" s="1">
        <f>O45</f>
        <v>4332</v>
      </c>
      <c r="P53" s="1">
        <f>P45</f>
        <v>9752</v>
      </c>
      <c r="Q53" s="1">
        <f>Q45</f>
        <v>4368</v>
      </c>
    </row>
    <row r="54" spans="1:34" x14ac:dyDescent="0.2">
      <c r="A54" s="3" t="s">
        <v>107</v>
      </c>
    </row>
    <row r="55" spans="1:34" x14ac:dyDescent="0.2">
      <c r="A55" s="1" t="s">
        <v>38</v>
      </c>
      <c r="O55" s="1">
        <v>1397</v>
      </c>
      <c r="P55" s="1">
        <v>2004</v>
      </c>
      <c r="Q55" s="1">
        <v>2709</v>
      </c>
      <c r="R55" s="7">
        <f>Q55/Q37*R37</f>
        <v>2617.7184782608697</v>
      </c>
      <c r="S55" s="7">
        <f t="shared" ref="S55:AH55" si="109">R55/R37*S37</f>
        <v>2879.4903260869564</v>
      </c>
      <c r="T55" s="7">
        <f t="shared" si="109"/>
        <v>3167.4393586956526</v>
      </c>
      <c r="U55" s="7">
        <f t="shared" si="109"/>
        <v>3484.1832945652177</v>
      </c>
      <c r="V55" s="7">
        <f t="shared" si="109"/>
        <v>3832.60162402174</v>
      </c>
      <c r="W55" s="7">
        <f t="shared" si="109"/>
        <v>4215.8617864239141</v>
      </c>
      <c r="X55" s="7">
        <f t="shared" si="109"/>
        <v>4637.4479650663052</v>
      </c>
      <c r="Y55" s="7">
        <f t="shared" si="109"/>
        <v>5101.1927615729355</v>
      </c>
      <c r="Z55" s="7">
        <f t="shared" si="109"/>
        <v>5343.3259698906895</v>
      </c>
      <c r="AA55" s="7">
        <f t="shared" si="109"/>
        <v>5503.6257489874106</v>
      </c>
      <c r="AB55" s="7">
        <f t="shared" si="109"/>
        <v>5668.7345214570323</v>
      </c>
      <c r="AC55" s="7">
        <f t="shared" si="109"/>
        <v>5838.7965571007435</v>
      </c>
      <c r="AD55" s="7">
        <f t="shared" si="109"/>
        <v>6013.9604538137655</v>
      </c>
      <c r="AE55" s="7">
        <f t="shared" si="109"/>
        <v>6194.3792674281794</v>
      </c>
      <c r="AF55" s="7">
        <f t="shared" si="109"/>
        <v>6380.2106454510258</v>
      </c>
      <c r="AG55" s="7">
        <f t="shared" si="109"/>
        <v>6571.6169648145578</v>
      </c>
      <c r="AH55" s="7">
        <f t="shared" si="109"/>
        <v>6768.7654737589946</v>
      </c>
    </row>
    <row r="56" spans="1:34" x14ac:dyDescent="0.2">
      <c r="A56" s="1" t="s">
        <v>39</v>
      </c>
      <c r="O56" s="1">
        <v>1098</v>
      </c>
      <c r="P56" s="1">
        <v>1174</v>
      </c>
      <c r="Q56" s="1">
        <v>1544</v>
      </c>
    </row>
    <row r="57" spans="1:34" x14ac:dyDescent="0.2">
      <c r="A57" s="1" t="s">
        <v>27</v>
      </c>
      <c r="Q57" s="1">
        <v>1353</v>
      </c>
    </row>
    <row r="58" spans="1:34" x14ac:dyDescent="0.2">
      <c r="A58" s="1" t="s">
        <v>40</v>
      </c>
      <c r="P58" s="1">
        <v>-100</v>
      </c>
      <c r="Q58" s="1">
        <v>45</v>
      </c>
    </row>
    <row r="59" spans="1:34" x14ac:dyDescent="0.2">
      <c r="A59" s="1" t="s">
        <v>41</v>
      </c>
      <c r="O59" s="1">
        <v>-282</v>
      </c>
      <c r="P59" s="1">
        <v>-406</v>
      </c>
      <c r="Q59" s="1">
        <v>-2164</v>
      </c>
    </row>
    <row r="60" spans="1:34" x14ac:dyDescent="0.2">
      <c r="A60" s="1" t="s">
        <v>42</v>
      </c>
      <c r="O60" s="1">
        <v>-20</v>
      </c>
      <c r="P60" s="1">
        <v>47</v>
      </c>
      <c r="Q60" s="1">
        <v>-7</v>
      </c>
    </row>
    <row r="62" spans="1:34" x14ac:dyDescent="0.2">
      <c r="A62" s="1" t="s">
        <v>43</v>
      </c>
      <c r="O62" s="1">
        <v>-550</v>
      </c>
      <c r="P62" s="1">
        <v>-2215</v>
      </c>
      <c r="Q62" s="1">
        <v>822</v>
      </c>
    </row>
    <row r="63" spans="1:34" x14ac:dyDescent="0.2">
      <c r="A63" s="1" t="s">
        <v>44</v>
      </c>
      <c r="O63" s="1">
        <v>-524</v>
      </c>
      <c r="P63" s="1">
        <v>-774</v>
      </c>
      <c r="Q63" s="1">
        <v>-2554</v>
      </c>
    </row>
    <row r="64" spans="1:34" x14ac:dyDescent="0.2">
      <c r="A64" s="1" t="s">
        <v>45</v>
      </c>
      <c r="O64" s="1">
        <v>-394</v>
      </c>
      <c r="P64" s="1">
        <v>-1715</v>
      </c>
      <c r="Q64" s="1">
        <v>-1517</v>
      </c>
    </row>
    <row r="65" spans="1:34" x14ac:dyDescent="0.2">
      <c r="A65" s="1" t="s">
        <v>46</v>
      </c>
      <c r="O65" s="1">
        <v>312</v>
      </c>
      <c r="P65" s="1">
        <v>568</v>
      </c>
      <c r="Q65" s="1">
        <v>-1517</v>
      </c>
    </row>
    <row r="66" spans="1:34" x14ac:dyDescent="0.2">
      <c r="A66" s="1" t="s">
        <v>47</v>
      </c>
      <c r="O66" s="1">
        <v>290</v>
      </c>
      <c r="P66" s="1">
        <v>581</v>
      </c>
      <c r="Q66" s="1">
        <v>1341</v>
      </c>
    </row>
    <row r="67" spans="1:34" x14ac:dyDescent="0.2">
      <c r="A67" s="1" t="s">
        <v>48</v>
      </c>
      <c r="O67" s="1">
        <v>163</v>
      </c>
      <c r="P67" s="1">
        <v>192</v>
      </c>
      <c r="Q67" s="1">
        <v>252</v>
      </c>
    </row>
    <row r="68" spans="1:34" x14ac:dyDescent="0.2">
      <c r="A68" s="3" t="s">
        <v>56</v>
      </c>
      <c r="O68" s="1">
        <f>O53+O55+O56+O57+O58+O59+O60+O62+O63+O64+O65+O66+O67</f>
        <v>5822</v>
      </c>
      <c r="P68" s="1">
        <f>P53+P55+P56+P57+P58+P59+P60+P62+P63+P64+P65+P66+P67</f>
        <v>9108</v>
      </c>
      <c r="Q68" s="7">
        <f>Q53+Q55+Q56+Q57+Q58+Q59+Q60+Q62+Q63+Q64+Q65+Q66+Q67</f>
        <v>4675</v>
      </c>
      <c r="R68" s="7">
        <f t="shared" ref="R68:AH68" si="110">R53+R55+R56+R57+R58+R59+R60+R62+R63+R64+R65+R66+R67</f>
        <v>2617.7184782608697</v>
      </c>
      <c r="S68" s="7">
        <f t="shared" si="110"/>
        <v>2879.4903260869564</v>
      </c>
      <c r="T68" s="7">
        <f t="shared" si="110"/>
        <v>3167.4393586956526</v>
      </c>
      <c r="U68" s="7">
        <f t="shared" si="110"/>
        <v>3484.1832945652177</v>
      </c>
      <c r="V68" s="7">
        <f t="shared" si="110"/>
        <v>3832.60162402174</v>
      </c>
      <c r="W68" s="7">
        <f t="shared" si="110"/>
        <v>4215.8617864239141</v>
      </c>
      <c r="X68" s="7">
        <f t="shared" si="110"/>
        <v>4637.4479650663052</v>
      </c>
      <c r="Y68" s="7">
        <f t="shared" si="110"/>
        <v>5101.1927615729355</v>
      </c>
      <c r="Z68" s="7">
        <f t="shared" si="110"/>
        <v>5343.3259698906895</v>
      </c>
      <c r="AA68" s="7">
        <f t="shared" si="110"/>
        <v>5503.6257489874106</v>
      </c>
      <c r="AB68" s="7">
        <f t="shared" si="110"/>
        <v>5668.7345214570323</v>
      </c>
      <c r="AC68" s="7">
        <f t="shared" si="110"/>
        <v>5838.7965571007435</v>
      </c>
      <c r="AD68" s="7">
        <f t="shared" si="110"/>
        <v>6013.9604538137655</v>
      </c>
      <c r="AE68" s="7">
        <f t="shared" si="110"/>
        <v>6194.3792674281794</v>
      </c>
      <c r="AF68" s="7">
        <f t="shared" si="110"/>
        <v>6380.2106454510258</v>
      </c>
      <c r="AG68" s="7">
        <f t="shared" si="110"/>
        <v>6571.6169648145578</v>
      </c>
      <c r="AH68" s="7">
        <f t="shared" si="110"/>
        <v>6768.7654737589946</v>
      </c>
    </row>
    <row r="70" spans="1:34" x14ac:dyDescent="0.2">
      <c r="A70" s="3" t="s">
        <v>49</v>
      </c>
    </row>
    <row r="71" spans="1:34" x14ac:dyDescent="0.2">
      <c r="A71" s="1" t="s">
        <v>50</v>
      </c>
      <c r="O71" s="1">
        <v>8792</v>
      </c>
      <c r="P71" s="1">
        <v>15197</v>
      </c>
      <c r="Q71" s="1">
        <v>19425</v>
      </c>
    </row>
    <row r="72" spans="1:34" x14ac:dyDescent="0.2">
      <c r="A72" s="1" t="s">
        <v>51</v>
      </c>
      <c r="O72" s="1">
        <v>527</v>
      </c>
      <c r="P72" s="1">
        <v>1023</v>
      </c>
      <c r="Q72" s="1">
        <v>1806</v>
      </c>
    </row>
    <row r="73" spans="1:34" x14ac:dyDescent="0.2">
      <c r="A73" s="1" t="s">
        <v>52</v>
      </c>
      <c r="O73" s="1">
        <v>-19308</v>
      </c>
      <c r="P73" s="1">
        <v>-24787</v>
      </c>
      <c r="Q73" s="1">
        <v>-11897</v>
      </c>
    </row>
    <row r="74" spans="1:34" x14ac:dyDescent="0.2">
      <c r="A74" s="1" t="s">
        <v>53</v>
      </c>
      <c r="O74" s="1">
        <v>-1128</v>
      </c>
      <c r="P74" s="1">
        <v>-976</v>
      </c>
      <c r="Q74" s="1">
        <v>-1833</v>
      </c>
    </row>
    <row r="75" spans="1:34" x14ac:dyDescent="0.2">
      <c r="A75" s="1" t="s">
        <v>54</v>
      </c>
      <c r="O75" s="1">
        <v>-8524</v>
      </c>
      <c r="P75" s="1">
        <v>-263</v>
      </c>
      <c r="Q75" s="1">
        <v>-49</v>
      </c>
    </row>
    <row r="76" spans="1:34" x14ac:dyDescent="0.2">
      <c r="A76" s="1" t="s">
        <v>55</v>
      </c>
      <c r="O76" s="1">
        <v>-34</v>
      </c>
      <c r="P76" s="1">
        <v>-24</v>
      </c>
      <c r="Q76" s="1">
        <v>-77</v>
      </c>
    </row>
    <row r="77" spans="1:34" x14ac:dyDescent="0.2">
      <c r="A77" s="3" t="s">
        <v>49</v>
      </c>
      <c r="O77" s="1">
        <f>O71+O72+O73+O74+O75+O76</f>
        <v>-19675</v>
      </c>
      <c r="P77" s="1">
        <f>P71+P72+P73+P74+P75+P76</f>
        <v>-9830</v>
      </c>
      <c r="Q77" s="1">
        <f>Q71+Q72+Q73+Q74+Q75+Q76</f>
        <v>7375</v>
      </c>
      <c r="R77" s="1">
        <f t="shared" ref="R77:AH77" si="111">R71+R72+R73+R74+R75+R76</f>
        <v>0</v>
      </c>
      <c r="S77" s="1">
        <f t="shared" si="111"/>
        <v>0</v>
      </c>
      <c r="T77" s="1">
        <f t="shared" si="111"/>
        <v>0</v>
      </c>
      <c r="U77" s="1">
        <f t="shared" si="111"/>
        <v>0</v>
      </c>
      <c r="V77" s="1">
        <f t="shared" si="111"/>
        <v>0</v>
      </c>
      <c r="W77" s="1">
        <f t="shared" si="111"/>
        <v>0</v>
      </c>
      <c r="X77" s="1">
        <f t="shared" si="111"/>
        <v>0</v>
      </c>
      <c r="Y77" s="1">
        <f t="shared" si="111"/>
        <v>0</v>
      </c>
      <c r="Z77" s="1">
        <f t="shared" si="111"/>
        <v>0</v>
      </c>
      <c r="AA77" s="1">
        <f t="shared" si="111"/>
        <v>0</v>
      </c>
      <c r="AB77" s="1">
        <f t="shared" si="111"/>
        <v>0</v>
      </c>
      <c r="AC77" s="1">
        <f t="shared" si="111"/>
        <v>0</v>
      </c>
      <c r="AD77" s="1">
        <f t="shared" si="111"/>
        <v>0</v>
      </c>
      <c r="AE77" s="1">
        <f t="shared" si="111"/>
        <v>0</v>
      </c>
      <c r="AF77" s="1">
        <f t="shared" si="111"/>
        <v>0</v>
      </c>
      <c r="AG77" s="1">
        <f t="shared" si="111"/>
        <v>0</v>
      </c>
      <c r="AH77" s="1">
        <f t="shared" si="111"/>
        <v>0</v>
      </c>
    </row>
    <row r="79" spans="1:34" x14ac:dyDescent="0.2">
      <c r="A79" s="3" t="s">
        <v>57</v>
      </c>
    </row>
    <row r="80" spans="1:34" x14ac:dyDescent="0.2">
      <c r="A80" s="1" t="s">
        <v>58</v>
      </c>
      <c r="O80" s="1">
        <v>194</v>
      </c>
      <c r="P80" s="1">
        <v>281</v>
      </c>
      <c r="Q80" s="1">
        <v>355</v>
      </c>
    </row>
    <row r="81" spans="1:34" x14ac:dyDescent="0.2">
      <c r="A81" s="1" t="s">
        <v>59</v>
      </c>
      <c r="Q81" s="1">
        <v>-10039</v>
      </c>
    </row>
    <row r="82" spans="1:34" x14ac:dyDescent="0.2">
      <c r="A82" s="1" t="s">
        <v>60</v>
      </c>
      <c r="O82" s="1">
        <v>-942</v>
      </c>
      <c r="P82" s="1">
        <v>-1904</v>
      </c>
      <c r="Q82" s="1">
        <v>-1475</v>
      </c>
    </row>
    <row r="83" spans="1:34" x14ac:dyDescent="0.2">
      <c r="A83" s="1" t="s">
        <v>61</v>
      </c>
      <c r="O83" s="1">
        <v>-395</v>
      </c>
      <c r="P83" s="1">
        <v>-399</v>
      </c>
      <c r="Q83" s="1">
        <v>-398</v>
      </c>
    </row>
    <row r="84" spans="1:34" x14ac:dyDescent="0.2">
      <c r="A84" s="1" t="s">
        <v>62</v>
      </c>
      <c r="O84" s="1">
        <v>-17</v>
      </c>
      <c r="P84" s="1">
        <v>-83</v>
      </c>
      <c r="Q84" s="1">
        <v>-58</v>
      </c>
    </row>
    <row r="85" spans="1:34" x14ac:dyDescent="0.2">
      <c r="A85" s="1" t="s">
        <v>63</v>
      </c>
      <c r="O85" s="1">
        <v>4968</v>
      </c>
      <c r="P85" s="1">
        <v>4977</v>
      </c>
    </row>
    <row r="86" spans="1:34" x14ac:dyDescent="0.2">
      <c r="A86" s="1" t="s">
        <v>64</v>
      </c>
      <c r="P86" s="1">
        <v>-1000</v>
      </c>
    </row>
    <row r="87" spans="1:34" x14ac:dyDescent="0.2">
      <c r="A87" s="1" t="s">
        <v>42</v>
      </c>
      <c r="O87" s="1">
        <v>-4</v>
      </c>
      <c r="P87" s="1">
        <v>-7</v>
      </c>
      <c r="Q87" s="1">
        <v>-2</v>
      </c>
    </row>
    <row r="88" spans="1:34" x14ac:dyDescent="0.2">
      <c r="A88" s="3" t="s">
        <v>57</v>
      </c>
      <c r="O88" s="1">
        <f>O80+O81+O82+O83+O84+O85+O86+O87</f>
        <v>3804</v>
      </c>
      <c r="P88" s="1">
        <f>P80+P81+P82+P83+P84+P85+P86+P87</f>
        <v>1865</v>
      </c>
      <c r="Q88" s="1">
        <f>Q80+Q81+Q82+Q83+Q84+Q85+Q86+Q87</f>
        <v>-11617</v>
      </c>
      <c r="R88" s="1">
        <f t="shared" ref="R88:AH88" si="112">R80+R81+R82+R83+R84+R85+R86+R87</f>
        <v>0</v>
      </c>
      <c r="S88" s="1">
        <f t="shared" si="112"/>
        <v>0</v>
      </c>
      <c r="T88" s="1">
        <f t="shared" si="112"/>
        <v>0</v>
      </c>
      <c r="U88" s="1">
        <f t="shared" si="112"/>
        <v>0</v>
      </c>
      <c r="V88" s="1">
        <f t="shared" si="112"/>
        <v>0</v>
      </c>
      <c r="W88" s="1">
        <f t="shared" si="112"/>
        <v>0</v>
      </c>
      <c r="X88" s="1">
        <f t="shared" si="112"/>
        <v>0</v>
      </c>
      <c r="Y88" s="1">
        <f t="shared" si="112"/>
        <v>0</v>
      </c>
      <c r="Z88" s="1">
        <f t="shared" si="112"/>
        <v>0</v>
      </c>
      <c r="AA88" s="1">
        <f t="shared" si="112"/>
        <v>0</v>
      </c>
      <c r="AB88" s="1">
        <f t="shared" si="112"/>
        <v>0</v>
      </c>
      <c r="AC88" s="1">
        <f t="shared" si="112"/>
        <v>0</v>
      </c>
      <c r="AD88" s="1">
        <f t="shared" si="112"/>
        <v>0</v>
      </c>
      <c r="AE88" s="1">
        <f t="shared" si="112"/>
        <v>0</v>
      </c>
      <c r="AF88" s="1">
        <f t="shared" si="112"/>
        <v>0</v>
      </c>
      <c r="AG88" s="1">
        <f t="shared" si="112"/>
        <v>0</v>
      </c>
      <c r="AH88" s="1">
        <f t="shared" si="112"/>
        <v>0</v>
      </c>
    </row>
    <row r="90" spans="1:34" x14ac:dyDescent="0.2">
      <c r="A90" s="1" t="s">
        <v>74</v>
      </c>
      <c r="O90" s="1">
        <f>O88+O77+O68</f>
        <v>-10049</v>
      </c>
      <c r="P90" s="1">
        <f t="shared" ref="P90:Q90" si="113">P88+P77+P68</f>
        <v>1143</v>
      </c>
      <c r="Q90" s="1">
        <f t="shared" si="113"/>
        <v>433</v>
      </c>
    </row>
    <row r="91" spans="1:34" x14ac:dyDescent="0.2">
      <c r="A91" s="1" t="s">
        <v>75</v>
      </c>
      <c r="O91" s="1">
        <f>10896</f>
        <v>10896</v>
      </c>
      <c r="P91" s="1">
        <f>O92</f>
        <v>847</v>
      </c>
      <c r="Q91" s="1">
        <f>P92</f>
        <v>1990</v>
      </c>
    </row>
    <row r="92" spans="1:34" x14ac:dyDescent="0.2">
      <c r="A92" s="1" t="s">
        <v>76</v>
      </c>
      <c r="O92" s="1">
        <f>O91+O90</f>
        <v>847</v>
      </c>
      <c r="P92" s="1">
        <f>P91+P90</f>
        <v>1990</v>
      </c>
      <c r="Q92" s="1">
        <f>Q91+Q90</f>
        <v>2423</v>
      </c>
    </row>
    <row r="94" spans="1:34" x14ac:dyDescent="0.2">
      <c r="A94" s="3" t="s">
        <v>77</v>
      </c>
    </row>
    <row r="95" spans="1:34" x14ac:dyDescent="0.2">
      <c r="A95" s="1" t="s">
        <v>56</v>
      </c>
      <c r="O95" s="1">
        <f>O68</f>
        <v>5822</v>
      </c>
      <c r="P95" s="1">
        <f t="shared" ref="P95:Q95" si="114">P68</f>
        <v>9108</v>
      </c>
      <c r="Q95" s="1">
        <f t="shared" si="114"/>
        <v>4675</v>
      </c>
    </row>
    <row r="96" spans="1:34" x14ac:dyDescent="0.2">
      <c r="A96" s="1" t="s">
        <v>38</v>
      </c>
      <c r="O96" s="1">
        <f>O55</f>
        <v>1397</v>
      </c>
      <c r="P96" s="1">
        <f t="shared" ref="P96:Q96" si="115">P55</f>
        <v>2004</v>
      </c>
      <c r="Q96" s="1">
        <f t="shared" si="115"/>
        <v>2709</v>
      </c>
    </row>
    <row r="97" spans="1:17" x14ac:dyDescent="0.2">
      <c r="A97" s="1" t="s">
        <v>53</v>
      </c>
      <c r="O97" s="1">
        <f>O74</f>
        <v>-1128</v>
      </c>
      <c r="P97" s="1">
        <f t="shared" ref="P97:Q97" si="116">P74</f>
        <v>-976</v>
      </c>
      <c r="Q97" s="1">
        <f t="shared" si="116"/>
        <v>-1833</v>
      </c>
    </row>
    <row r="98" spans="1:17" x14ac:dyDescent="0.2">
      <c r="A98" s="1" t="s">
        <v>54</v>
      </c>
      <c r="O98" s="1">
        <f>O75</f>
        <v>-8524</v>
      </c>
      <c r="P98" s="1">
        <f t="shared" ref="P98:Q98" si="117">P75</f>
        <v>-263</v>
      </c>
      <c r="Q98" s="1">
        <f t="shared" si="117"/>
        <v>-49</v>
      </c>
    </row>
    <row r="100" spans="1:17" x14ac:dyDescent="0.2">
      <c r="A100" s="1" t="s">
        <v>77</v>
      </c>
      <c r="O100" s="1">
        <f>O95-O96+O97+O98</f>
        <v>-5227</v>
      </c>
      <c r="P100" s="1">
        <f t="shared" ref="P100:Q100" si="118">P95-P96+P97+P98</f>
        <v>5865</v>
      </c>
      <c r="Q100" s="1">
        <f t="shared" si="118"/>
        <v>84</v>
      </c>
    </row>
    <row r="102" spans="1:17" x14ac:dyDescent="0.2">
      <c r="A102" s="1" t="s">
        <v>108</v>
      </c>
    </row>
    <row r="103" spans="1:17" x14ac:dyDescent="0.2">
      <c r="A103" s="1" t="s">
        <v>34</v>
      </c>
      <c r="O103" s="4">
        <f>O$100/O49</f>
        <v>-2.118767734089988</v>
      </c>
      <c r="P103" s="4">
        <f t="shared" ref="P103:Q103" si="119">P$100/P49</f>
        <v>2.3497596153846154</v>
      </c>
      <c r="Q103" s="4">
        <f t="shared" si="119"/>
        <v>3.3775633293124246E-2</v>
      </c>
    </row>
    <row r="104" spans="1:17" x14ac:dyDescent="0.2">
      <c r="A104" s="1" t="s">
        <v>35</v>
      </c>
      <c r="O104" s="4">
        <f>O$100/O50</f>
        <v>-2.0824701195219122</v>
      </c>
      <c r="P104" s="4">
        <f t="shared" ref="P104:Q104" si="120">P$100/P50</f>
        <v>2.3136094674556213</v>
      </c>
      <c r="Q104" s="4">
        <f t="shared" si="120"/>
        <v>3.3506182688472275E-2</v>
      </c>
    </row>
    <row r="105" spans="1:17" s="6" customFormat="1" x14ac:dyDescent="0.2">
      <c r="A105" s="5" t="s">
        <v>78</v>
      </c>
    </row>
    <row r="107" spans="1:17" x14ac:dyDescent="0.2">
      <c r="A107" s="1" t="s">
        <v>99</v>
      </c>
      <c r="Q107" s="1">
        <v>1990</v>
      </c>
    </row>
    <row r="108" spans="1:17" x14ac:dyDescent="0.2">
      <c r="A108" s="1" t="s">
        <v>79</v>
      </c>
      <c r="Q108" s="1">
        <v>19218</v>
      </c>
    </row>
    <row r="109" spans="1:17" x14ac:dyDescent="0.2">
      <c r="A109" s="1" t="s">
        <v>80</v>
      </c>
      <c r="Q109" s="1">
        <v>4650</v>
      </c>
    </row>
    <row r="110" spans="1:17" x14ac:dyDescent="0.2">
      <c r="A110" s="1" t="s">
        <v>44</v>
      </c>
      <c r="Q110" s="1">
        <v>2605</v>
      </c>
    </row>
    <row r="111" spans="1:17" x14ac:dyDescent="0.2">
      <c r="A111" s="1" t="s">
        <v>45</v>
      </c>
      <c r="Q111" s="1">
        <v>366</v>
      </c>
    </row>
    <row r="112" spans="1:17" x14ac:dyDescent="0.2">
      <c r="A112" s="1" t="s">
        <v>81</v>
      </c>
      <c r="Q112" s="1">
        <f>Q111+Q110+Q109+Q108+Q107</f>
        <v>28829</v>
      </c>
    </row>
    <row r="114" spans="1:17" x14ac:dyDescent="0.2">
      <c r="A114" s="1" t="s">
        <v>82</v>
      </c>
      <c r="Q114" s="1">
        <v>2778</v>
      </c>
    </row>
    <row r="115" spans="1:17" x14ac:dyDescent="0.2">
      <c r="A115" s="1" t="s">
        <v>83</v>
      </c>
      <c r="Q115" s="1">
        <v>829</v>
      </c>
    </row>
    <row r="116" spans="1:17" x14ac:dyDescent="0.2">
      <c r="A116" s="1" t="s">
        <v>84</v>
      </c>
      <c r="Q116" s="1">
        <v>4349</v>
      </c>
    </row>
    <row r="117" spans="1:17" x14ac:dyDescent="0.2">
      <c r="A117" s="1" t="s">
        <v>85</v>
      </c>
      <c r="Q117" s="1">
        <v>2339</v>
      </c>
    </row>
    <row r="118" spans="1:17" x14ac:dyDescent="0.2">
      <c r="A118" s="1" t="s">
        <v>86</v>
      </c>
      <c r="Q118" s="1">
        <v>1222</v>
      </c>
    </row>
    <row r="119" spans="1:17" x14ac:dyDescent="0.2">
      <c r="A119" s="1" t="s">
        <v>42</v>
      </c>
      <c r="Q119" s="1">
        <v>3841</v>
      </c>
    </row>
    <row r="120" spans="1:17" x14ac:dyDescent="0.2">
      <c r="A120" s="1" t="s">
        <v>87</v>
      </c>
      <c r="Q120" s="1">
        <f>Q112+Q114+Q115+Q116+Q117+Q118+Q119</f>
        <v>44187</v>
      </c>
    </row>
    <row r="122" spans="1:17" x14ac:dyDescent="0.2">
      <c r="A122" s="1" t="s">
        <v>46</v>
      </c>
      <c r="Q122" s="1">
        <v>1783</v>
      </c>
    </row>
    <row r="123" spans="1:17" x14ac:dyDescent="0.2">
      <c r="A123" s="1" t="s">
        <v>47</v>
      </c>
      <c r="Q123" s="1">
        <v>2552</v>
      </c>
    </row>
    <row r="124" spans="1:17" x14ac:dyDescent="0.2">
      <c r="A124" s="1" t="s">
        <v>88</v>
      </c>
    </row>
    <row r="125" spans="1:17" x14ac:dyDescent="0.2">
      <c r="A125" s="1" t="s">
        <v>89</v>
      </c>
      <c r="Q125" s="1">
        <f>Q124+Q123+Q122</f>
        <v>4335</v>
      </c>
    </row>
    <row r="126" spans="1:17" x14ac:dyDescent="0.2">
      <c r="A126" s="1" t="s">
        <v>90</v>
      </c>
      <c r="Q126" s="1">
        <v>10946</v>
      </c>
    </row>
    <row r="127" spans="1:17" x14ac:dyDescent="0.2">
      <c r="A127" s="1" t="s">
        <v>91</v>
      </c>
      <c r="Q127" s="1">
        <v>741</v>
      </c>
    </row>
    <row r="128" spans="1:17" x14ac:dyDescent="0.2">
      <c r="A128" s="1" t="s">
        <v>48</v>
      </c>
      <c r="Q128" s="1">
        <v>1553</v>
      </c>
    </row>
    <row r="129" spans="1:17" x14ac:dyDescent="0.2">
      <c r="A129" s="1" t="s">
        <v>100</v>
      </c>
      <c r="Q129" s="1">
        <f>Q124+Q125+Q126+Q127+Q128</f>
        <v>17575</v>
      </c>
    </row>
    <row r="131" spans="1:17" x14ac:dyDescent="0.2">
      <c r="A131" s="1" t="s">
        <v>92</v>
      </c>
    </row>
    <row r="132" spans="1:17" x14ac:dyDescent="0.2">
      <c r="A132" s="1" t="s">
        <v>93</v>
      </c>
      <c r="Q132" s="1">
        <v>3</v>
      </c>
    </row>
    <row r="133" spans="1:17" x14ac:dyDescent="0.2">
      <c r="A133" s="1" t="s">
        <v>94</v>
      </c>
      <c r="Q133" s="1">
        <v>10385</v>
      </c>
    </row>
    <row r="134" spans="1:17" x14ac:dyDescent="0.2">
      <c r="A134" s="1" t="s">
        <v>95</v>
      </c>
      <c r="Q134" s="1">
        <v>-11</v>
      </c>
    </row>
    <row r="135" spans="1:17" x14ac:dyDescent="0.2">
      <c r="A135" s="1" t="s">
        <v>96</v>
      </c>
      <c r="Q135" s="1">
        <v>16235</v>
      </c>
    </row>
    <row r="136" spans="1:17" x14ac:dyDescent="0.2">
      <c r="A136" s="1" t="s">
        <v>97</v>
      </c>
      <c r="Q136" s="1">
        <f>Q135+Q134+Q133+Q132</f>
        <v>26612</v>
      </c>
    </row>
    <row r="138" spans="1:17" x14ac:dyDescent="0.2">
      <c r="A138" s="1" t="s">
        <v>98</v>
      </c>
      <c r="Q138" s="1">
        <f>Q136+Q129</f>
        <v>44187</v>
      </c>
    </row>
    <row r="139" spans="1:17" x14ac:dyDescent="0.2">
      <c r="A139" s="1" t="s">
        <v>101</v>
      </c>
      <c r="Q139" s="1">
        <f>Q138-Q120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E278-A1F6-B543-B423-3A4B702AAE13}">
  <dimension ref="B2:V11"/>
  <sheetViews>
    <sheetView tabSelected="1" zoomScale="83" workbookViewId="0">
      <selection activeCell="Y13" sqref="Y13"/>
    </sheetView>
  </sheetViews>
  <sheetFormatPr baseColWidth="10" defaultRowHeight="17" x14ac:dyDescent="0.25"/>
  <cols>
    <col min="1" max="1" width="10.83203125" style="9"/>
    <col min="2" max="2" width="9.5" style="9" bestFit="1" customWidth="1"/>
    <col min="3" max="9" width="9.6640625" style="9" bestFit="1" customWidth="1"/>
    <col min="10" max="19" width="10" style="9" bestFit="1" customWidth="1"/>
    <col min="20" max="20" width="10.83203125" style="9"/>
    <col min="21" max="21" width="16.33203125" style="9" bestFit="1" customWidth="1"/>
    <col min="22" max="22" width="11.33203125" style="9" bestFit="1" customWidth="1"/>
    <col min="23" max="16384" width="10.83203125" style="9"/>
  </cols>
  <sheetData>
    <row r="2" spans="2:22" x14ac:dyDescent="0.25">
      <c r="U2" s="10" t="s">
        <v>136</v>
      </c>
      <c r="V2" s="11"/>
    </row>
    <row r="3" spans="2:22" x14ac:dyDescent="0.25">
      <c r="C3" s="10" t="s">
        <v>109</v>
      </c>
      <c r="D3" s="12" t="s">
        <v>110</v>
      </c>
      <c r="E3" s="12" t="s">
        <v>111</v>
      </c>
      <c r="F3" s="12" t="s">
        <v>112</v>
      </c>
      <c r="G3" s="12" t="s">
        <v>113</v>
      </c>
      <c r="H3" s="12" t="s">
        <v>115</v>
      </c>
      <c r="I3" s="12" t="s">
        <v>114</v>
      </c>
      <c r="J3" s="12" t="s">
        <v>116</v>
      </c>
      <c r="K3" s="12" t="s">
        <v>117</v>
      </c>
      <c r="L3" s="12" t="s">
        <v>118</v>
      </c>
      <c r="M3" s="12" t="s">
        <v>121</v>
      </c>
      <c r="N3" s="12" t="s">
        <v>122</v>
      </c>
      <c r="O3" s="12" t="s">
        <v>123</v>
      </c>
      <c r="P3" s="12" t="s">
        <v>124</v>
      </c>
      <c r="Q3" s="12" t="s">
        <v>125</v>
      </c>
      <c r="R3" s="12" t="s">
        <v>119</v>
      </c>
      <c r="S3" s="13" t="s">
        <v>120</v>
      </c>
      <c r="U3" s="24" t="s">
        <v>137</v>
      </c>
      <c r="V3" s="25"/>
    </row>
    <row r="4" spans="2:22" x14ac:dyDescent="0.25">
      <c r="C4" s="14">
        <v>45320</v>
      </c>
      <c r="D4" s="15">
        <f t="shared" ref="D4:S4" si="0">C4+365</f>
        <v>45685</v>
      </c>
      <c r="E4" s="15">
        <f>D4+367</f>
        <v>46052</v>
      </c>
      <c r="F4" s="15">
        <f t="shared" si="0"/>
        <v>46417</v>
      </c>
      <c r="G4" s="15">
        <f t="shared" si="0"/>
        <v>46782</v>
      </c>
      <c r="H4" s="15">
        <f t="shared" si="0"/>
        <v>47147</v>
      </c>
      <c r="I4" s="15">
        <f t="shared" si="0"/>
        <v>47512</v>
      </c>
      <c r="J4" s="15">
        <f t="shared" si="0"/>
        <v>47877</v>
      </c>
      <c r="K4" s="15">
        <f>J4+366</f>
        <v>48243</v>
      </c>
      <c r="L4" s="15">
        <f t="shared" si="0"/>
        <v>48608</v>
      </c>
      <c r="M4" s="15">
        <f>L4+365</f>
        <v>48973</v>
      </c>
      <c r="N4" s="15">
        <f t="shared" si="0"/>
        <v>49338</v>
      </c>
      <c r="O4" s="15">
        <f t="shared" si="0"/>
        <v>49703</v>
      </c>
      <c r="P4" s="15">
        <f t="shared" si="0"/>
        <v>50068</v>
      </c>
      <c r="Q4" s="15">
        <f t="shared" si="0"/>
        <v>50433</v>
      </c>
      <c r="R4" s="15">
        <f t="shared" si="0"/>
        <v>50798</v>
      </c>
      <c r="S4" s="16">
        <f t="shared" si="0"/>
        <v>51163</v>
      </c>
      <c r="U4" s="17" t="s">
        <v>128</v>
      </c>
      <c r="V4" s="21">
        <f>Model!Q107+Model!Q108+Model!Q109+Model!Q110+Model!Q118</f>
        <v>29685</v>
      </c>
    </row>
    <row r="5" spans="2:22" x14ac:dyDescent="0.25">
      <c r="B5" s="9" t="s">
        <v>4</v>
      </c>
      <c r="C5" s="18">
        <f>Model!R22</f>
        <v>32372.6</v>
      </c>
      <c r="D5" s="18">
        <f>Model!S22</f>
        <v>39403.788000000008</v>
      </c>
      <c r="E5" s="18">
        <f>Model!T22</f>
        <v>48459.990080000003</v>
      </c>
      <c r="F5" s="18">
        <f>Model!U22</f>
        <v>56489.415564800016</v>
      </c>
      <c r="G5" s="18">
        <f>Model!V22</f>
        <v>65952.123942688006</v>
      </c>
      <c r="H5" s="18">
        <f>Model!W22</f>
        <v>77186.359911649299</v>
      </c>
      <c r="I5" s="18">
        <f>Model!X22</f>
        <v>90538.077784788242</v>
      </c>
      <c r="J5" s="18">
        <f>Model!Y22</f>
        <v>106377.47931549454</v>
      </c>
      <c r="K5" s="18">
        <f>Model!Z22</f>
        <v>124748.22932307946</v>
      </c>
      <c r="L5" s="18">
        <f>Model!AA22</f>
        <v>146696.52298334849</v>
      </c>
      <c r="M5" s="18">
        <f>Model!AB22</f>
        <v>172932.70309856333</v>
      </c>
      <c r="N5" s="18">
        <f>Model!AC22</f>
        <v>204308.78927850581</v>
      </c>
      <c r="O5" s="18">
        <f>Model!AD22</f>
        <v>223528.61412609107</v>
      </c>
      <c r="P5" s="18">
        <f>Model!AE22</f>
        <v>244640.82490419049</v>
      </c>
      <c r="Q5" s="18">
        <f>Model!AF22</f>
        <v>267833.76272094972</v>
      </c>
      <c r="R5" s="18">
        <f>Model!AG22</f>
        <v>293314.56736112846</v>
      </c>
      <c r="S5" s="18">
        <f>Model!AH22</f>
        <v>321311.05543844379</v>
      </c>
      <c r="U5" s="17" t="s">
        <v>129</v>
      </c>
      <c r="V5" s="21">
        <f>Model!Q122+Model!Q126</f>
        <v>12729</v>
      </c>
    </row>
    <row r="6" spans="2:22" x14ac:dyDescent="0.25">
      <c r="B6" s="9" t="s">
        <v>106</v>
      </c>
      <c r="C6" s="19">
        <v>0.2</v>
      </c>
      <c r="D6" s="19">
        <f>D5/C5-1</f>
        <v>0.21719565311405353</v>
      </c>
      <c r="E6" s="19">
        <f t="shared" ref="E6:S6" si="1">E5/D5-1</f>
        <v>0.22983074825191907</v>
      </c>
      <c r="F6" s="19">
        <f t="shared" si="1"/>
        <v>0.16569185159849731</v>
      </c>
      <c r="G6" s="19">
        <f t="shared" si="1"/>
        <v>0.16751294527083838</v>
      </c>
      <c r="H6" s="19">
        <f t="shared" si="1"/>
        <v>0.17033925971396724</v>
      </c>
      <c r="I6" s="19">
        <f t="shared" si="1"/>
        <v>0.17298027641699742</v>
      </c>
      <c r="J6" s="19">
        <f t="shared" si="1"/>
        <v>0.17494740244383178</v>
      </c>
      <c r="K6" s="19">
        <f t="shared" si="1"/>
        <v>0.17269397738877523</v>
      </c>
      <c r="L6" s="19">
        <f t="shared" si="1"/>
        <v>0.17594072300157615</v>
      </c>
      <c r="M6" s="19">
        <f t="shared" si="1"/>
        <v>0.1788466391817134</v>
      </c>
      <c r="N6" s="19">
        <f t="shared" si="1"/>
        <v>0.18143523820395968</v>
      </c>
      <c r="O6" s="19">
        <f t="shared" si="1"/>
        <v>9.4072432788907312E-2</v>
      </c>
      <c r="P6" s="19">
        <f t="shared" si="1"/>
        <v>9.4449701040020706E-2</v>
      </c>
      <c r="Q6" s="19">
        <f t="shared" si="1"/>
        <v>9.4804037003400232E-2</v>
      </c>
      <c r="R6" s="19">
        <f t="shared" si="1"/>
        <v>9.513664140516398E-2</v>
      </c>
      <c r="S6" s="19">
        <f t="shared" si="1"/>
        <v>9.5448679311062268E-2</v>
      </c>
      <c r="U6" s="17" t="s">
        <v>133</v>
      </c>
      <c r="V6" s="20">
        <v>0.1</v>
      </c>
    </row>
    <row r="7" spans="2:22" x14ac:dyDescent="0.25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7" t="s">
        <v>131</v>
      </c>
      <c r="V7" s="20">
        <f>-10%</f>
        <v>-0.1</v>
      </c>
    </row>
    <row r="8" spans="2:22" x14ac:dyDescent="0.25">
      <c r="B8" s="9" t="s">
        <v>126</v>
      </c>
      <c r="C8" s="18">
        <f>Model!R45</f>
        <v>8666.6599999999962</v>
      </c>
      <c r="D8" s="18">
        <f>Model!S45</f>
        <v>11809.682800000006</v>
      </c>
      <c r="E8" s="18">
        <f>Model!T45</f>
        <v>16060.145047999998</v>
      </c>
      <c r="F8" s="18">
        <f>Model!U45</f>
        <v>19576.215438880005</v>
      </c>
      <c r="G8" s="18">
        <f>Model!V45</f>
        <v>23822.097075612797</v>
      </c>
      <c r="H8" s="18">
        <f>Model!W45</f>
        <v>28987.720927989572</v>
      </c>
      <c r="I8" s="18">
        <f>Model!X45</f>
        <v>35266.342149972945</v>
      </c>
      <c r="J8" s="18">
        <f>Model!Y45</f>
        <v>42864.33261630671</v>
      </c>
      <c r="K8" s="18">
        <f>Model!Z45</f>
        <v>52891.793002919963</v>
      </c>
      <c r="L8" s="18">
        <f>Model!AA45</f>
        <v>65402.054861353557</v>
      </c>
      <c r="M8" s="18">
        <f>Model!AB45</f>
        <v>80465.287162622786</v>
      </c>
      <c r="N8" s="18">
        <f>Model!AC45</f>
        <v>98592.108829692806</v>
      </c>
      <c r="O8" s="18">
        <f>Model!AD45</f>
        <v>109404.20879612163</v>
      </c>
      <c r="P8" s="18">
        <f>Model!AE45</f>
        <v>121330.14647259531</v>
      </c>
      <c r="Q8" s="18">
        <f>Model!AF45</f>
        <v>134482.27870855326</v>
      </c>
      <c r="R8" s="18">
        <f>Model!AG45</f>
        <v>148984.22212494005</v>
      </c>
      <c r="S8" s="18">
        <f>Model!AH45</f>
        <v>164971.9794225771</v>
      </c>
      <c r="U8" s="17" t="s">
        <v>132</v>
      </c>
      <c r="V8" s="21">
        <f>NPV(V6,C8:S8)+NPV(V6,NPV(-V7,S8))</f>
        <v>516824.89814885741</v>
      </c>
    </row>
    <row r="9" spans="2:22" x14ac:dyDescent="0.25">
      <c r="B9" s="9" t="s">
        <v>127</v>
      </c>
      <c r="U9" s="17" t="s">
        <v>134</v>
      </c>
      <c r="V9" s="21">
        <f>V8+V4-V5</f>
        <v>533780.89814885741</v>
      </c>
    </row>
    <row r="10" spans="2:22" x14ac:dyDescent="0.25">
      <c r="U10" s="17" t="s">
        <v>130</v>
      </c>
      <c r="V10" s="21">
        <f>Model!Q50</f>
        <v>2507</v>
      </c>
    </row>
    <row r="11" spans="2:22" x14ac:dyDescent="0.25">
      <c r="U11" s="22" t="s">
        <v>135</v>
      </c>
      <c r="V11" s="23">
        <f>V9/V10</f>
        <v>212.91619391657656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DCF &amp;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2023-05-30T16:20:23Z</dcterms:created>
  <dcterms:modified xsi:type="dcterms:W3CDTF">2023-06-03T02:50:30Z</dcterms:modified>
</cp:coreProperties>
</file>