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van/Documents/GitHub/Models/"/>
    </mc:Choice>
  </mc:AlternateContent>
  <xr:revisionPtr revIDLastSave="0" documentId="13_ncr:1_{FF2D6739-40CB-D54D-B06C-0F86CAECAB6D}" xr6:coauthVersionLast="47" xr6:coauthVersionMax="47" xr10:uidLastSave="{00000000-0000-0000-0000-000000000000}"/>
  <bookViews>
    <workbookView xWindow="3600" yWindow="760" windowWidth="25220" windowHeight="14920" activeTab="1" xr2:uid="{AE04E6E4-A652-4DFB-A34B-BE287D9B2752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63" i="2" l="1"/>
  <c r="K63" i="2"/>
  <c r="L63" i="2"/>
  <c r="I63" i="2"/>
  <c r="M48" i="2"/>
  <c r="M47" i="2"/>
  <c r="M18" i="2"/>
  <c r="M19" i="2"/>
  <c r="M17" i="2"/>
  <c r="S14" i="2"/>
  <c r="S13" i="2"/>
  <c r="S12" i="2"/>
  <c r="T13" i="2"/>
  <c r="T14" i="2"/>
  <c r="T12" i="2"/>
  <c r="S10" i="2"/>
  <c r="S9" i="2"/>
  <c r="S7" i="2"/>
  <c r="S6" i="2"/>
  <c r="S32" i="2" s="1"/>
  <c r="S5" i="2"/>
  <c r="S31" i="2" s="1"/>
  <c r="S68" i="2"/>
  <c r="S71" i="2"/>
  <c r="S74" i="2"/>
  <c r="M5" i="2"/>
  <c r="M7" i="2" s="1"/>
  <c r="M6" i="2"/>
  <c r="L58" i="2"/>
  <c r="I38" i="2"/>
  <c r="I42" i="2"/>
  <c r="I44" i="2"/>
  <c r="K35" i="2"/>
  <c r="K38" i="2"/>
  <c r="T31" i="2"/>
  <c r="T33" i="2" s="1"/>
  <c r="T32" i="2"/>
  <c r="T7" i="2"/>
  <c r="T10" i="2" s="1"/>
  <c r="S33" i="2" l="1"/>
  <c r="T35" i="2"/>
  <c r="T36" i="2"/>
  <c r="T9" i="2"/>
  <c r="E53" i="2"/>
  <c r="C7" i="2"/>
  <c r="D81" i="2"/>
  <c r="E69" i="2"/>
  <c r="D69" i="2"/>
  <c r="C69" i="2"/>
  <c r="B69" i="2"/>
  <c r="E72" i="2"/>
  <c r="D72" i="2"/>
  <c r="C72" i="2"/>
  <c r="B72" i="2"/>
  <c r="C75" i="2"/>
  <c r="D75" i="2"/>
  <c r="E75" i="2"/>
  <c r="B75" i="2"/>
  <c r="C65" i="2"/>
  <c r="D65" i="2"/>
  <c r="E65" i="2"/>
  <c r="B65" i="2"/>
  <c r="D7" i="2"/>
  <c r="D10" i="2" s="1"/>
  <c r="E7" i="2"/>
  <c r="E9" i="2" s="1"/>
  <c r="B7" i="2"/>
  <c r="I81" i="2"/>
  <c r="I80" i="2"/>
  <c r="I79" i="2"/>
  <c r="I76" i="2"/>
  <c r="I75" i="2" s="1"/>
  <c r="I73" i="2"/>
  <c r="I72" i="2" s="1"/>
  <c r="I70" i="2"/>
  <c r="I69" i="2" s="1"/>
  <c r="I66" i="2"/>
  <c r="I65" i="2" s="1"/>
  <c r="G65" i="2"/>
  <c r="H65" i="2"/>
  <c r="F65" i="2"/>
  <c r="G69" i="2"/>
  <c r="H69" i="2"/>
  <c r="F69" i="2"/>
  <c r="G72" i="2"/>
  <c r="H72" i="2"/>
  <c r="F72" i="2"/>
  <c r="G75" i="2"/>
  <c r="H75" i="2"/>
  <c r="F75" i="2"/>
  <c r="I48" i="2"/>
  <c r="I47" i="2"/>
  <c r="C31" i="2"/>
  <c r="D31" i="2"/>
  <c r="E31" i="2"/>
  <c r="E35" i="2" s="1"/>
  <c r="E57" i="2" s="1"/>
  <c r="E51" i="2" s="1"/>
  <c r="C32" i="2"/>
  <c r="D32" i="2"/>
  <c r="D36" i="2" s="1"/>
  <c r="D58" i="2" s="1"/>
  <c r="D52" i="2" s="1"/>
  <c r="D54" i="2" s="1"/>
  <c r="E32" i="2"/>
  <c r="B32" i="2"/>
  <c r="B31" i="2"/>
  <c r="J31" i="2"/>
  <c r="K31" i="2"/>
  <c r="L31" i="2"/>
  <c r="J32" i="2"/>
  <c r="K32" i="2"/>
  <c r="L32" i="2"/>
  <c r="I6" i="2"/>
  <c r="I32" i="2" s="1"/>
  <c r="I5" i="2"/>
  <c r="I31" i="2" s="1"/>
  <c r="B33" i="2" l="1"/>
  <c r="C35" i="2"/>
  <c r="D9" i="2"/>
  <c r="C33" i="2"/>
  <c r="C57" i="2"/>
  <c r="C51" i="2" s="1"/>
  <c r="C53" i="2" s="1"/>
  <c r="B36" i="2"/>
  <c r="B58" i="2" s="1"/>
  <c r="B52" i="2" s="1"/>
  <c r="B54" i="2" s="1"/>
  <c r="E52" i="2"/>
  <c r="E54" i="2" s="1"/>
  <c r="C52" i="2"/>
  <c r="C54" i="2" s="1"/>
  <c r="E33" i="2"/>
  <c r="E36" i="2"/>
  <c r="E58" i="2" s="1"/>
  <c r="E10" i="2"/>
  <c r="D33" i="2"/>
  <c r="C10" i="2"/>
  <c r="C36" i="2"/>
  <c r="C58" i="2" s="1"/>
  <c r="C9" i="2"/>
  <c r="B9" i="2"/>
  <c r="B10" i="2"/>
  <c r="B35" i="2"/>
  <c r="B57" i="2" s="1"/>
  <c r="B51" i="2" s="1"/>
  <c r="B53" i="2" s="1"/>
  <c r="D35" i="2"/>
  <c r="D57" i="2" s="1"/>
  <c r="D51" i="2" s="1"/>
  <c r="D53" i="2" s="1"/>
  <c r="K131" i="2"/>
  <c r="K130" i="2"/>
  <c r="L65" i="2"/>
  <c r="L69" i="2"/>
  <c r="K69" i="2"/>
  <c r="J65" i="2"/>
  <c r="J69" i="2"/>
  <c r="J72" i="2"/>
  <c r="L75" i="2"/>
  <c r="J75" i="2"/>
  <c r="K46" i="2"/>
  <c r="I67" i="2"/>
  <c r="L33" i="2"/>
  <c r="K33" i="2"/>
  <c r="J33" i="2"/>
  <c r="I33" i="2"/>
  <c r="H33" i="2"/>
  <c r="G33" i="2"/>
  <c r="F33" i="2"/>
  <c r="K65" i="2"/>
  <c r="H7" i="2"/>
  <c r="H10" i="2" s="1"/>
  <c r="I7" i="2"/>
  <c r="I10" i="2" s="1"/>
  <c r="L7" i="2"/>
  <c r="L9" i="2" s="1"/>
  <c r="J7" i="2"/>
  <c r="J10" i="2" s="1"/>
  <c r="F7" i="2"/>
  <c r="F10" i="2" s="1"/>
  <c r="J122" i="2"/>
  <c r="J110" i="2"/>
  <c r="J115" i="2" s="1"/>
  <c r="J98" i="2"/>
  <c r="J103" i="2" s="1"/>
  <c r="J157" i="2"/>
  <c r="J154" i="2"/>
  <c r="J150" i="2"/>
  <c r="M128" i="2"/>
  <c r="B128" i="2"/>
  <c r="L217" i="2"/>
  <c r="L219" i="2" s="1"/>
  <c r="K73" i="2"/>
  <c r="K76" i="2"/>
  <c r="H20" i="2"/>
  <c r="H24" i="2" s="1"/>
  <c r="H28" i="2" s="1"/>
  <c r="I20" i="2"/>
  <c r="I24" i="2" s="1"/>
  <c r="I28" i="2" s="1"/>
  <c r="L20" i="2"/>
  <c r="L22" i="2" s="1"/>
  <c r="F19" i="2"/>
  <c r="F18" i="2"/>
  <c r="F17" i="2"/>
  <c r="G20" i="2"/>
  <c r="G24" i="2" s="1"/>
  <c r="G28" i="2" s="1"/>
  <c r="J20" i="2"/>
  <c r="J24" i="2" s="1"/>
  <c r="K20" i="2"/>
  <c r="K24" i="2" s="1"/>
  <c r="L35" i="2" l="1"/>
  <c r="I35" i="2"/>
  <c r="F36" i="2"/>
  <c r="I36" i="2"/>
  <c r="H36" i="2"/>
  <c r="J36" i="2"/>
  <c r="H35" i="2"/>
  <c r="L36" i="2"/>
  <c r="J35" i="2"/>
  <c r="J38" i="2" s="1"/>
  <c r="J42" i="2" s="1"/>
  <c r="F35" i="2"/>
  <c r="F57" i="2" s="1"/>
  <c r="F51" i="2" s="1"/>
  <c r="F53" i="2" s="1"/>
  <c r="L10" i="2"/>
  <c r="J9" i="2"/>
  <c r="F9" i="2"/>
  <c r="I9" i="2"/>
  <c r="H9" i="2"/>
  <c r="J124" i="2"/>
  <c r="J125" i="2" s="1"/>
  <c r="L14" i="2"/>
  <c r="F20" i="2"/>
  <c r="F23" i="2" s="1"/>
  <c r="F27" i="2" s="1"/>
  <c r="J22" i="2"/>
  <c r="G22" i="2"/>
  <c r="G26" i="2" s="1"/>
  <c r="L24" i="2"/>
  <c r="L28" i="2" s="1"/>
  <c r="K28" i="2"/>
  <c r="K22" i="2"/>
  <c r="K23" i="2"/>
  <c r="L23" i="2"/>
  <c r="J23" i="2"/>
  <c r="G23" i="2"/>
  <c r="G27" i="2" s="1"/>
  <c r="I22" i="2"/>
  <c r="I26" i="2" s="1"/>
  <c r="I23" i="2"/>
  <c r="I27" i="2" s="1"/>
  <c r="H22" i="2"/>
  <c r="H23" i="2"/>
  <c r="H27" i="2" s="1"/>
  <c r="J247" i="2"/>
  <c r="J248" i="2"/>
  <c r="I248" i="2"/>
  <c r="I247" i="2"/>
  <c r="K248" i="2"/>
  <c r="K247" i="2"/>
  <c r="K233" i="2"/>
  <c r="J210" i="2"/>
  <c r="K210" i="2"/>
  <c r="L210" i="2"/>
  <c r="I210" i="2"/>
  <c r="G12" i="2"/>
  <c r="H12" i="2"/>
  <c r="I12" i="2"/>
  <c r="J12" i="2"/>
  <c r="K12" i="2"/>
  <c r="G13" i="2"/>
  <c r="H13" i="2"/>
  <c r="I13" i="2"/>
  <c r="J13" i="2"/>
  <c r="K13" i="2"/>
  <c r="H14" i="2"/>
  <c r="I14" i="2"/>
  <c r="J14" i="2"/>
  <c r="F14" i="2"/>
  <c r="F13" i="2"/>
  <c r="F12" i="2"/>
  <c r="L13" i="2"/>
  <c r="L12" i="2"/>
  <c r="K7" i="2"/>
  <c r="G7" i="2"/>
  <c r="S3" i="2"/>
  <c r="T3" i="2" s="1"/>
  <c r="U3" i="2" s="1"/>
  <c r="V3" i="2" s="1"/>
  <c r="W3" i="2" s="1"/>
  <c r="X3" i="2" s="1"/>
  <c r="Y3" i="2" s="1"/>
  <c r="Z3" i="2" s="1"/>
  <c r="AA3" i="2" s="1"/>
  <c r="AB3" i="2" s="1"/>
  <c r="E89" i="2"/>
  <c r="F89" i="2"/>
  <c r="G89" i="2"/>
  <c r="H89" i="2"/>
  <c r="I89" i="2"/>
  <c r="J89" i="2"/>
  <c r="K89" i="2"/>
  <c r="L89" i="2"/>
  <c r="D89" i="2"/>
  <c r="L77" i="2"/>
  <c r="L67" i="2"/>
  <c r="D77" i="2"/>
  <c r="E77" i="2"/>
  <c r="F77" i="2"/>
  <c r="G77" i="2"/>
  <c r="H77" i="2"/>
  <c r="I77" i="2"/>
  <c r="J77" i="2"/>
  <c r="K77" i="2"/>
  <c r="C77" i="2"/>
  <c r="D67" i="2"/>
  <c r="E67" i="2"/>
  <c r="F67" i="2"/>
  <c r="G67" i="2"/>
  <c r="H67" i="2"/>
  <c r="J67" i="2"/>
  <c r="K67" i="2"/>
  <c r="C67" i="2"/>
  <c r="C83" i="2"/>
  <c r="L7" i="1"/>
  <c r="L4" i="1"/>
  <c r="H39" i="2" l="1"/>
  <c r="H43" i="2" s="1"/>
  <c r="H58" i="2"/>
  <c r="H52" i="2" s="1"/>
  <c r="H54" i="2" s="1"/>
  <c r="H38" i="2"/>
  <c r="H42" i="2" s="1"/>
  <c r="H57" i="2"/>
  <c r="H51" i="2" s="1"/>
  <c r="H53" i="2" s="1"/>
  <c r="F39" i="2"/>
  <c r="F43" i="2" s="1"/>
  <c r="F58" i="2"/>
  <c r="F52" i="2" s="1"/>
  <c r="F54" i="2" s="1"/>
  <c r="L39" i="2"/>
  <c r="L43" i="2" s="1"/>
  <c r="L52" i="2"/>
  <c r="L54" i="2" s="1"/>
  <c r="J39" i="2"/>
  <c r="J43" i="2" s="1"/>
  <c r="J44" i="2" s="1"/>
  <c r="J58" i="2"/>
  <c r="J52" i="2" s="1"/>
  <c r="J54" i="2" s="1"/>
  <c r="J57" i="2"/>
  <c r="J51" i="2" s="1"/>
  <c r="J53" i="2" s="1"/>
  <c r="I57" i="2"/>
  <c r="I51" i="2" s="1"/>
  <c r="I53" i="2" s="1"/>
  <c r="I39" i="2"/>
  <c r="I43" i="2" s="1"/>
  <c r="I58" i="2"/>
  <c r="I52" i="2" s="1"/>
  <c r="I54" i="2" s="1"/>
  <c r="L38" i="2"/>
  <c r="L57" i="2"/>
  <c r="L51" i="2" s="1"/>
  <c r="L53" i="2" s="1"/>
  <c r="F38" i="2"/>
  <c r="G36" i="2"/>
  <c r="G35" i="2"/>
  <c r="K36" i="2"/>
  <c r="G14" i="2"/>
  <c r="G9" i="2"/>
  <c r="G10" i="2"/>
  <c r="K10" i="2"/>
  <c r="K9" i="2"/>
  <c r="F24" i="2"/>
  <c r="F28" i="2" s="1"/>
  <c r="F22" i="2"/>
  <c r="F26" i="2" s="1"/>
  <c r="J27" i="2"/>
  <c r="K26" i="2"/>
  <c r="L27" i="2"/>
  <c r="K27" i="2"/>
  <c r="L26" i="2"/>
  <c r="H26" i="2"/>
  <c r="J78" i="2"/>
  <c r="J82" i="2" s="1"/>
  <c r="J84" i="2" s="1"/>
  <c r="J128" i="2" s="1"/>
  <c r="J145" i="2" s="1"/>
  <c r="J156" i="2" s="1"/>
  <c r="J158" i="2" s="1"/>
  <c r="K14" i="2"/>
  <c r="C78" i="2"/>
  <c r="C82" i="2" s="1"/>
  <c r="C84" i="2" s="1"/>
  <c r="C128" i="2" s="1"/>
  <c r="L78" i="2"/>
  <c r="L82" i="2" s="1"/>
  <c r="L84" i="2" s="1"/>
  <c r="L128" i="2" s="1"/>
  <c r="G78" i="2"/>
  <c r="G82" i="2" s="1"/>
  <c r="G84" i="2" s="1"/>
  <c r="G128" i="2" s="1"/>
  <c r="D78" i="2"/>
  <c r="D82" i="2" s="1"/>
  <c r="D84" i="2" s="1"/>
  <c r="D128" i="2" s="1"/>
  <c r="K78" i="2"/>
  <c r="K82" i="2" s="1"/>
  <c r="K84" i="2" s="1"/>
  <c r="K128" i="2" s="1"/>
  <c r="E78" i="2"/>
  <c r="E82" i="2" s="1"/>
  <c r="E84" i="2" s="1"/>
  <c r="E128" i="2" s="1"/>
  <c r="H78" i="2"/>
  <c r="H82" i="2" s="1"/>
  <c r="H84" i="2" s="1"/>
  <c r="H128" i="2" s="1"/>
  <c r="F78" i="2"/>
  <c r="F82" i="2" s="1"/>
  <c r="F84" i="2" s="1"/>
  <c r="F128" i="2" s="1"/>
  <c r="I78" i="2"/>
  <c r="I82" i="2" s="1"/>
  <c r="I84" i="2" s="1"/>
  <c r="I128" i="2" s="1"/>
  <c r="J40" i="2" l="1"/>
  <c r="H44" i="2"/>
  <c r="H40" i="2"/>
  <c r="G38" i="2"/>
  <c r="G57" i="2"/>
  <c r="G51" i="2" s="1"/>
  <c r="G53" i="2" s="1"/>
  <c r="G39" i="2"/>
  <c r="G43" i="2" s="1"/>
  <c r="G58" i="2"/>
  <c r="G52" i="2" s="1"/>
  <c r="G54" i="2" s="1"/>
  <c r="F40" i="2"/>
  <c r="F42" i="2"/>
  <c r="F44" i="2" s="1"/>
  <c r="L40" i="2"/>
  <c r="L42" i="2"/>
  <c r="L44" i="2" s="1"/>
  <c r="K42" i="2"/>
  <c r="K57" i="2"/>
  <c r="K51" i="2" s="1"/>
  <c r="K53" i="2" s="1"/>
  <c r="K39" i="2"/>
  <c r="K43" i="2" s="1"/>
  <c r="K58" i="2"/>
  <c r="K52" i="2" s="1"/>
  <c r="K54" i="2" s="1"/>
  <c r="I40" i="2"/>
  <c r="J28" i="2"/>
  <c r="J26" i="2"/>
  <c r="K40" i="2" l="1"/>
  <c r="K44" i="2"/>
  <c r="G40" i="2"/>
  <c r="G42" i="2"/>
  <c r="G44" i="2" s="1"/>
</calcChain>
</file>

<file path=xl/sharedStrings.xml><?xml version="1.0" encoding="utf-8"?>
<sst xmlns="http://schemas.openxmlformats.org/spreadsheetml/2006/main" count="217" uniqueCount="180">
  <si>
    <t>Price</t>
  </si>
  <si>
    <t>Shares</t>
  </si>
  <si>
    <t>MC</t>
  </si>
  <si>
    <t>Cash</t>
  </si>
  <si>
    <t>Debt</t>
  </si>
  <si>
    <t>EV</t>
  </si>
  <si>
    <t>Q122</t>
  </si>
  <si>
    <t>Pretax Income</t>
  </si>
  <si>
    <t>Net Income</t>
  </si>
  <si>
    <t>Revenue Growth</t>
  </si>
  <si>
    <t>Gross Margin</t>
  </si>
  <si>
    <t>Cost of Revenues</t>
  </si>
  <si>
    <t>Sales &amp; Marketing</t>
  </si>
  <si>
    <t>Research &amp; Development</t>
  </si>
  <si>
    <t>Operating Expenses</t>
  </si>
  <si>
    <t>Interest Income</t>
  </si>
  <si>
    <t>Interest Expense</t>
  </si>
  <si>
    <t>EBIT</t>
  </si>
  <si>
    <t>Other Income</t>
  </si>
  <si>
    <t>Provision for Income Taxes</t>
  </si>
  <si>
    <t>Gross Income</t>
  </si>
  <si>
    <t>Cash &amp; Cash Equivlents</t>
  </si>
  <si>
    <t>Accounts Recievable</t>
  </si>
  <si>
    <t>Restricted Cash</t>
  </si>
  <si>
    <t>Net Accounts Recievable</t>
  </si>
  <si>
    <t>Net Property &amp; Equipment</t>
  </si>
  <si>
    <t>Non-current Restricted Cash</t>
  </si>
  <si>
    <t>Operating Lease Right-of-use Assets</t>
  </si>
  <si>
    <t>Other Assets</t>
  </si>
  <si>
    <t>Total Assets</t>
  </si>
  <si>
    <t>Accounts Payable</t>
  </si>
  <si>
    <t>Accrued Liabilities</t>
  </si>
  <si>
    <t>Deferred Revenue</t>
  </si>
  <si>
    <t>Customer Deposits</t>
  </si>
  <si>
    <t>Operating Lease Liabilities</t>
  </si>
  <si>
    <t>Total Current Liabilities</t>
  </si>
  <si>
    <t>Other Deferred Revenue</t>
  </si>
  <si>
    <t>Other Customer Deposits</t>
  </si>
  <si>
    <t>Other Operating Lease Liabilities</t>
  </si>
  <si>
    <t>Other Non-current Liabilities</t>
  </si>
  <si>
    <t>Total Liabilities</t>
  </si>
  <si>
    <t>Common Stock Par</t>
  </si>
  <si>
    <t>Additional Paid-in-Capital</t>
  </si>
  <si>
    <t>Accumulated Deficit</t>
  </si>
  <si>
    <t xml:space="preserve">Total Stockholders' Equity </t>
  </si>
  <si>
    <t>Stockholders' Equity</t>
  </si>
  <si>
    <t>Total Liabilities &amp; Stockholders' Equity</t>
  </si>
  <si>
    <t>Check</t>
  </si>
  <si>
    <t>1Q20A</t>
  </si>
  <si>
    <t>2Q20A</t>
  </si>
  <si>
    <t>3Q20A</t>
  </si>
  <si>
    <t>4Q20A</t>
  </si>
  <si>
    <t>1Q21A</t>
  </si>
  <si>
    <t>2Q21A</t>
  </si>
  <si>
    <t>3Q21A</t>
  </si>
  <si>
    <t>4Q21A</t>
  </si>
  <si>
    <t>1Q22A</t>
  </si>
  <si>
    <t>2Q22A</t>
  </si>
  <si>
    <t>3Q22A</t>
  </si>
  <si>
    <t>FY20A</t>
  </si>
  <si>
    <t>FY21</t>
  </si>
  <si>
    <t>FY23E</t>
  </si>
  <si>
    <t>FY24E</t>
  </si>
  <si>
    <t>FY25E</t>
  </si>
  <si>
    <t>FY26E</t>
  </si>
  <si>
    <t>FY27E</t>
  </si>
  <si>
    <t>FY28E</t>
  </si>
  <si>
    <t>Revenue Build</t>
  </si>
  <si>
    <t>Net Revenues</t>
  </si>
  <si>
    <t>P&amp;L GAAP</t>
  </si>
  <si>
    <t xml:space="preserve">Governement </t>
  </si>
  <si>
    <t>Commercial</t>
  </si>
  <si>
    <t>Government Y/Y</t>
  </si>
  <si>
    <t>Commercial Y/Y</t>
  </si>
  <si>
    <t>Net Revenues Y/Y</t>
  </si>
  <si>
    <t>Consolidated Statement of Cash Flows</t>
  </si>
  <si>
    <t>Cash &amp; Cash Equivalents</t>
  </si>
  <si>
    <t>Money Market Funds</t>
  </si>
  <si>
    <t>Certificates of Deposit</t>
  </si>
  <si>
    <t>Marketable Securities</t>
  </si>
  <si>
    <t>Restricted Cash (Certificates of Deposit)</t>
  </si>
  <si>
    <t>Total</t>
  </si>
  <si>
    <t>Interest Assets</t>
  </si>
  <si>
    <t>Leasehold Improvements</t>
  </si>
  <si>
    <t>Computer Equipment, Software, &amp; Other</t>
  </si>
  <si>
    <t>Furniture &amp; Fixtures</t>
  </si>
  <si>
    <t>Construction in Porgress</t>
  </si>
  <si>
    <t>Gross Property &amp; Equipment</t>
  </si>
  <si>
    <t>Accumulated Depreciation &amp; Amortization</t>
  </si>
  <si>
    <t>Accrued Payroll &amp; Related Expenses</t>
  </si>
  <si>
    <t>Accured Legal</t>
  </si>
  <si>
    <t>Accured Other Liabilities</t>
  </si>
  <si>
    <t>Toal Accrued Liabilities</t>
  </si>
  <si>
    <t>Class A Common Stock</t>
  </si>
  <si>
    <t>Authorized</t>
  </si>
  <si>
    <t>Issued</t>
  </si>
  <si>
    <t>Class B Common Stock</t>
  </si>
  <si>
    <t>Class F Common Stock</t>
  </si>
  <si>
    <t>Common Equity Structure</t>
  </si>
  <si>
    <t>Stock-Based Compensation</t>
  </si>
  <si>
    <t>Stock Options</t>
  </si>
  <si>
    <t>Options Exercised</t>
  </si>
  <si>
    <t>Options Canceled &amp; Forfeited</t>
  </si>
  <si>
    <t>Balance</t>
  </si>
  <si>
    <t>Aggregate Intrinsic Value</t>
  </si>
  <si>
    <t>Weighted- Average Remaining Life</t>
  </si>
  <si>
    <t>Weighted-Average Exercise Price</t>
  </si>
  <si>
    <t>Options Vested &amp; Exercisable</t>
  </si>
  <si>
    <t>RSU's</t>
  </si>
  <si>
    <t>RSU's Granted</t>
  </si>
  <si>
    <t>RSU's Vested &amp; Converted to Shares</t>
  </si>
  <si>
    <t>RSU's Canceled</t>
  </si>
  <si>
    <t>Weighted-Average  Grant Date Fair Value</t>
  </si>
  <si>
    <t>Geographic Mix</t>
  </si>
  <si>
    <t>United States</t>
  </si>
  <si>
    <t>United Kingdom</t>
  </si>
  <si>
    <t>ROW</t>
  </si>
  <si>
    <t>United States %</t>
  </si>
  <si>
    <t>United Kingdom %</t>
  </si>
  <si>
    <t>ROW %</t>
  </si>
  <si>
    <t>United States Y/Y</t>
  </si>
  <si>
    <t>United Kingdom Y/Y</t>
  </si>
  <si>
    <t>ROW Y/Y</t>
  </si>
  <si>
    <t>General &amp; Administrative SBC</t>
  </si>
  <si>
    <t>Depreciation Schedule</t>
  </si>
  <si>
    <t>Adjustments</t>
  </si>
  <si>
    <t>Depreciation &amp; Amortization</t>
  </si>
  <si>
    <t>Stock-based Compensation</t>
  </si>
  <si>
    <t>Deferred Income Taxes</t>
  </si>
  <si>
    <t>Non-cash Lease Expense</t>
  </si>
  <si>
    <t>Unrealized and Realized loss from Marketable Securities</t>
  </si>
  <si>
    <t>Other Operating Activities</t>
  </si>
  <si>
    <t>Prepaid Expenses &amp; Other Current Assets</t>
  </si>
  <si>
    <t>Other Noncurrent Liabilities</t>
  </si>
  <si>
    <t>Net Cash from Operating Activities</t>
  </si>
  <si>
    <t>Purchases of Property &amp; Equipment</t>
  </si>
  <si>
    <t>Purchases of Marketable Securities</t>
  </si>
  <si>
    <t>Proceeds from Sales of Marketable Securities</t>
  </si>
  <si>
    <t>Net Cash from Investing Activities</t>
  </si>
  <si>
    <t>Proceeds from the Exercise of Common Stock Options</t>
  </si>
  <si>
    <t>Other Financing Activities</t>
  </si>
  <si>
    <t>Net Cash from Financing Activities</t>
  </si>
  <si>
    <t>Net Cash</t>
  </si>
  <si>
    <t xml:space="preserve">Cash Beginning </t>
  </si>
  <si>
    <t>Cash End</t>
  </si>
  <si>
    <t>Consolidated Balance Sheet</t>
  </si>
  <si>
    <t>Total Current Assets</t>
  </si>
  <si>
    <t>Accumulated Other Comprehensive Loss</t>
  </si>
  <si>
    <t>Cost of Revenues SBC</t>
  </si>
  <si>
    <t>Sales &amp; Marketing SBC</t>
  </si>
  <si>
    <t>Research &amp; Development SBC</t>
  </si>
  <si>
    <t xml:space="preserve">General &amp; Administrative </t>
  </si>
  <si>
    <t>Segment</t>
  </si>
  <si>
    <t>Commercial Revenue Mix</t>
  </si>
  <si>
    <t>Government Revenue Mix</t>
  </si>
  <si>
    <t>Government Cost of Sales</t>
  </si>
  <si>
    <t>Commercial Cost of Sales</t>
  </si>
  <si>
    <t>Total Cost of Sales</t>
  </si>
  <si>
    <t>Government Gross Income</t>
  </si>
  <si>
    <t>Commercial Gross Income</t>
  </si>
  <si>
    <t>Total Gross Income</t>
  </si>
  <si>
    <t>Contribution</t>
  </si>
  <si>
    <t>Government</t>
  </si>
  <si>
    <t>Sales &amp; Marketing Expense</t>
  </si>
  <si>
    <t>Government S&amp;M Less SBC</t>
  </si>
  <si>
    <t>Commercial  S&amp;M Less SBC</t>
  </si>
  <si>
    <t>Cost of Revenues Less SBC</t>
  </si>
  <si>
    <t>Sales &amp; Marketing Less SBC</t>
  </si>
  <si>
    <t>Research &amp; Development Less SBC</t>
  </si>
  <si>
    <t>General &amp; Administrative Less SBC</t>
  </si>
  <si>
    <t xml:space="preserve">Government </t>
  </si>
  <si>
    <t>FY29E</t>
  </si>
  <si>
    <t>FY30E</t>
  </si>
  <si>
    <t>EPS</t>
  </si>
  <si>
    <t>Basic Shares</t>
  </si>
  <si>
    <t>Government less SBC</t>
  </si>
  <si>
    <t>Commercial less SBC</t>
  </si>
  <si>
    <t>4Q22A</t>
  </si>
  <si>
    <t>1Q23A</t>
  </si>
  <si>
    <t>FY22A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</si>
</sst>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theme="1"/>
      <name val="Arial"/>
      <family val="2"/>
    </font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theme="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5">
    <xf numFmtId="0" fontId="0" fillId="0" borderId="0" xfId="0"/>
    <xf numFmtId="4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/>
    <xf numFmtId="0" fontId="1" fillId="0" borderId="0" xfId="0" applyFont="1"/>
    <xf numFmtId="0" fontId="1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/>
    <xf numFmtId="0" fontId="3" fillId="2" borderId="0" xfId="0" applyFont="1" applyFill="1"/>
    <xf numFmtId="0" fontId="3" fillId="2" borderId="0" xfId="0" applyFont="1" applyFill="1" applyAlignment="1">
      <alignment horizontal="right"/>
    </xf>
    <xf numFmtId="9" fontId="1" fillId="0" borderId="0" xfId="1" applyFont="1" applyAlignment="1">
      <alignment horizontal="right"/>
    </xf>
    <xf numFmtId="3" fontId="3" fillId="0" borderId="0" xfId="0" applyNumberFormat="1" applyFont="1"/>
    <xf numFmtId="3" fontId="3" fillId="0" borderId="0" xfId="0" applyNumberFormat="1" applyFon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4" fontId="1" fillId="0" borderId="0" xfId="0" applyNumberFormat="1" applyFont="1" applyAlignment="1">
      <alignment horizontal="right"/>
    </xf>
    <xf numFmtId="4" fontId="1" fillId="0" borderId="0" xfId="0" applyNumberFormat="1" applyFont="1"/>
    <xf numFmtId="9" fontId="3" fillId="0" borderId="0" xfId="1" applyFont="1" applyAlignment="1">
      <alignment horizontal="right"/>
    </xf>
    <xf numFmtId="9" fontId="3" fillId="0" borderId="0" xfId="0" applyNumberFormat="1" applyFont="1" applyAlignment="1">
      <alignment horizontal="right"/>
    </xf>
    <xf numFmtId="9" fontId="3" fillId="0" borderId="0" xfId="0" applyNumberFormat="1" applyFont="1"/>
    <xf numFmtId="9" fontId="1" fillId="0" borderId="0" xfId="0" applyNumberFormat="1" applyFont="1" applyAlignment="1">
      <alignment horizontal="right"/>
    </xf>
    <xf numFmtId="0" fontId="1" fillId="2" borderId="0" xfId="0" applyFont="1" applyFill="1" applyAlignment="1">
      <alignment horizontal="right"/>
    </xf>
    <xf numFmtId="0" fontId="1" fillId="2" borderId="0" xfId="0" applyFont="1" applyFill="1"/>
    <xf numFmtId="9" fontId="3" fillId="2" borderId="0" xfId="1" applyFont="1" applyFill="1" applyAlignment="1">
      <alignment horizontal="right"/>
    </xf>
    <xf numFmtId="1" fontId="1" fillId="0" borderId="0" xfId="0" applyNumberFormat="1" applyFont="1" applyAlignment="1">
      <alignment horizontal="right"/>
    </xf>
    <xf numFmtId="1" fontId="1" fillId="0" borderId="0" xfId="1" applyNumberFormat="1" applyFont="1" applyAlignment="1">
      <alignment horizontal="right"/>
    </xf>
    <xf numFmtId="0" fontId="4" fillId="0" borderId="0" xfId="0" applyFont="1"/>
    <xf numFmtId="0" fontId="4" fillId="0" borderId="0" xfId="0" applyFont="1" applyAlignment="1">
      <alignment horizontal="right"/>
    </xf>
    <xf numFmtId="9" fontId="4" fillId="0" borderId="0" xfId="1" applyFont="1" applyAlignment="1">
      <alignment horizontal="right"/>
    </xf>
    <xf numFmtId="0" fontId="5" fillId="0" borderId="0" xfId="0" applyFont="1" applyAlignment="1">
      <alignment horizontal="right"/>
    </xf>
    <xf numFmtId="1" fontId="5" fillId="0" borderId="0" xfId="1" applyNumberFormat="1" applyFont="1" applyAlignment="1">
      <alignment horizontal="right"/>
    </xf>
    <xf numFmtId="3" fontId="5" fillId="0" borderId="0" xfId="0" applyNumberFormat="1" applyFont="1" applyAlignment="1">
      <alignment horizontal="right"/>
    </xf>
    <xf numFmtId="0" fontId="5" fillId="0" borderId="0" xfId="0" applyFont="1"/>
    <xf numFmtId="3" fontId="5" fillId="0" borderId="0" xfId="0" applyNumberFormat="1" applyFont="1"/>
    <xf numFmtId="9" fontId="4" fillId="0" borderId="0" xfId="0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-1</xdr:colOff>
      <xdr:row>1</xdr:row>
      <xdr:rowOff>24433</xdr:rowOff>
    </xdr:from>
    <xdr:to>
      <xdr:col>14</xdr:col>
      <xdr:colOff>14619</xdr:colOff>
      <xdr:row>126</xdr:row>
      <xdr:rowOff>18676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CEB399B2-013D-A4CD-A207-5FB2DC044CED}"/>
            </a:ext>
          </a:extLst>
        </xdr:cNvPr>
        <xdr:cNvCxnSpPr/>
      </xdr:nvCxnSpPr>
      <xdr:spPr>
        <a:xfrm flipH="1">
          <a:off x="12363823" y="229874"/>
          <a:ext cx="14620" cy="2567439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13731</xdr:colOff>
      <xdr:row>0</xdr:row>
      <xdr:rowOff>195384</xdr:rowOff>
    </xdr:from>
    <xdr:to>
      <xdr:col>20</xdr:col>
      <xdr:colOff>13731</xdr:colOff>
      <xdr:row>114</xdr:row>
      <xdr:rowOff>195384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A6B83D77-2A6D-4552-92D1-6D2821526D10}"/>
            </a:ext>
          </a:extLst>
        </xdr:cNvPr>
        <xdr:cNvCxnSpPr/>
      </xdr:nvCxnSpPr>
      <xdr:spPr>
        <a:xfrm>
          <a:off x="16436893" y="195384"/>
          <a:ext cx="0" cy="2351128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E9D3E-317D-4992-A1EC-7C2CA7695A60}">
  <dimension ref="K2:M7"/>
  <sheetViews>
    <sheetView workbookViewId="0">
      <selection activeCell="L3" sqref="L3"/>
    </sheetView>
  </sheetViews>
  <sheetFormatPr baseColWidth="10" defaultColWidth="8.83203125" defaultRowHeight="13" x14ac:dyDescent="0.15"/>
  <sheetData>
    <row r="2" spans="11:13" x14ac:dyDescent="0.15">
      <c r="K2" t="s">
        <v>0</v>
      </c>
      <c r="L2" s="1">
        <v>9.31</v>
      </c>
    </row>
    <row r="3" spans="11:13" x14ac:dyDescent="0.15">
      <c r="K3" t="s">
        <v>1</v>
      </c>
      <c r="L3" s="3">
        <v>2036</v>
      </c>
      <c r="M3" s="2" t="s">
        <v>6</v>
      </c>
    </row>
    <row r="4" spans="11:13" x14ac:dyDescent="0.15">
      <c r="K4" t="s">
        <v>2</v>
      </c>
      <c r="L4" s="3">
        <f>L3*L2</f>
        <v>18955.16</v>
      </c>
    </row>
    <row r="5" spans="11:13" x14ac:dyDescent="0.15">
      <c r="K5" t="s">
        <v>3</v>
      </c>
      <c r="L5" s="3">
        <v>2585</v>
      </c>
      <c r="M5" s="2" t="s">
        <v>6</v>
      </c>
    </row>
    <row r="6" spans="11:13" x14ac:dyDescent="0.15">
      <c r="K6" t="s">
        <v>4</v>
      </c>
      <c r="L6" s="3">
        <v>0</v>
      </c>
      <c r="M6" s="2" t="s">
        <v>6</v>
      </c>
    </row>
    <row r="7" spans="11:13" x14ac:dyDescent="0.15">
      <c r="K7" t="s">
        <v>5</v>
      </c>
      <c r="L7" s="3">
        <f>L4-L5+L6</f>
        <v>16370.16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E0236-0D83-41C7-BB37-83829D679D7F}">
  <dimension ref="A2:AE273"/>
  <sheetViews>
    <sheetView tabSelected="1" zoomScaleNormal="44" workbookViewId="0">
      <pane xSplit="1" ySplit="3" topLeftCell="E48" activePane="bottomRight" state="frozen"/>
      <selection pane="topRight" activeCell="C1" sqref="C1"/>
      <selection pane="bottomLeft" activeCell="A3" sqref="A3"/>
      <selection pane="bottomRight" activeCell="L64" sqref="L64"/>
    </sheetView>
  </sheetViews>
  <sheetFormatPr baseColWidth="10" defaultColWidth="8.83203125" defaultRowHeight="16" x14ac:dyDescent="0.2"/>
  <cols>
    <col min="1" max="1" width="33" style="4" customWidth="1"/>
    <col min="2" max="2" width="9.1640625" style="5"/>
    <col min="3" max="3" width="9.1640625" style="5" customWidth="1"/>
    <col min="4" max="5" width="9.1640625" style="5"/>
    <col min="6" max="6" width="10.1640625" style="5" bestFit="1" customWidth="1"/>
    <col min="7" max="8" width="9.1640625" style="5"/>
    <col min="9" max="9" width="11.33203125" style="5" customWidth="1"/>
    <col min="10" max="10" width="12" style="5" customWidth="1"/>
    <col min="11" max="12" width="11.6640625" style="5" bestFit="1" customWidth="1"/>
    <col min="13" max="13" width="9.1640625" style="5"/>
    <col min="14" max="16384" width="8.83203125" style="4"/>
  </cols>
  <sheetData>
    <row r="2" spans="1:28" x14ac:dyDescent="0.2">
      <c r="B2" s="6" t="s">
        <v>48</v>
      </c>
      <c r="C2" s="6" t="s">
        <v>49</v>
      </c>
      <c r="D2" s="6" t="s">
        <v>50</v>
      </c>
      <c r="E2" s="6" t="s">
        <v>51</v>
      </c>
      <c r="F2" s="6" t="s">
        <v>52</v>
      </c>
      <c r="G2" s="6" t="s">
        <v>53</v>
      </c>
      <c r="H2" s="6" t="s">
        <v>54</v>
      </c>
      <c r="I2" s="6" t="s">
        <v>55</v>
      </c>
      <c r="J2" s="6" t="s">
        <v>56</v>
      </c>
      <c r="K2" s="6" t="s">
        <v>57</v>
      </c>
      <c r="L2" s="6" t="s">
        <v>58</v>
      </c>
      <c r="M2" s="6" t="s">
        <v>177</v>
      </c>
      <c r="N2" s="7" t="s">
        <v>178</v>
      </c>
      <c r="R2" s="7" t="s">
        <v>59</v>
      </c>
      <c r="S2" s="7" t="s">
        <v>60</v>
      </c>
      <c r="T2" s="7" t="s">
        <v>179</v>
      </c>
      <c r="U2" s="7" t="s">
        <v>61</v>
      </c>
      <c r="V2" s="7" t="s">
        <v>62</v>
      </c>
      <c r="W2" s="7" t="s">
        <v>63</v>
      </c>
      <c r="X2" s="7" t="s">
        <v>64</v>
      </c>
      <c r="Y2" s="7" t="s">
        <v>65</v>
      </c>
      <c r="Z2" s="7" t="s">
        <v>66</v>
      </c>
      <c r="AA2" s="7" t="s">
        <v>171</v>
      </c>
      <c r="AB2" s="7" t="s">
        <v>172</v>
      </c>
    </row>
    <row r="3" spans="1:28" x14ac:dyDescent="0.2">
      <c r="R3" s="4">
        <v>2020</v>
      </c>
      <c r="S3" s="4">
        <f>R3+1</f>
        <v>2021</v>
      </c>
      <c r="T3" s="4">
        <f t="shared" ref="T3:AB3" si="0">S3+1</f>
        <v>2022</v>
      </c>
      <c r="U3" s="4">
        <f t="shared" si="0"/>
        <v>2023</v>
      </c>
      <c r="V3" s="4">
        <f t="shared" si="0"/>
        <v>2024</v>
      </c>
      <c r="W3" s="4">
        <f t="shared" si="0"/>
        <v>2025</v>
      </c>
      <c r="X3" s="4">
        <f t="shared" si="0"/>
        <v>2026</v>
      </c>
      <c r="Y3" s="4">
        <f t="shared" si="0"/>
        <v>2027</v>
      </c>
      <c r="Z3" s="4">
        <f t="shared" si="0"/>
        <v>2028</v>
      </c>
      <c r="AA3" s="4">
        <f t="shared" si="0"/>
        <v>2029</v>
      </c>
      <c r="AB3" s="4">
        <f t="shared" si="0"/>
        <v>2030</v>
      </c>
    </row>
    <row r="4" spans="1:28" s="8" customFormat="1" x14ac:dyDescent="0.2">
      <c r="A4" s="8" t="s">
        <v>67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</row>
    <row r="5" spans="1:28" x14ac:dyDescent="0.2">
      <c r="A5" s="4" t="s">
        <v>170</v>
      </c>
      <c r="B5" s="5">
        <v>118127</v>
      </c>
      <c r="D5" s="5">
        <v>162561</v>
      </c>
      <c r="F5" s="5">
        <v>208420</v>
      </c>
      <c r="G5" s="5">
        <v>232119</v>
      </c>
      <c r="H5" s="5">
        <v>217836</v>
      </c>
      <c r="I5" s="5">
        <f>897356-H5-G5-F5</f>
        <v>238981</v>
      </c>
      <c r="J5" s="5">
        <v>241790</v>
      </c>
      <c r="K5" s="5">
        <v>262998</v>
      </c>
      <c r="L5" s="29">
        <v>273834</v>
      </c>
      <c r="M5" s="5">
        <f>T5-L5-K5-J5</f>
        <v>293154</v>
      </c>
      <c r="S5" s="33">
        <f>SUM(F5:I5)</f>
        <v>897356</v>
      </c>
      <c r="T5" s="32">
        <v>1071776</v>
      </c>
    </row>
    <row r="6" spans="1:28" x14ac:dyDescent="0.2">
      <c r="A6" s="4" t="s">
        <v>71</v>
      </c>
      <c r="B6" s="5">
        <v>111200</v>
      </c>
      <c r="D6" s="5">
        <v>126805</v>
      </c>
      <c r="F6" s="5">
        <v>132814</v>
      </c>
      <c r="G6" s="5">
        <v>143523</v>
      </c>
      <c r="H6" s="5">
        <v>174310</v>
      </c>
      <c r="I6" s="5">
        <f>644533-H6-G6-F6</f>
        <v>193886</v>
      </c>
      <c r="J6" s="5">
        <v>204567</v>
      </c>
      <c r="K6" s="5">
        <v>210012</v>
      </c>
      <c r="L6" s="29">
        <v>204046</v>
      </c>
      <c r="M6" s="5">
        <f>T6-L6-K6-J6</f>
        <v>-136150</v>
      </c>
      <c r="S6" s="33">
        <f>SUM(F6:I6)</f>
        <v>644533</v>
      </c>
      <c r="T6" s="32">
        <v>482475</v>
      </c>
    </row>
    <row r="7" spans="1:28" s="7" customFormat="1" x14ac:dyDescent="0.2">
      <c r="A7" s="7" t="s">
        <v>68</v>
      </c>
      <c r="B7" s="6">
        <f>B5+B6</f>
        <v>229327</v>
      </c>
      <c r="C7" s="6">
        <f>C5+C6</f>
        <v>0</v>
      </c>
      <c r="D7" s="6">
        <f t="shared" ref="D7:E7" si="1">D5+D6</f>
        <v>289366</v>
      </c>
      <c r="E7" s="6">
        <f t="shared" si="1"/>
        <v>0</v>
      </c>
      <c r="F7" s="6">
        <f>F5+F6</f>
        <v>341234</v>
      </c>
      <c r="G7" s="6">
        <f>G5+G6</f>
        <v>375642</v>
      </c>
      <c r="H7" s="6">
        <f t="shared" ref="H7:I7" si="2">H5+H6</f>
        <v>392146</v>
      </c>
      <c r="I7" s="6">
        <f t="shared" si="2"/>
        <v>432867</v>
      </c>
      <c r="J7" s="6">
        <f>J5+J6</f>
        <v>446357</v>
      </c>
      <c r="K7" s="6">
        <f>K5+K6</f>
        <v>473010</v>
      </c>
      <c r="L7" s="6">
        <f>L5+L6</f>
        <v>477880</v>
      </c>
      <c r="M7" s="6">
        <f>M5+M6</f>
        <v>157004</v>
      </c>
      <c r="S7" s="6">
        <f>S5+S6</f>
        <v>1541889</v>
      </c>
      <c r="T7" s="6">
        <f>T5+T6</f>
        <v>1554251</v>
      </c>
    </row>
    <row r="8" spans="1:28" s="7" customFormat="1" x14ac:dyDescent="0.2"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</row>
    <row r="9" spans="1:28" x14ac:dyDescent="0.2">
      <c r="A9" s="4" t="s">
        <v>154</v>
      </c>
      <c r="B9" s="10">
        <f>B5/B$7</f>
        <v>0.51510288801580273</v>
      </c>
      <c r="C9" s="10" t="e">
        <f t="shared" ref="C9:E9" si="3">C5/C$7</f>
        <v>#DIV/0!</v>
      </c>
      <c r="D9" s="10">
        <f t="shared" si="3"/>
        <v>0.56178334704146304</v>
      </c>
      <c r="E9" s="10" t="e">
        <f t="shared" si="3"/>
        <v>#DIV/0!</v>
      </c>
      <c r="F9" s="10">
        <f>F5/F$7</f>
        <v>0.61078321620940468</v>
      </c>
      <c r="G9" s="10">
        <f t="shared" ref="G9:L9" si="4">G5/G$7</f>
        <v>0.61792611049882606</v>
      </c>
      <c r="H9" s="10">
        <f t="shared" si="4"/>
        <v>0.55549718727208741</v>
      </c>
      <c r="I9" s="10">
        <f t="shared" si="4"/>
        <v>0.55208874781399364</v>
      </c>
      <c r="J9" s="10">
        <f t="shared" si="4"/>
        <v>0.54169644477402612</v>
      </c>
      <c r="K9" s="10">
        <f t="shared" si="4"/>
        <v>0.55600938669372746</v>
      </c>
      <c r="L9" s="10">
        <f t="shared" si="4"/>
        <v>0.5730183309617477</v>
      </c>
      <c r="S9" s="10">
        <f t="shared" ref="S9:T9" si="5">S5/S$7</f>
        <v>0.58198482510738447</v>
      </c>
      <c r="T9" s="10">
        <f t="shared" si="5"/>
        <v>0.68957716610766218</v>
      </c>
    </row>
    <row r="10" spans="1:28" x14ac:dyDescent="0.2">
      <c r="A10" s="4" t="s">
        <v>153</v>
      </c>
      <c r="B10" s="10">
        <f>B6/B$7</f>
        <v>0.48489711198419722</v>
      </c>
      <c r="C10" s="10" t="e">
        <f t="shared" ref="C10:E10" si="6">C6/C$7</f>
        <v>#DIV/0!</v>
      </c>
      <c r="D10" s="10">
        <f t="shared" si="6"/>
        <v>0.43821665295853696</v>
      </c>
      <c r="E10" s="10" t="e">
        <f t="shared" si="6"/>
        <v>#DIV/0!</v>
      </c>
      <c r="F10" s="10">
        <f>F6/F$7</f>
        <v>0.38921678379059532</v>
      </c>
      <c r="G10" s="10">
        <f t="shared" ref="G10:L10" si="7">G6/G$7</f>
        <v>0.38207388950117399</v>
      </c>
      <c r="H10" s="10">
        <f t="shared" si="7"/>
        <v>0.44450281272791259</v>
      </c>
      <c r="I10" s="10">
        <f t="shared" si="7"/>
        <v>0.4479112521860063</v>
      </c>
      <c r="J10" s="10">
        <f t="shared" si="7"/>
        <v>0.45830355522597382</v>
      </c>
      <c r="K10" s="10">
        <f t="shared" si="7"/>
        <v>0.4439906133062726</v>
      </c>
      <c r="L10" s="10">
        <f t="shared" si="7"/>
        <v>0.4269816690382523</v>
      </c>
      <c r="S10" s="10">
        <f t="shared" ref="S10:T10" si="8">S6/S$7</f>
        <v>0.41801517489261547</v>
      </c>
      <c r="T10" s="10">
        <f t="shared" si="8"/>
        <v>0.31042283389233788</v>
      </c>
    </row>
    <row r="11" spans="1:28" s="7" customFormat="1" x14ac:dyDescent="0.2"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</row>
    <row r="12" spans="1:28" s="26" customFormat="1" x14ac:dyDescent="0.2">
      <c r="A12" s="26" t="s">
        <v>72</v>
      </c>
      <c r="B12" s="27"/>
      <c r="C12" s="27"/>
      <c r="D12" s="27"/>
      <c r="E12" s="27"/>
      <c r="F12" s="28">
        <f t="shared" ref="F12:L14" si="9">F5/B5-1</f>
        <v>0.76437224343291543</v>
      </c>
      <c r="G12" s="28" t="e">
        <f t="shared" si="9"/>
        <v>#DIV/0!</v>
      </c>
      <c r="H12" s="28">
        <f t="shared" si="9"/>
        <v>0.34002620554745611</v>
      </c>
      <c r="I12" s="28" t="e">
        <f t="shared" si="9"/>
        <v>#DIV/0!</v>
      </c>
      <c r="J12" s="28">
        <f t="shared" si="9"/>
        <v>0.16010939449189143</v>
      </c>
      <c r="K12" s="28">
        <f t="shared" si="9"/>
        <v>0.13303090225272385</v>
      </c>
      <c r="L12" s="28">
        <f t="shared" si="9"/>
        <v>0.25706494794248891</v>
      </c>
      <c r="M12" s="27"/>
      <c r="S12" s="34" t="e">
        <f>S5/R5-1</f>
        <v>#DIV/0!</v>
      </c>
      <c r="T12" s="34">
        <f>T5/S5-1</f>
        <v>0.19437101885985042</v>
      </c>
    </row>
    <row r="13" spans="1:28" s="26" customFormat="1" x14ac:dyDescent="0.2">
      <c r="A13" s="26" t="s">
        <v>73</v>
      </c>
      <c r="B13" s="27"/>
      <c r="C13" s="27"/>
      <c r="D13" s="27"/>
      <c r="E13" s="27"/>
      <c r="F13" s="28">
        <f t="shared" si="9"/>
        <v>0.19437050359712238</v>
      </c>
      <c r="G13" s="28" t="e">
        <f t="shared" si="9"/>
        <v>#DIV/0!</v>
      </c>
      <c r="H13" s="28">
        <f t="shared" si="9"/>
        <v>0.37463033792042899</v>
      </c>
      <c r="I13" s="28" t="e">
        <f t="shared" si="9"/>
        <v>#DIV/0!</v>
      </c>
      <c r="J13" s="28">
        <f t="shared" si="9"/>
        <v>0.54025178068577118</v>
      </c>
      <c r="K13" s="28">
        <f t="shared" si="9"/>
        <v>0.46326372776488789</v>
      </c>
      <c r="L13" s="28">
        <f t="shared" si="9"/>
        <v>0.17059262233951</v>
      </c>
      <c r="M13" s="27"/>
      <c r="S13" s="34" t="e">
        <f t="shared" ref="S13:T14" si="10">S6/R6-1</f>
        <v>#DIV/0!</v>
      </c>
      <c r="T13" s="34">
        <f t="shared" si="10"/>
        <v>-0.25143475974077356</v>
      </c>
    </row>
    <row r="14" spans="1:28" s="26" customFormat="1" x14ac:dyDescent="0.2">
      <c r="A14" s="26" t="s">
        <v>74</v>
      </c>
      <c r="B14" s="27"/>
      <c r="C14" s="27"/>
      <c r="D14" s="27"/>
      <c r="E14" s="27"/>
      <c r="F14" s="28">
        <f t="shared" si="9"/>
        <v>0.48798004596057165</v>
      </c>
      <c r="G14" s="28" t="e">
        <f t="shared" si="9"/>
        <v>#DIV/0!</v>
      </c>
      <c r="H14" s="28">
        <f t="shared" si="9"/>
        <v>0.35519031261447442</v>
      </c>
      <c r="I14" s="28" t="e">
        <f t="shared" si="9"/>
        <v>#DIV/0!</v>
      </c>
      <c r="J14" s="28">
        <f t="shared" si="9"/>
        <v>0.3080671914287556</v>
      </c>
      <c r="K14" s="28">
        <f t="shared" si="9"/>
        <v>0.25920424233711881</v>
      </c>
      <c r="L14" s="28">
        <f t="shared" si="9"/>
        <v>0.21862775598884099</v>
      </c>
      <c r="M14" s="27"/>
      <c r="S14" s="34" t="e">
        <f t="shared" si="10"/>
        <v>#DIV/0!</v>
      </c>
      <c r="T14" s="34">
        <f t="shared" si="10"/>
        <v>8.0174383499720392E-3</v>
      </c>
    </row>
    <row r="15" spans="1:28" s="7" customFormat="1" x14ac:dyDescent="0.2"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</row>
    <row r="16" spans="1:28" s="7" customFormat="1" x14ac:dyDescent="0.2">
      <c r="A16" s="7" t="s">
        <v>113</v>
      </c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</row>
    <row r="17" spans="1:20" x14ac:dyDescent="0.2">
      <c r="A17" s="4" t="s">
        <v>114</v>
      </c>
      <c r="F17" s="5">
        <f>398377-G17</f>
        <v>198447</v>
      </c>
      <c r="G17" s="5">
        <v>199930</v>
      </c>
      <c r="H17" s="5">
        <v>227285</v>
      </c>
      <c r="J17" s="5">
        <v>272913</v>
      </c>
      <c r="K17" s="5">
        <v>290223</v>
      </c>
      <c r="L17" s="29">
        <v>296650</v>
      </c>
      <c r="M17" s="5">
        <f>T17-L17-K17-J17</f>
        <v>-859786</v>
      </c>
    </row>
    <row r="18" spans="1:20" x14ac:dyDescent="0.2">
      <c r="A18" s="4" t="s">
        <v>115</v>
      </c>
      <c r="F18" s="5">
        <f>74320-G18</f>
        <v>34385</v>
      </c>
      <c r="G18" s="5">
        <v>39935</v>
      </c>
      <c r="H18" s="5">
        <v>47914</v>
      </c>
      <c r="J18" s="5">
        <v>49902</v>
      </c>
      <c r="K18" s="5">
        <v>52140</v>
      </c>
      <c r="L18" s="29">
        <v>59435</v>
      </c>
      <c r="M18" s="5">
        <f t="shared" ref="M18:M19" si="11">T18-L18-K18-J18</f>
        <v>-161477</v>
      </c>
    </row>
    <row r="19" spans="1:20" x14ac:dyDescent="0.2">
      <c r="A19" s="4" t="s">
        <v>116</v>
      </c>
      <c r="F19" s="5">
        <f>244179-G19</f>
        <v>108402</v>
      </c>
      <c r="G19" s="5">
        <v>135777</v>
      </c>
      <c r="H19" s="5">
        <v>116947</v>
      </c>
      <c r="J19" s="5">
        <v>123542</v>
      </c>
      <c r="K19" s="5">
        <v>130647</v>
      </c>
      <c r="L19" s="29">
        <v>121795</v>
      </c>
      <c r="M19" s="5">
        <f t="shared" si="11"/>
        <v>-375984</v>
      </c>
    </row>
    <row r="20" spans="1:20" x14ac:dyDescent="0.2">
      <c r="A20" s="4" t="s">
        <v>81</v>
      </c>
      <c r="F20" s="5">
        <f>F17+F18+F19</f>
        <v>341234</v>
      </c>
      <c r="G20" s="5">
        <f>G17+G18+G19</f>
        <v>375642</v>
      </c>
      <c r="H20" s="5">
        <f t="shared" ref="H20:I20" si="12">H17+H18+H19</f>
        <v>392146</v>
      </c>
      <c r="I20" s="5">
        <f t="shared" si="12"/>
        <v>0</v>
      </c>
      <c r="J20" s="5">
        <f>J17+J18+J19</f>
        <v>446357</v>
      </c>
      <c r="K20" s="5">
        <f>K17+K18+K19</f>
        <v>473010</v>
      </c>
      <c r="L20" s="5">
        <f>L17+L18+L19</f>
        <v>477880</v>
      </c>
    </row>
    <row r="22" spans="1:20" x14ac:dyDescent="0.2">
      <c r="A22" s="4" t="s">
        <v>117</v>
      </c>
      <c r="F22" s="10">
        <f>F17/F$20</f>
        <v>0.58155693746813042</v>
      </c>
      <c r="G22" s="10">
        <f t="shared" ref="G22:L22" si="13">G17/G$20</f>
        <v>0.53223547952571859</v>
      </c>
      <c r="H22" s="10">
        <f t="shared" si="13"/>
        <v>0.57959280472069075</v>
      </c>
      <c r="I22" s="10" t="e">
        <f t="shared" si="13"/>
        <v>#DIV/0!</v>
      </c>
      <c r="J22" s="10">
        <f t="shared" si="13"/>
        <v>0.61142314335834325</v>
      </c>
      <c r="K22" s="10">
        <f t="shared" si="13"/>
        <v>0.61356630938035139</v>
      </c>
      <c r="L22" s="10">
        <f t="shared" si="13"/>
        <v>0.62076253452749641</v>
      </c>
    </row>
    <row r="23" spans="1:20" x14ac:dyDescent="0.2">
      <c r="A23" s="4" t="s">
        <v>118</v>
      </c>
      <c r="F23" s="10">
        <f>F18/F$20</f>
        <v>0.10076662935111975</v>
      </c>
      <c r="G23" s="10">
        <f t="shared" ref="G23:L24" si="14">G18/G$20</f>
        <v>0.1063113283392166</v>
      </c>
      <c r="H23" s="10">
        <f t="shared" si="14"/>
        <v>0.12218408449914063</v>
      </c>
      <c r="I23" s="10" t="e">
        <f>I18/I$20</f>
        <v>#DIV/0!</v>
      </c>
      <c r="J23" s="10">
        <f t="shared" si="14"/>
        <v>0.11179840352005234</v>
      </c>
      <c r="K23" s="10">
        <f t="shared" si="14"/>
        <v>0.1102302276907465</v>
      </c>
      <c r="L23" s="10">
        <f t="shared" si="14"/>
        <v>0.12437222733740688</v>
      </c>
    </row>
    <row r="24" spans="1:20" x14ac:dyDescent="0.2">
      <c r="A24" s="4" t="s">
        <v>119</v>
      </c>
      <c r="F24" s="10">
        <f>F19/F$20</f>
        <v>0.31767643318074984</v>
      </c>
      <c r="G24" s="10">
        <f t="shared" si="14"/>
        <v>0.36145319213506477</v>
      </c>
      <c r="H24" s="10">
        <f t="shared" si="14"/>
        <v>0.29822311078016861</v>
      </c>
      <c r="I24" s="10" t="e">
        <f>I19/I$20</f>
        <v>#DIV/0!</v>
      </c>
      <c r="J24" s="10">
        <f t="shared" si="14"/>
        <v>0.27677845312160443</v>
      </c>
      <c r="K24" s="10">
        <f t="shared" si="14"/>
        <v>0.27620346292890213</v>
      </c>
      <c r="L24" s="10">
        <f t="shared" si="14"/>
        <v>0.25486523813509665</v>
      </c>
    </row>
    <row r="26" spans="1:20" s="26" customFormat="1" x14ac:dyDescent="0.2">
      <c r="A26" s="26" t="s">
        <v>120</v>
      </c>
      <c r="B26" s="27"/>
      <c r="C26" s="27"/>
      <c r="D26" s="27"/>
      <c r="E26" s="27"/>
      <c r="F26" s="28" t="e">
        <f>F22/B22-1</f>
        <v>#DIV/0!</v>
      </c>
      <c r="G26" s="28" t="e">
        <f t="shared" ref="G26:K28" si="15">G22/C22-1</f>
        <v>#DIV/0!</v>
      </c>
      <c r="H26" s="28" t="e">
        <f t="shared" si="15"/>
        <v>#DIV/0!</v>
      </c>
      <c r="I26" s="28" t="e">
        <f t="shared" si="15"/>
        <v>#DIV/0!</v>
      </c>
      <c r="J26" s="28">
        <f t="shared" si="15"/>
        <v>5.1355600743477448E-2</v>
      </c>
      <c r="K26" s="28">
        <f t="shared" si="15"/>
        <v>0.15280986139275732</v>
      </c>
      <c r="L26" s="28">
        <f>L22/H22-1</f>
        <v>7.1032161668476146E-2</v>
      </c>
      <c r="M26" s="27"/>
    </row>
    <row r="27" spans="1:20" s="26" customFormat="1" x14ac:dyDescent="0.2">
      <c r="A27" s="26" t="s">
        <v>121</v>
      </c>
      <c r="B27" s="27"/>
      <c r="C27" s="27"/>
      <c r="D27" s="27"/>
      <c r="E27" s="27"/>
      <c r="F27" s="28" t="e">
        <f t="shared" ref="F27:F28" si="16">F23/B23-1</f>
        <v>#DIV/0!</v>
      </c>
      <c r="G27" s="28" t="e">
        <f t="shared" si="15"/>
        <v>#DIV/0!</v>
      </c>
      <c r="H27" s="28" t="e">
        <f t="shared" si="15"/>
        <v>#DIV/0!</v>
      </c>
      <c r="I27" s="28" t="e">
        <f t="shared" si="15"/>
        <v>#DIV/0!</v>
      </c>
      <c r="J27" s="28">
        <f t="shared" si="15"/>
        <v>0.1094784477755284</v>
      </c>
      <c r="K27" s="28">
        <f t="shared" si="15"/>
        <v>3.6862481287276649E-2</v>
      </c>
      <c r="L27" s="28">
        <f t="shared" ref="L27:L28" si="17">L23/H23-1</f>
        <v>1.7908574977141489E-2</v>
      </c>
      <c r="M27" s="27"/>
    </row>
    <row r="28" spans="1:20" s="26" customFormat="1" x14ac:dyDescent="0.2">
      <c r="A28" s="26" t="s">
        <v>122</v>
      </c>
      <c r="B28" s="27"/>
      <c r="C28" s="27"/>
      <c r="D28" s="27"/>
      <c r="E28" s="27"/>
      <c r="F28" s="28" t="e">
        <f t="shared" si="16"/>
        <v>#DIV/0!</v>
      </c>
      <c r="G28" s="28" t="e">
        <f t="shared" si="15"/>
        <v>#DIV/0!</v>
      </c>
      <c r="H28" s="28" t="e">
        <f t="shared" si="15"/>
        <v>#DIV/0!</v>
      </c>
      <c r="I28" s="28" t="e">
        <f t="shared" si="15"/>
        <v>#DIV/0!</v>
      </c>
      <c r="J28" s="28">
        <f t="shared" si="15"/>
        <v>-0.12874099488480306</v>
      </c>
      <c r="K28" s="28">
        <f t="shared" si="15"/>
        <v>-0.23585274957070301</v>
      </c>
      <c r="L28" s="28">
        <f t="shared" si="17"/>
        <v>-0.14538736629647953</v>
      </c>
      <c r="M28" s="27"/>
    </row>
    <row r="29" spans="1:20" x14ac:dyDescent="0.2">
      <c r="F29" s="10"/>
      <c r="G29" s="10"/>
      <c r="H29" s="10"/>
      <c r="I29" s="10"/>
      <c r="J29" s="10"/>
      <c r="K29" s="10"/>
      <c r="L29" s="10"/>
    </row>
    <row r="30" spans="1:20" s="8" customFormat="1" x14ac:dyDescent="0.2">
      <c r="A30" s="8" t="s">
        <v>152</v>
      </c>
      <c r="B30" s="9"/>
      <c r="C30" s="9"/>
      <c r="D30" s="9"/>
      <c r="E30" s="9"/>
      <c r="F30" s="23"/>
      <c r="G30" s="23"/>
      <c r="H30" s="23"/>
      <c r="I30" s="23"/>
      <c r="J30" s="23"/>
      <c r="K30" s="23"/>
      <c r="L30" s="23"/>
      <c r="M30" s="9"/>
    </row>
    <row r="31" spans="1:20" x14ac:dyDescent="0.2">
      <c r="A31" s="4" t="s">
        <v>70</v>
      </c>
      <c r="B31" s="5">
        <f>B5</f>
        <v>118127</v>
      </c>
      <c r="C31" s="5">
        <f t="shared" ref="C31:E31" si="18">C5</f>
        <v>0</v>
      </c>
      <c r="D31" s="5">
        <f t="shared" si="18"/>
        <v>162561</v>
      </c>
      <c r="E31" s="5">
        <f t="shared" si="18"/>
        <v>0</v>
      </c>
      <c r="F31" s="5">
        <v>208420</v>
      </c>
      <c r="G31" s="5">
        <v>232119</v>
      </c>
      <c r="H31" s="5">
        <v>217836</v>
      </c>
      <c r="I31" s="5">
        <f>I5</f>
        <v>238981</v>
      </c>
      <c r="J31" s="5">
        <f t="shared" ref="J31:L31" si="19">J5</f>
        <v>241790</v>
      </c>
      <c r="K31" s="5">
        <f t="shared" si="19"/>
        <v>262998</v>
      </c>
      <c r="L31" s="5">
        <f t="shared" si="19"/>
        <v>273834</v>
      </c>
      <c r="S31" s="5">
        <f t="shared" ref="S31:T31" si="20">S5</f>
        <v>897356</v>
      </c>
      <c r="T31" s="5">
        <f t="shared" si="20"/>
        <v>1071776</v>
      </c>
    </row>
    <row r="32" spans="1:20" x14ac:dyDescent="0.2">
      <c r="A32" s="4" t="s">
        <v>71</v>
      </c>
      <c r="B32" s="5">
        <f>B6</f>
        <v>111200</v>
      </c>
      <c r="C32" s="5">
        <f t="shared" ref="C32:E32" si="21">C6</f>
        <v>0</v>
      </c>
      <c r="D32" s="5">
        <f t="shared" si="21"/>
        <v>126805</v>
      </c>
      <c r="E32" s="5">
        <f t="shared" si="21"/>
        <v>0</v>
      </c>
      <c r="F32" s="5">
        <v>132814</v>
      </c>
      <c r="G32" s="5">
        <v>143523</v>
      </c>
      <c r="H32" s="5">
        <v>174310</v>
      </c>
      <c r="I32" s="5">
        <f>I6</f>
        <v>193886</v>
      </c>
      <c r="J32" s="5">
        <f t="shared" ref="J32:L32" si="22">J6</f>
        <v>204567</v>
      </c>
      <c r="K32" s="5">
        <f t="shared" si="22"/>
        <v>210012</v>
      </c>
      <c r="L32" s="5">
        <f t="shared" si="22"/>
        <v>204046</v>
      </c>
      <c r="S32" s="5">
        <f t="shared" ref="S32:T32" si="23">S6</f>
        <v>644533</v>
      </c>
      <c r="T32" s="5">
        <f t="shared" si="23"/>
        <v>482475</v>
      </c>
    </row>
    <row r="33" spans="1:20" s="7" customFormat="1" x14ac:dyDescent="0.2">
      <c r="A33" s="7" t="s">
        <v>68</v>
      </c>
      <c r="B33" s="6">
        <f t="shared" ref="B33:E33" si="24">B31+B32</f>
        <v>229327</v>
      </c>
      <c r="C33" s="6">
        <f>C31+C32</f>
        <v>0</v>
      </c>
      <c r="D33" s="6">
        <f t="shared" si="24"/>
        <v>289366</v>
      </c>
      <c r="E33" s="6">
        <f t="shared" si="24"/>
        <v>0</v>
      </c>
      <c r="F33" s="6">
        <f>F31+F32</f>
        <v>341234</v>
      </c>
      <c r="G33" s="6">
        <f>G31+G32</f>
        <v>375642</v>
      </c>
      <c r="H33" s="6">
        <f t="shared" ref="H33" si="25">H31+H32</f>
        <v>392146</v>
      </c>
      <c r="I33" s="6">
        <f t="shared" ref="I33" si="26">I31+I32</f>
        <v>432867</v>
      </c>
      <c r="J33" s="6">
        <f>J31+J32</f>
        <v>446357</v>
      </c>
      <c r="K33" s="6">
        <f>K31+K32</f>
        <v>473010</v>
      </c>
      <c r="L33" s="6">
        <f>L31+L32</f>
        <v>477880</v>
      </c>
      <c r="M33" s="6"/>
      <c r="S33" s="6">
        <f>S31+S32</f>
        <v>1541889</v>
      </c>
      <c r="T33" s="6">
        <f>T31+T32</f>
        <v>1554251</v>
      </c>
    </row>
    <row r="34" spans="1:20" x14ac:dyDescent="0.2">
      <c r="F34" s="10"/>
      <c r="G34" s="10"/>
      <c r="H34" s="10"/>
      <c r="I34" s="10"/>
      <c r="J34" s="10"/>
      <c r="K34" s="10"/>
      <c r="L34" s="10"/>
    </row>
    <row r="35" spans="1:20" x14ac:dyDescent="0.2">
      <c r="A35" s="4" t="s">
        <v>154</v>
      </c>
      <c r="B35" s="10">
        <f>B31/B$7</f>
        <v>0.51510288801580273</v>
      </c>
      <c r="C35" s="10" t="e">
        <f t="shared" ref="C35:E35" si="27">C31/C$7</f>
        <v>#DIV/0!</v>
      </c>
      <c r="D35" s="10">
        <f t="shared" si="27"/>
        <v>0.56178334704146304</v>
      </c>
      <c r="E35" s="10" t="e">
        <f t="shared" si="27"/>
        <v>#DIV/0!</v>
      </c>
      <c r="F35" s="10">
        <f>F31/F$7</f>
        <v>0.61078321620940468</v>
      </c>
      <c r="G35" s="10">
        <f t="shared" ref="G35:J35" si="28">G31/G$7</f>
        <v>0.61792611049882606</v>
      </c>
      <c r="H35" s="10">
        <f t="shared" si="28"/>
        <v>0.55549718727208741</v>
      </c>
      <c r="I35" s="10">
        <f t="shared" si="28"/>
        <v>0.55208874781399364</v>
      </c>
      <c r="J35" s="10">
        <f t="shared" si="28"/>
        <v>0.54169644477402612</v>
      </c>
      <c r="K35" s="10">
        <f>K31/K$7</f>
        <v>0.55600938669372746</v>
      </c>
      <c r="L35" s="10">
        <f>L31/L$7</f>
        <v>0.5730183309617477</v>
      </c>
      <c r="T35" s="10">
        <f>T31/T$7</f>
        <v>0.68957716610766218</v>
      </c>
    </row>
    <row r="36" spans="1:20" x14ac:dyDescent="0.2">
      <c r="A36" s="4" t="s">
        <v>153</v>
      </c>
      <c r="B36" s="10">
        <f>B32/B$7</f>
        <v>0.48489711198419722</v>
      </c>
      <c r="C36" s="10" t="e">
        <f t="shared" ref="C36:E36" si="29">C32/C$7</f>
        <v>#DIV/0!</v>
      </c>
      <c r="D36" s="10">
        <f t="shared" si="29"/>
        <v>0.43821665295853696</v>
      </c>
      <c r="E36" s="10" t="e">
        <f t="shared" si="29"/>
        <v>#DIV/0!</v>
      </c>
      <c r="F36" s="10">
        <f>F32/F$7</f>
        <v>0.38921678379059532</v>
      </c>
      <c r="G36" s="10">
        <f t="shared" ref="G36:L36" si="30">G32/G$7</f>
        <v>0.38207388950117399</v>
      </c>
      <c r="H36" s="10">
        <f t="shared" si="30"/>
        <v>0.44450281272791259</v>
      </c>
      <c r="I36" s="10">
        <f t="shared" si="30"/>
        <v>0.4479112521860063</v>
      </c>
      <c r="J36" s="10">
        <f t="shared" si="30"/>
        <v>0.45830355522597382</v>
      </c>
      <c r="K36" s="10">
        <f t="shared" si="30"/>
        <v>0.4439906133062726</v>
      </c>
      <c r="L36" s="10">
        <f t="shared" si="30"/>
        <v>0.4269816690382523</v>
      </c>
      <c r="T36" s="10">
        <f t="shared" ref="T36" si="31">T32/T$7</f>
        <v>0.31042283389233788</v>
      </c>
    </row>
    <row r="37" spans="1:20" x14ac:dyDescent="0.2">
      <c r="B37" s="24"/>
      <c r="C37" s="24"/>
      <c r="D37" s="24"/>
      <c r="E37" s="24"/>
      <c r="F37" s="25"/>
      <c r="G37" s="25"/>
      <c r="H37" s="25"/>
      <c r="I37" s="25"/>
      <c r="J37" s="25"/>
      <c r="K37" s="25"/>
      <c r="L37" s="25"/>
    </row>
    <row r="38" spans="1:20" x14ac:dyDescent="0.2">
      <c r="A38" s="4" t="s">
        <v>155</v>
      </c>
      <c r="B38" s="24"/>
      <c r="C38" s="24"/>
      <c r="D38" s="24"/>
      <c r="E38" s="24"/>
      <c r="F38" s="25">
        <f t="shared" ref="F38:L39" si="32">F35*F$64</f>
        <v>45265.754936495192</v>
      </c>
      <c r="G38" s="25">
        <f t="shared" si="32"/>
        <v>56185.549523216258</v>
      </c>
      <c r="H38" s="25">
        <f t="shared" si="32"/>
        <v>48219.377843966278</v>
      </c>
      <c r="I38" s="25">
        <f>I35*I$64</f>
        <v>48342.547024836727</v>
      </c>
      <c r="J38" s="25">
        <f t="shared" si="32"/>
        <v>51137.769476002388</v>
      </c>
      <c r="K38" s="25">
        <f>K35*K$64</f>
        <v>56837.503545379594</v>
      </c>
      <c r="L38" s="25">
        <f t="shared" si="32"/>
        <v>61663.075613124631</v>
      </c>
    </row>
    <row r="39" spans="1:20" x14ac:dyDescent="0.2">
      <c r="A39" s="4" t="s">
        <v>156</v>
      </c>
      <c r="B39" s="24"/>
      <c r="C39" s="24"/>
      <c r="D39" s="24"/>
      <c r="E39" s="24"/>
      <c r="F39" s="25">
        <f t="shared" si="32"/>
        <v>28845.245063504812</v>
      </c>
      <c r="G39" s="25">
        <f t="shared" si="32"/>
        <v>34740.45047678375</v>
      </c>
      <c r="H39" s="25">
        <f t="shared" si="32"/>
        <v>38584.622156033722</v>
      </c>
      <c r="I39" s="25">
        <f t="shared" si="32"/>
        <v>39220.452975163273</v>
      </c>
      <c r="J39" s="25">
        <f t="shared" si="32"/>
        <v>43265.230523997605</v>
      </c>
      <c r="K39" s="25">
        <f t="shared" si="32"/>
        <v>45386.496454620406</v>
      </c>
      <c r="L39" s="25">
        <f t="shared" si="32"/>
        <v>45947.924386875369</v>
      </c>
    </row>
    <row r="40" spans="1:20" x14ac:dyDescent="0.2">
      <c r="A40" s="4" t="s">
        <v>157</v>
      </c>
      <c r="B40" s="24"/>
      <c r="C40" s="24"/>
      <c r="D40" s="24"/>
      <c r="E40" s="24"/>
      <c r="F40" s="25">
        <f>F38+F39</f>
        <v>74111</v>
      </c>
      <c r="G40" s="25">
        <f t="shared" ref="G40:L40" si="33">G38+G39</f>
        <v>90926</v>
      </c>
      <c r="H40" s="25">
        <f t="shared" si="33"/>
        <v>86804</v>
      </c>
      <c r="I40" s="25">
        <f t="shared" si="33"/>
        <v>87563</v>
      </c>
      <c r="J40" s="25">
        <f t="shared" si="33"/>
        <v>94403</v>
      </c>
      <c r="K40" s="25">
        <f t="shared" si="33"/>
        <v>102224</v>
      </c>
      <c r="L40" s="25">
        <f t="shared" si="33"/>
        <v>107611</v>
      </c>
    </row>
    <row r="41" spans="1:20" x14ac:dyDescent="0.2">
      <c r="B41" s="24"/>
      <c r="C41" s="24"/>
      <c r="D41" s="24"/>
      <c r="E41" s="24"/>
      <c r="F41" s="25"/>
      <c r="G41" s="25"/>
      <c r="H41" s="25"/>
      <c r="I41" s="25"/>
      <c r="J41" s="25"/>
      <c r="K41" s="25"/>
      <c r="L41" s="25"/>
    </row>
    <row r="42" spans="1:20" x14ac:dyDescent="0.2">
      <c r="A42" s="4" t="s">
        <v>158</v>
      </c>
      <c r="B42" s="24"/>
      <c r="C42" s="24"/>
      <c r="D42" s="24"/>
      <c r="E42" s="24"/>
      <c r="F42" s="25">
        <f>F31-F38</f>
        <v>163154.24506350482</v>
      </c>
      <c r="G42" s="25">
        <f t="shared" ref="G42:L42" si="34">G31-G38</f>
        <v>175933.45047678374</v>
      </c>
      <c r="H42" s="25">
        <f t="shared" si="34"/>
        <v>169616.62215603373</v>
      </c>
      <c r="I42" s="25">
        <f>I31-I38</f>
        <v>190638.45297516327</v>
      </c>
      <c r="J42" s="25">
        <f t="shared" si="34"/>
        <v>190652.23052399763</v>
      </c>
      <c r="K42" s="25">
        <f t="shared" si="34"/>
        <v>206160.49645462041</v>
      </c>
      <c r="L42" s="25">
        <f t="shared" si="34"/>
        <v>212170.92438687535</v>
      </c>
    </row>
    <row r="43" spans="1:20" x14ac:dyDescent="0.2">
      <c r="A43" s="4" t="s">
        <v>159</v>
      </c>
      <c r="B43" s="24"/>
      <c r="C43" s="24"/>
      <c r="D43" s="24"/>
      <c r="E43" s="24"/>
      <c r="F43" s="25">
        <f>F32-F39</f>
        <v>103968.75493649518</v>
      </c>
      <c r="G43" s="25">
        <f t="shared" ref="G43:L43" si="35">G32-G39</f>
        <v>108782.54952321625</v>
      </c>
      <c r="H43" s="25">
        <f t="shared" si="35"/>
        <v>135725.37784396627</v>
      </c>
      <c r="I43" s="25">
        <f t="shared" si="35"/>
        <v>154665.54702483673</v>
      </c>
      <c r="J43" s="25">
        <f t="shared" si="35"/>
        <v>161301.7694760024</v>
      </c>
      <c r="K43" s="25">
        <f t="shared" si="35"/>
        <v>164625.50354537959</v>
      </c>
      <c r="L43" s="25">
        <f t="shared" si="35"/>
        <v>158098.07561312465</v>
      </c>
    </row>
    <row r="44" spans="1:20" x14ac:dyDescent="0.2">
      <c r="A44" s="4" t="s">
        <v>160</v>
      </c>
      <c r="B44" s="24"/>
      <c r="C44" s="24"/>
      <c r="D44" s="24"/>
      <c r="E44" s="24"/>
      <c r="F44" s="25">
        <f>F42+F43</f>
        <v>267123</v>
      </c>
      <c r="G44" s="25">
        <f t="shared" ref="G44:L44" si="36">G42+G43</f>
        <v>284716</v>
      </c>
      <c r="H44" s="25">
        <f t="shared" si="36"/>
        <v>305342</v>
      </c>
      <c r="I44" s="25">
        <f>I42+I43</f>
        <v>345304</v>
      </c>
      <c r="J44" s="25">
        <f t="shared" si="36"/>
        <v>351954</v>
      </c>
      <c r="K44" s="25">
        <f t="shared" si="36"/>
        <v>370786</v>
      </c>
      <c r="L44" s="25">
        <f t="shared" si="36"/>
        <v>370269</v>
      </c>
    </row>
    <row r="45" spans="1:20" x14ac:dyDescent="0.2">
      <c r="B45" s="24"/>
      <c r="C45" s="24"/>
      <c r="D45" s="24"/>
      <c r="E45" s="24"/>
      <c r="F45" s="25"/>
      <c r="G45" s="25"/>
      <c r="H45" s="25"/>
      <c r="I45" s="25"/>
      <c r="J45" s="25"/>
      <c r="K45" s="25"/>
      <c r="L45" s="25"/>
    </row>
    <row r="46" spans="1:20" x14ac:dyDescent="0.2">
      <c r="A46" s="4" t="s">
        <v>161</v>
      </c>
      <c r="B46" s="24"/>
      <c r="C46" s="24"/>
      <c r="D46" s="24"/>
      <c r="E46" s="24"/>
      <c r="F46" s="25"/>
      <c r="G46" s="25"/>
      <c r="H46" s="25"/>
      <c r="I46" s="25"/>
      <c r="J46" s="25"/>
      <c r="K46" s="25">
        <f>K47+K48</f>
        <v>262527</v>
      </c>
      <c r="L46" s="25"/>
    </row>
    <row r="47" spans="1:20" x14ac:dyDescent="0.2">
      <c r="A47" s="4" t="s">
        <v>162</v>
      </c>
      <c r="B47" s="24">
        <v>51897</v>
      </c>
      <c r="C47" s="24"/>
      <c r="D47" s="24">
        <v>93962</v>
      </c>
      <c r="E47" s="24"/>
      <c r="F47" s="25">
        <v>131746</v>
      </c>
      <c r="G47" s="25">
        <v>143253</v>
      </c>
      <c r="H47" s="25">
        <v>125706</v>
      </c>
      <c r="I47" s="25">
        <f>541883-H47-G47-F47</f>
        <v>141178</v>
      </c>
      <c r="J47" s="25">
        <v>139810</v>
      </c>
      <c r="K47" s="25">
        <v>153642</v>
      </c>
      <c r="L47" s="30">
        <v>153552</v>
      </c>
      <c r="M47" s="29">
        <f>T47-L47-K47-J47</f>
        <v>173673</v>
      </c>
      <c r="T47" s="32">
        <v>620677</v>
      </c>
    </row>
    <row r="48" spans="1:20" x14ac:dyDescent="0.2">
      <c r="A48" s="4" t="s">
        <v>71</v>
      </c>
      <c r="B48" s="24">
        <v>41014</v>
      </c>
      <c r="C48" s="24"/>
      <c r="D48" s="24">
        <v>69496</v>
      </c>
      <c r="E48" s="24"/>
      <c r="F48" s="25">
        <v>72543</v>
      </c>
      <c r="G48" s="4">
        <v>75121</v>
      </c>
      <c r="H48" s="25">
        <v>98177</v>
      </c>
      <c r="I48" s="25">
        <f>357546-H48-G48-F48</f>
        <v>111705</v>
      </c>
      <c r="J48" s="25">
        <v>112608</v>
      </c>
      <c r="K48" s="25">
        <v>108885</v>
      </c>
      <c r="L48" s="30">
        <v>93148</v>
      </c>
      <c r="M48" s="29">
        <f t="shared" ref="M48" si="37">T48-L48-K48-J48</f>
        <v>3826855</v>
      </c>
      <c r="T48" s="32">
        <v>4141496</v>
      </c>
    </row>
    <row r="49" spans="1:13" x14ac:dyDescent="0.2">
      <c r="B49" s="24"/>
      <c r="C49" s="24"/>
      <c r="D49" s="24"/>
      <c r="E49" s="24"/>
      <c r="F49" s="25"/>
      <c r="G49" s="25"/>
      <c r="H49" s="25"/>
      <c r="I49" s="25"/>
      <c r="J49" s="25"/>
      <c r="K49" s="25"/>
      <c r="L49" s="25"/>
    </row>
    <row r="50" spans="1:13" x14ac:dyDescent="0.2">
      <c r="A50" s="4" t="s">
        <v>11</v>
      </c>
      <c r="B50" s="24"/>
      <c r="C50" s="24"/>
      <c r="D50" s="24"/>
      <c r="E50" s="24"/>
      <c r="F50" s="25"/>
      <c r="G50" s="25"/>
      <c r="H50" s="25"/>
      <c r="I50" s="25"/>
      <c r="J50" s="25"/>
      <c r="K50" s="25"/>
      <c r="L50" s="25"/>
    </row>
    <row r="51" spans="1:13" x14ac:dyDescent="0.2">
      <c r="A51" s="4" t="s">
        <v>162</v>
      </c>
      <c r="B51" s="25">
        <f t="shared" ref="B51:L51" si="38">B31-B47-B57+B$66*B35</f>
        <v>66230</v>
      </c>
      <c r="C51" s="25" t="e">
        <f t="shared" si="38"/>
        <v>#DIV/0!</v>
      </c>
      <c r="D51" s="25">
        <f t="shared" si="38"/>
        <v>81762.707387875562</v>
      </c>
      <c r="E51" s="25" t="e">
        <f t="shared" si="38"/>
        <v>#DIV/0!</v>
      </c>
      <c r="F51" s="25">
        <f t="shared" si="38"/>
        <v>38296.047392698267</v>
      </c>
      <c r="G51" s="25">
        <f t="shared" si="38"/>
        <v>47871.545977286878</v>
      </c>
      <c r="H51" s="25">
        <f t="shared" si="38"/>
        <v>46879.754622003027</v>
      </c>
      <c r="I51" s="25">
        <f t="shared" si="38"/>
        <v>46778.405838282895</v>
      </c>
      <c r="J51" s="25">
        <f t="shared" si="38"/>
        <v>48061.702672972533</v>
      </c>
      <c r="K51" s="25">
        <f t="shared" si="38"/>
        <v>49162.979805923766</v>
      </c>
      <c r="L51" s="25">
        <f t="shared" si="38"/>
        <v>49474.697861387802</v>
      </c>
    </row>
    <row r="52" spans="1:13" x14ac:dyDescent="0.2">
      <c r="A52" s="4" t="s">
        <v>71</v>
      </c>
      <c r="B52" s="25">
        <f t="shared" ref="B52:L52" si="39">B32-B48-B58+B$66*B36</f>
        <v>70186</v>
      </c>
      <c r="C52" s="25" t="e">
        <f t="shared" si="39"/>
        <v>#DIV/0!</v>
      </c>
      <c r="D52" s="25">
        <f t="shared" si="39"/>
        <v>67577.292612124438</v>
      </c>
      <c r="E52" s="25" t="e">
        <f t="shared" si="39"/>
        <v>#DIV/0!</v>
      </c>
      <c r="F52" s="25">
        <f t="shared" si="39"/>
        <v>35814.952607301733</v>
      </c>
      <c r="G52" s="25">
        <f t="shared" si="39"/>
        <v>43054.454022713115</v>
      </c>
      <c r="H52" s="25">
        <f t="shared" si="39"/>
        <v>39924.245377996973</v>
      </c>
      <c r="I52" s="25">
        <f t="shared" si="39"/>
        <v>40784.594161717112</v>
      </c>
      <c r="J52" s="25">
        <f t="shared" si="39"/>
        <v>46341.297327027474</v>
      </c>
      <c r="K52" s="25">
        <f t="shared" si="39"/>
        <v>53061.020194076234</v>
      </c>
      <c r="L52" s="25">
        <f t="shared" si="39"/>
        <v>58136.302138612205</v>
      </c>
    </row>
    <row r="53" spans="1:13" x14ac:dyDescent="0.2">
      <c r="A53" s="4" t="s">
        <v>175</v>
      </c>
      <c r="B53" s="25">
        <f t="shared" ref="B53:L53" si="40">B51-B$66*B35</f>
        <v>66230</v>
      </c>
      <c r="C53" s="25" t="e">
        <f t="shared" si="40"/>
        <v>#DIV/0!</v>
      </c>
      <c r="D53" s="25">
        <f t="shared" si="40"/>
        <v>28738.786177367074</v>
      </c>
      <c r="E53" s="25" t="e">
        <f t="shared" si="40"/>
        <v>#DIV/0!</v>
      </c>
      <c r="F53" s="25">
        <f t="shared" si="40"/>
        <v>28537.56394732061</v>
      </c>
      <c r="G53" s="25">
        <f t="shared" si="40"/>
        <v>33023.399468110583</v>
      </c>
      <c r="H53" s="25">
        <f t="shared" si="40"/>
        <v>38625.06641913981</v>
      </c>
      <c r="I53" s="25">
        <f t="shared" si="40"/>
        <v>39225.831768187461</v>
      </c>
      <c r="J53" s="25">
        <f t="shared" si="40"/>
        <v>41736.313287346231</v>
      </c>
      <c r="K53" s="25">
        <f t="shared" si="40"/>
        <v>42929.558571700385</v>
      </c>
      <c r="L53" s="25">
        <f t="shared" si="40"/>
        <v>43443.679928015408</v>
      </c>
    </row>
    <row r="54" spans="1:13" x14ac:dyDescent="0.2">
      <c r="A54" s="4" t="s">
        <v>176</v>
      </c>
      <c r="B54" s="25">
        <f t="shared" ref="B54:L54" si="41">B52-B$66*B36</f>
        <v>70186</v>
      </c>
      <c r="C54" s="25" t="e">
        <f t="shared" si="41"/>
        <v>#DIV/0!</v>
      </c>
      <c r="D54" s="25">
        <f t="shared" si="41"/>
        <v>26216.213822632926</v>
      </c>
      <c r="E54" s="25" t="e">
        <f t="shared" si="41"/>
        <v>#DIV/0!</v>
      </c>
      <c r="F54" s="25">
        <f t="shared" si="41"/>
        <v>29596.43605267939</v>
      </c>
      <c r="G54" s="25">
        <f t="shared" si="41"/>
        <v>33873.600531889402</v>
      </c>
      <c r="H54" s="25">
        <f t="shared" si="41"/>
        <v>33318.93358086019</v>
      </c>
      <c r="I54" s="25">
        <f t="shared" si="41"/>
        <v>34657.168231812546</v>
      </c>
      <c r="J54" s="25">
        <f t="shared" si="41"/>
        <v>40989.686712653776</v>
      </c>
      <c r="K54" s="25">
        <f t="shared" si="41"/>
        <v>48083.441428299615</v>
      </c>
      <c r="L54" s="25">
        <f t="shared" si="41"/>
        <v>53642.320071984599</v>
      </c>
    </row>
    <row r="55" spans="1:13" x14ac:dyDescent="0.2"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</row>
    <row r="56" spans="1:13" x14ac:dyDescent="0.2">
      <c r="A56" s="4" t="s">
        <v>163</v>
      </c>
      <c r="B56" s="24"/>
      <c r="C56" s="24"/>
      <c r="D56" s="24"/>
      <c r="E56" s="24"/>
      <c r="F56" s="25"/>
      <c r="G56" s="25"/>
      <c r="H56" s="25"/>
      <c r="I56" s="25"/>
      <c r="J56" s="25"/>
      <c r="K56" s="25"/>
      <c r="L56" s="25"/>
    </row>
    <row r="57" spans="1:13" x14ac:dyDescent="0.2">
      <c r="A57" s="4" t="s">
        <v>164</v>
      </c>
      <c r="B57" s="25">
        <f t="shared" ref="B57:J57" si="42">B35*B69</f>
        <v>0</v>
      </c>
      <c r="C57" s="25" t="e">
        <f t="shared" si="42"/>
        <v>#DIV/0!</v>
      </c>
      <c r="D57" s="25">
        <f t="shared" si="42"/>
        <v>39860.213822632926</v>
      </c>
      <c r="E57" s="25" t="e">
        <f t="shared" si="42"/>
        <v>#DIV/0!</v>
      </c>
      <c r="F57" s="25">
        <f t="shared" si="42"/>
        <v>48136.43605267939</v>
      </c>
      <c r="G57" s="25">
        <f t="shared" si="42"/>
        <v>55842.600531889409</v>
      </c>
      <c r="H57" s="25">
        <f t="shared" si="42"/>
        <v>53504.93358086019</v>
      </c>
      <c r="I57" s="25">
        <f t="shared" si="42"/>
        <v>58577.168231812539</v>
      </c>
      <c r="J57" s="25">
        <f t="shared" si="42"/>
        <v>60243.686712653769</v>
      </c>
      <c r="K57" s="25">
        <f>K35*K$69</f>
        <v>66426.441428299615</v>
      </c>
      <c r="L57" s="25">
        <f>L35*L$69</f>
        <v>76838.320071984592</v>
      </c>
    </row>
    <row r="58" spans="1:13" x14ac:dyDescent="0.2">
      <c r="A58" s="4" t="s">
        <v>165</v>
      </c>
      <c r="B58" s="25">
        <f t="shared" ref="B58:J58" si="43">B36*B$69</f>
        <v>0</v>
      </c>
      <c r="C58" s="25" t="e">
        <f t="shared" si="43"/>
        <v>#DIV/0!</v>
      </c>
      <c r="D58" s="25">
        <f t="shared" si="43"/>
        <v>31092.786177367074</v>
      </c>
      <c r="E58" s="25" t="e">
        <f t="shared" si="43"/>
        <v>#DIV/0!</v>
      </c>
      <c r="F58" s="25">
        <f t="shared" si="43"/>
        <v>30674.563947320607</v>
      </c>
      <c r="G58" s="25">
        <f t="shared" si="43"/>
        <v>34528.399468110598</v>
      </c>
      <c r="H58" s="25">
        <f t="shared" si="43"/>
        <v>42814.06641913981</v>
      </c>
      <c r="I58" s="25">
        <f t="shared" si="43"/>
        <v>47523.831768187454</v>
      </c>
      <c r="J58" s="25">
        <f t="shared" si="43"/>
        <v>50969.313287346224</v>
      </c>
      <c r="K58" s="25">
        <f>K36*K$69</f>
        <v>53043.558571700385</v>
      </c>
      <c r="L58" s="25">
        <f>L36*L$69</f>
        <v>57255.679928015401</v>
      </c>
    </row>
    <row r="59" spans="1:13" x14ac:dyDescent="0.2">
      <c r="B59" s="24"/>
      <c r="C59" s="24"/>
      <c r="D59" s="24"/>
      <c r="E59" s="24"/>
      <c r="F59" s="25"/>
      <c r="G59" s="25"/>
      <c r="H59" s="25"/>
      <c r="I59" s="25"/>
      <c r="J59" s="25"/>
      <c r="K59" s="25"/>
      <c r="L59" s="25"/>
    </row>
    <row r="60" spans="1:13" x14ac:dyDescent="0.2">
      <c r="B60" s="24"/>
      <c r="C60" s="24"/>
      <c r="D60" s="24"/>
      <c r="E60" s="24"/>
      <c r="F60" s="25"/>
      <c r="G60" s="25"/>
      <c r="H60" s="25"/>
      <c r="I60" s="25"/>
      <c r="J60" s="25"/>
      <c r="K60" s="25"/>
      <c r="L60" s="25"/>
    </row>
    <row r="61" spans="1:13" s="8" customFormat="1" x14ac:dyDescent="0.2">
      <c r="A61" s="8" t="s">
        <v>69</v>
      </c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</row>
    <row r="63" spans="1:13" s="11" customFormat="1" x14ac:dyDescent="0.2">
      <c r="A63" s="11" t="s">
        <v>68</v>
      </c>
      <c r="B63" s="12"/>
      <c r="C63" s="12">
        <v>251889</v>
      </c>
      <c r="D63" s="12">
        <v>289366</v>
      </c>
      <c r="E63" s="12">
        <v>322091</v>
      </c>
      <c r="F63" s="12">
        <v>341234</v>
      </c>
      <c r="G63" s="12">
        <v>375642</v>
      </c>
      <c r="H63" s="12">
        <v>392146</v>
      </c>
      <c r="I63" s="12">
        <f>I33</f>
        <v>432867</v>
      </c>
      <c r="J63" s="12">
        <f t="shared" ref="J63:L63" si="44">J33</f>
        <v>446357</v>
      </c>
      <c r="K63" s="12">
        <f t="shared" si="44"/>
        <v>473010</v>
      </c>
      <c r="L63" s="12">
        <f t="shared" si="44"/>
        <v>477880</v>
      </c>
      <c r="M63" s="12"/>
    </row>
    <row r="64" spans="1:13" s="13" customFormat="1" x14ac:dyDescent="0.2">
      <c r="A64" s="13" t="s">
        <v>11</v>
      </c>
      <c r="B64" s="14"/>
      <c r="C64" s="14">
        <v>68410</v>
      </c>
      <c r="D64" s="14">
        <v>149340</v>
      </c>
      <c r="E64" s="14">
        <v>70503</v>
      </c>
      <c r="F64" s="14">
        <v>74111</v>
      </c>
      <c r="G64" s="14">
        <v>90926</v>
      </c>
      <c r="H64" s="14">
        <v>86804</v>
      </c>
      <c r="I64" s="14">
        <v>87563</v>
      </c>
      <c r="J64" s="14">
        <v>94403</v>
      </c>
      <c r="K64" s="14">
        <v>102224</v>
      </c>
      <c r="L64" s="31">
        <v>107611</v>
      </c>
      <c r="M64" s="14"/>
    </row>
    <row r="65" spans="1:31" s="13" customFormat="1" x14ac:dyDescent="0.2">
      <c r="A65" s="13" t="s">
        <v>166</v>
      </c>
      <c r="B65" s="14">
        <f>B64-B66</f>
        <v>0</v>
      </c>
      <c r="C65" s="14">
        <f t="shared" ref="C65:E65" si="45">C64-C66</f>
        <v>68410</v>
      </c>
      <c r="D65" s="14">
        <f t="shared" si="45"/>
        <v>54955</v>
      </c>
      <c r="E65" s="14">
        <f t="shared" si="45"/>
        <v>70503</v>
      </c>
      <c r="F65" s="14">
        <f>F64-F66</f>
        <v>58134</v>
      </c>
      <c r="G65" s="14">
        <f t="shared" ref="G65:I65" si="46">G64-G66</f>
        <v>66897</v>
      </c>
      <c r="H65" s="14">
        <f t="shared" si="46"/>
        <v>71944</v>
      </c>
      <c r="I65" s="14">
        <f t="shared" si="46"/>
        <v>73883</v>
      </c>
      <c r="J65" s="14">
        <f>J64-J66</f>
        <v>82726</v>
      </c>
      <c r="K65" s="14">
        <f>K64-K66</f>
        <v>91013</v>
      </c>
      <c r="L65" s="14">
        <f>L64-L66</f>
        <v>97086</v>
      </c>
      <c r="M65" s="14"/>
    </row>
    <row r="66" spans="1:31" s="13" customFormat="1" x14ac:dyDescent="0.2">
      <c r="A66" s="13" t="s">
        <v>148</v>
      </c>
      <c r="B66" s="14"/>
      <c r="C66" s="14"/>
      <c r="D66" s="14">
        <v>94385</v>
      </c>
      <c r="E66" s="14"/>
      <c r="F66" s="14">
        <v>15977</v>
      </c>
      <c r="G66" s="14">
        <v>24029</v>
      </c>
      <c r="H66" s="14">
        <v>14860</v>
      </c>
      <c r="I66" s="14">
        <f>68546-H66-G66-F66</f>
        <v>13680</v>
      </c>
      <c r="J66" s="14">
        <v>11677</v>
      </c>
      <c r="K66" s="14">
        <v>11211</v>
      </c>
      <c r="L66" s="31">
        <v>10525</v>
      </c>
      <c r="M66" s="14"/>
    </row>
    <row r="67" spans="1:31" s="13" customFormat="1" x14ac:dyDescent="0.2">
      <c r="A67" s="13" t="s">
        <v>20</v>
      </c>
      <c r="B67" s="14"/>
      <c r="C67" s="14">
        <f t="shared" ref="C67:L67" si="47">(C63-C64)</f>
        <v>183479</v>
      </c>
      <c r="D67" s="14">
        <f t="shared" si="47"/>
        <v>140026</v>
      </c>
      <c r="E67" s="14">
        <f t="shared" si="47"/>
        <v>251588</v>
      </c>
      <c r="F67" s="14">
        <f t="shared" si="47"/>
        <v>267123</v>
      </c>
      <c r="G67" s="14">
        <f t="shared" si="47"/>
        <v>284716</v>
      </c>
      <c r="H67" s="14">
        <f t="shared" si="47"/>
        <v>305342</v>
      </c>
      <c r="I67" s="14">
        <f t="shared" si="47"/>
        <v>345304</v>
      </c>
      <c r="J67" s="14">
        <f t="shared" si="47"/>
        <v>351954</v>
      </c>
      <c r="K67" s="14">
        <f t="shared" si="47"/>
        <v>370786</v>
      </c>
      <c r="L67" s="14">
        <f t="shared" si="47"/>
        <v>370269</v>
      </c>
      <c r="M67" s="14"/>
    </row>
    <row r="68" spans="1:31" s="13" customFormat="1" x14ac:dyDescent="0.2">
      <c r="A68" s="11" t="s">
        <v>12</v>
      </c>
      <c r="B68" s="14"/>
      <c r="C68" s="14">
        <v>102518</v>
      </c>
      <c r="D68" s="14">
        <v>334911</v>
      </c>
      <c r="E68" s="14">
        <v>147619</v>
      </c>
      <c r="F68" s="14">
        <v>136097</v>
      </c>
      <c r="G68" s="14">
        <v>162379</v>
      </c>
      <c r="H68" s="14">
        <v>153443</v>
      </c>
      <c r="I68" s="14">
        <v>162593</v>
      </c>
      <c r="J68" s="14">
        <v>160485</v>
      </c>
      <c r="K68" s="14">
        <v>168875</v>
      </c>
      <c r="L68" s="31">
        <v>182918</v>
      </c>
      <c r="M68" s="14"/>
      <c r="S68" s="33">
        <f>SUM(F68:I68)</f>
        <v>614512</v>
      </c>
      <c r="T68" s="33">
        <v>702511</v>
      </c>
    </row>
    <row r="69" spans="1:31" s="13" customFormat="1" x14ac:dyDescent="0.2">
      <c r="A69" s="13" t="s">
        <v>167</v>
      </c>
      <c r="B69" s="14">
        <f>B68-B70</f>
        <v>0</v>
      </c>
      <c r="C69" s="14">
        <f t="shared" ref="C69" si="48">C68-C70</f>
        <v>102518</v>
      </c>
      <c r="D69" s="14">
        <f t="shared" ref="D69" si="49">D68-D70</f>
        <v>70953</v>
      </c>
      <c r="E69" s="14">
        <f t="shared" ref="E69" si="50">E68-E70</f>
        <v>147619</v>
      </c>
      <c r="F69" s="14">
        <f>F68-F70</f>
        <v>78811</v>
      </c>
      <c r="G69" s="14">
        <f t="shared" ref="G69:I69" si="51">G68-G70</f>
        <v>90371</v>
      </c>
      <c r="H69" s="14">
        <f t="shared" si="51"/>
        <v>96319</v>
      </c>
      <c r="I69" s="14">
        <f t="shared" si="51"/>
        <v>106101</v>
      </c>
      <c r="J69" s="14">
        <f>J68-J70</f>
        <v>111213</v>
      </c>
      <c r="K69" s="14">
        <f>K68-K70</f>
        <v>119470</v>
      </c>
      <c r="L69" s="14">
        <f>L68-L70</f>
        <v>134094</v>
      </c>
      <c r="M69" s="14"/>
    </row>
    <row r="70" spans="1:31" s="13" customFormat="1" x14ac:dyDescent="0.2">
      <c r="A70" s="13" t="s">
        <v>149</v>
      </c>
      <c r="B70" s="14"/>
      <c r="C70" s="14"/>
      <c r="D70" s="14">
        <v>263958</v>
      </c>
      <c r="E70" s="14"/>
      <c r="F70" s="14">
        <v>57286</v>
      </c>
      <c r="G70" s="14">
        <v>72008</v>
      </c>
      <c r="H70" s="14">
        <v>57124</v>
      </c>
      <c r="I70" s="14">
        <f>242910-H70-G70-F70</f>
        <v>56492</v>
      </c>
      <c r="J70" s="14">
        <v>49272</v>
      </c>
      <c r="K70" s="14">
        <v>49405</v>
      </c>
      <c r="L70" s="31">
        <v>48824</v>
      </c>
      <c r="M70" s="14"/>
    </row>
    <row r="71" spans="1:31" s="13" customFormat="1" x14ac:dyDescent="0.2">
      <c r="A71" s="11" t="s">
        <v>13</v>
      </c>
      <c r="B71" s="14"/>
      <c r="C71" s="14">
        <v>86815</v>
      </c>
      <c r="D71" s="14">
        <v>313915</v>
      </c>
      <c r="E71" s="14">
        <v>94130</v>
      </c>
      <c r="F71" s="14">
        <v>98471</v>
      </c>
      <c r="G71" s="14">
        <v>110524</v>
      </c>
      <c r="H71" s="14">
        <v>94316</v>
      </c>
      <c r="I71" s="14">
        <v>84176</v>
      </c>
      <c r="J71" s="14">
        <v>88601</v>
      </c>
      <c r="K71" s="14">
        <v>88171</v>
      </c>
      <c r="L71" s="31">
        <v>100863</v>
      </c>
      <c r="M71" s="14"/>
      <c r="S71" s="33">
        <f>SUM(F71:I71)</f>
        <v>387487</v>
      </c>
      <c r="T71" s="33">
        <v>359679</v>
      </c>
    </row>
    <row r="72" spans="1:31" s="13" customFormat="1" x14ac:dyDescent="0.2">
      <c r="A72" s="13" t="s">
        <v>168</v>
      </c>
      <c r="B72" s="14">
        <f>B71-B73</f>
        <v>0</v>
      </c>
      <c r="C72" s="14">
        <f t="shared" ref="C72" si="52">C71-C73</f>
        <v>86815</v>
      </c>
      <c r="D72" s="14">
        <f t="shared" ref="D72" si="53">D71-D73</f>
        <v>57146</v>
      </c>
      <c r="E72" s="14">
        <f t="shared" ref="E72" si="54">E71-E73</f>
        <v>94130</v>
      </c>
      <c r="F72" s="14">
        <f>F71-F73</f>
        <v>60597</v>
      </c>
      <c r="G72" s="14">
        <f t="shared" ref="G72:I72" si="55">G71-G73</f>
        <v>59894</v>
      </c>
      <c r="H72" s="14">
        <f t="shared" si="55"/>
        <v>59844</v>
      </c>
      <c r="I72" s="14">
        <f t="shared" si="55"/>
        <v>56854</v>
      </c>
      <c r="J72" s="14">
        <f>J71-J73</f>
        <v>61696</v>
      </c>
      <c r="K72" s="14">
        <v>63193</v>
      </c>
      <c r="L72" s="31">
        <v>75750</v>
      </c>
      <c r="M72" s="14"/>
    </row>
    <row r="73" spans="1:31" s="13" customFormat="1" x14ac:dyDescent="0.2">
      <c r="A73" s="13" t="s">
        <v>150</v>
      </c>
      <c r="B73" s="14"/>
      <c r="C73" s="14"/>
      <c r="D73" s="14">
        <v>256769</v>
      </c>
      <c r="E73" s="14"/>
      <c r="F73" s="14">
        <v>37874</v>
      </c>
      <c r="G73" s="14">
        <v>50630</v>
      </c>
      <c r="H73" s="14">
        <v>34472</v>
      </c>
      <c r="I73" s="14">
        <f>150298-H73-G73-F73</f>
        <v>27322</v>
      </c>
      <c r="J73" s="14">
        <v>26905</v>
      </c>
      <c r="K73" s="14">
        <f>K71-K72</f>
        <v>24978</v>
      </c>
      <c r="L73" s="31">
        <v>25113</v>
      </c>
      <c r="M73" s="14"/>
    </row>
    <row r="74" spans="1:31" s="13" customFormat="1" x14ac:dyDescent="0.2">
      <c r="A74" s="11" t="s">
        <v>151</v>
      </c>
      <c r="B74" s="14"/>
      <c r="C74" s="14">
        <v>93291</v>
      </c>
      <c r="D74" s="14">
        <v>338977</v>
      </c>
      <c r="E74" s="14">
        <v>166411</v>
      </c>
      <c r="F74" s="14">
        <v>146569</v>
      </c>
      <c r="G74" s="14">
        <v>157961</v>
      </c>
      <c r="H74" s="14">
        <v>149524</v>
      </c>
      <c r="I74" s="14">
        <v>157478</v>
      </c>
      <c r="J74" s="14">
        <v>142307</v>
      </c>
      <c r="K74" s="14">
        <v>155485</v>
      </c>
      <c r="L74" s="31">
        <v>148679</v>
      </c>
      <c r="M74" s="14"/>
      <c r="S74" s="33">
        <f>SUM(F74:I74)</f>
        <v>611532</v>
      </c>
      <c r="T74" s="33">
        <v>596333</v>
      </c>
    </row>
    <row r="75" spans="1:31" s="13" customFormat="1" x14ac:dyDescent="0.2">
      <c r="A75" s="13" t="s">
        <v>169</v>
      </c>
      <c r="B75" s="14">
        <f>B74-B76</f>
        <v>0</v>
      </c>
      <c r="C75" s="14">
        <f t="shared" ref="C75:E75" si="56">C74-C76</f>
        <v>93291</v>
      </c>
      <c r="D75" s="14">
        <f t="shared" si="56"/>
        <v>107130</v>
      </c>
      <c r="E75" s="14">
        <f t="shared" si="56"/>
        <v>166411</v>
      </c>
      <c r="F75" s="14">
        <f>F74-F76</f>
        <v>63975</v>
      </c>
      <c r="G75" s="14">
        <f t="shared" ref="G75:I75" si="57">G74-G76</f>
        <v>71886</v>
      </c>
      <c r="H75" s="14">
        <f t="shared" si="57"/>
        <v>71145</v>
      </c>
      <c r="I75" s="14">
        <f t="shared" si="57"/>
        <v>88065</v>
      </c>
      <c r="J75" s="14">
        <f>J74-J76</f>
        <v>80838</v>
      </c>
      <c r="K75" s="14">
        <v>95310</v>
      </c>
      <c r="L75" s="14">
        <f>L74-L76</f>
        <v>92833</v>
      </c>
      <c r="M75" s="14"/>
    </row>
    <row r="76" spans="1:31" s="13" customFormat="1" x14ac:dyDescent="0.2">
      <c r="A76" s="13" t="s">
        <v>123</v>
      </c>
      <c r="B76" s="14"/>
      <c r="C76" s="14"/>
      <c r="D76" s="14">
        <v>231847</v>
      </c>
      <c r="E76" s="14"/>
      <c r="F76" s="14">
        <v>82594</v>
      </c>
      <c r="G76" s="14">
        <v>86075</v>
      </c>
      <c r="H76" s="14">
        <v>78379</v>
      </c>
      <c r="I76" s="14">
        <f>316461-H76-G76-F76</f>
        <v>69413</v>
      </c>
      <c r="J76" s="14">
        <v>61469</v>
      </c>
      <c r="K76" s="14">
        <f>K74-K75</f>
        <v>60175</v>
      </c>
      <c r="L76" s="31">
        <v>55846</v>
      </c>
      <c r="M76" s="14"/>
    </row>
    <row r="77" spans="1:31" s="13" customFormat="1" x14ac:dyDescent="0.2">
      <c r="A77" s="13" t="s">
        <v>14</v>
      </c>
      <c r="B77" s="14"/>
      <c r="C77" s="14">
        <f>C68+C71+C74</f>
        <v>282624</v>
      </c>
      <c r="D77" s="14">
        <f t="shared" ref="D77:L77" si="58">D68+D71+D74</f>
        <v>987803</v>
      </c>
      <c r="E77" s="14">
        <f t="shared" si="58"/>
        <v>408160</v>
      </c>
      <c r="F77" s="14">
        <f t="shared" si="58"/>
        <v>381137</v>
      </c>
      <c r="G77" s="14">
        <f t="shared" si="58"/>
        <v>430864</v>
      </c>
      <c r="H77" s="14">
        <f t="shared" si="58"/>
        <v>397283</v>
      </c>
      <c r="I77" s="14">
        <f t="shared" si="58"/>
        <v>404247</v>
      </c>
      <c r="J77" s="14">
        <f t="shared" si="58"/>
        <v>391393</v>
      </c>
      <c r="K77" s="14">
        <f t="shared" si="58"/>
        <v>412531</v>
      </c>
      <c r="L77" s="14">
        <f t="shared" si="58"/>
        <v>432460</v>
      </c>
      <c r="M77" s="14"/>
    </row>
    <row r="78" spans="1:31" s="11" customFormat="1" x14ac:dyDescent="0.2">
      <c r="A78" s="11" t="s">
        <v>17</v>
      </c>
      <c r="B78" s="12"/>
      <c r="C78" s="12">
        <f>C67-C77</f>
        <v>-99145</v>
      </c>
      <c r="D78" s="12">
        <f t="shared" ref="D78:L78" si="59">D67-D77</f>
        <v>-847777</v>
      </c>
      <c r="E78" s="12">
        <f t="shared" si="59"/>
        <v>-156572</v>
      </c>
      <c r="F78" s="12">
        <f t="shared" si="59"/>
        <v>-114014</v>
      </c>
      <c r="G78" s="12">
        <f t="shared" si="59"/>
        <v>-146148</v>
      </c>
      <c r="H78" s="12">
        <f t="shared" si="59"/>
        <v>-91941</v>
      </c>
      <c r="I78" s="12">
        <f t="shared" si="59"/>
        <v>-58943</v>
      </c>
      <c r="J78" s="12">
        <f t="shared" si="59"/>
        <v>-39439</v>
      </c>
      <c r="K78" s="12">
        <f>K67-K77</f>
        <v>-41745</v>
      </c>
      <c r="L78" s="12">
        <f t="shared" si="59"/>
        <v>-62191</v>
      </c>
      <c r="M78" s="12"/>
    </row>
    <row r="79" spans="1:31" s="13" customFormat="1" x14ac:dyDescent="0.2">
      <c r="A79" s="13" t="s">
        <v>15</v>
      </c>
      <c r="B79" s="14"/>
      <c r="C79" s="14"/>
      <c r="D79" s="14">
        <v>494</v>
      </c>
      <c r="E79" s="14"/>
      <c r="F79" s="14">
        <v>376</v>
      </c>
      <c r="G79" s="14"/>
      <c r="H79" s="14"/>
      <c r="I79" s="14">
        <f>1607-H79-G79-F79</f>
        <v>1231</v>
      </c>
      <c r="J79" s="14">
        <v>547</v>
      </c>
      <c r="K79" s="14">
        <v>1472</v>
      </c>
      <c r="L79" s="31">
        <v>5540</v>
      </c>
      <c r="M79" s="14"/>
    </row>
    <row r="80" spans="1:31" s="13" customFormat="1" x14ac:dyDescent="0.2">
      <c r="A80" s="13" t="s">
        <v>16</v>
      </c>
      <c r="B80" s="14"/>
      <c r="C80" s="14"/>
      <c r="D80" s="14">
        <v>-2085</v>
      </c>
      <c r="E80" s="14"/>
      <c r="F80" s="14">
        <v>-1840</v>
      </c>
      <c r="G80" s="14"/>
      <c r="H80" s="14"/>
      <c r="I80" s="14">
        <f>-3640-H80-G80-F80</f>
        <v>-1800</v>
      </c>
      <c r="J80" s="14">
        <v>-594</v>
      </c>
      <c r="K80" s="14">
        <v>-670</v>
      </c>
      <c r="L80" s="31">
        <v>-1082</v>
      </c>
      <c r="M80" s="14"/>
      <c r="AE80" s="13">
        <v>1000</v>
      </c>
    </row>
    <row r="81" spans="1:26" s="13" customFormat="1" x14ac:dyDescent="0.2">
      <c r="A81" s="13" t="s">
        <v>18</v>
      </c>
      <c r="B81" s="14"/>
      <c r="C81" s="14"/>
      <c r="D81" s="14">
        <f>-9201-3293</f>
        <v>-12494</v>
      </c>
      <c r="E81" s="14"/>
      <c r="F81" s="14">
        <v>-4894</v>
      </c>
      <c r="G81" s="14"/>
      <c r="H81" s="14"/>
      <c r="I81" s="14">
        <f>-75415-H81-G81-F81</f>
        <v>-70521</v>
      </c>
      <c r="J81" s="14">
        <v>-59870</v>
      </c>
      <c r="K81" s="14">
        <v>-135798</v>
      </c>
      <c r="L81" s="31">
        <v>-65046</v>
      </c>
      <c r="M81" s="14"/>
    </row>
    <row r="82" spans="1:26" s="13" customFormat="1" x14ac:dyDescent="0.2">
      <c r="A82" s="13" t="s">
        <v>7</v>
      </c>
      <c r="B82" s="14"/>
      <c r="C82" s="14">
        <f>C78+C79+C80+C81</f>
        <v>-99145</v>
      </c>
      <c r="D82" s="14">
        <f t="shared" ref="D82:K82" si="60">D78+D79+D80+D81</f>
        <v>-861862</v>
      </c>
      <c r="E82" s="14">
        <f t="shared" si="60"/>
        <v>-156572</v>
      </c>
      <c r="F82" s="14">
        <f t="shared" si="60"/>
        <v>-120372</v>
      </c>
      <c r="G82" s="14">
        <f t="shared" si="60"/>
        <v>-146148</v>
      </c>
      <c r="H82" s="14">
        <f t="shared" si="60"/>
        <v>-91941</v>
      </c>
      <c r="I82" s="14">
        <f t="shared" si="60"/>
        <v>-130033</v>
      </c>
      <c r="J82" s="14">
        <f t="shared" si="60"/>
        <v>-99356</v>
      </c>
      <c r="K82" s="14">
        <f t="shared" si="60"/>
        <v>-176741</v>
      </c>
      <c r="L82" s="14">
        <f>L78+L79+L80+L81</f>
        <v>-122779</v>
      </c>
      <c r="M82" s="14"/>
    </row>
    <row r="83" spans="1:26" s="13" customFormat="1" x14ac:dyDescent="0.2">
      <c r="A83" s="13" t="s">
        <v>19</v>
      </c>
      <c r="B83" s="14"/>
      <c r="C83" s="14">
        <f>(0.943)*1000</f>
        <v>943</v>
      </c>
      <c r="D83" s="14">
        <v>-8543</v>
      </c>
      <c r="E83" s="14">
        <v>-7593</v>
      </c>
      <c r="F83" s="14">
        <v>3102</v>
      </c>
      <c r="G83" s="14">
        <v>-5661</v>
      </c>
      <c r="H83" s="14">
        <v>1438</v>
      </c>
      <c r="I83" s="14">
        <v>33006</v>
      </c>
      <c r="J83" s="14">
        <v>2023.0000000000002</v>
      </c>
      <c r="K83" s="14">
        <v>2588</v>
      </c>
      <c r="L83" s="31">
        <v>1096</v>
      </c>
      <c r="M83" s="14"/>
    </row>
    <row r="84" spans="1:26" s="11" customFormat="1" x14ac:dyDescent="0.2">
      <c r="A84" s="11" t="s">
        <v>8</v>
      </c>
      <c r="B84" s="12"/>
      <c r="C84" s="12">
        <f>(C82-C83)</f>
        <v>-100088</v>
      </c>
      <c r="D84" s="12">
        <f t="shared" ref="D84:L84" si="61">(D82-D83)</f>
        <v>-853319</v>
      </c>
      <c r="E84" s="12">
        <f t="shared" si="61"/>
        <v>-148979</v>
      </c>
      <c r="F84" s="12">
        <f t="shared" si="61"/>
        <v>-123474</v>
      </c>
      <c r="G84" s="12">
        <f t="shared" si="61"/>
        <v>-140487</v>
      </c>
      <c r="H84" s="12">
        <f t="shared" si="61"/>
        <v>-93379</v>
      </c>
      <c r="I84" s="12">
        <f t="shared" si="61"/>
        <v>-163039</v>
      </c>
      <c r="J84" s="12">
        <f>(J82-J83)</f>
        <v>-101379</v>
      </c>
      <c r="K84" s="12">
        <f t="shared" si="61"/>
        <v>-179329</v>
      </c>
      <c r="L84" s="12">
        <f t="shared" si="61"/>
        <v>-123875</v>
      </c>
      <c r="M84" s="12"/>
    </row>
    <row r="85" spans="1:26" x14ac:dyDescent="0.2">
      <c r="A85" s="13" t="s">
        <v>174</v>
      </c>
      <c r="C85" s="15"/>
      <c r="D85" s="15"/>
      <c r="E85" s="15"/>
      <c r="F85" s="15"/>
      <c r="G85" s="15"/>
      <c r="H85" s="15"/>
      <c r="I85" s="15"/>
      <c r="J85" s="15"/>
      <c r="K85" s="14">
        <v>2054799</v>
      </c>
      <c r="L85" s="31">
        <v>2073265</v>
      </c>
      <c r="M85" s="15"/>
      <c r="R85" s="16"/>
      <c r="S85" s="16"/>
      <c r="T85" s="16"/>
      <c r="U85" s="16"/>
      <c r="V85" s="16"/>
      <c r="W85" s="16"/>
      <c r="X85" s="16"/>
      <c r="Y85" s="16"/>
      <c r="Z85" s="16"/>
    </row>
    <row r="86" spans="1:26" s="13" customFormat="1" x14ac:dyDescent="0.2">
      <c r="A86" s="13" t="s">
        <v>173</v>
      </c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</row>
    <row r="89" spans="1:26" s="7" customFormat="1" x14ac:dyDescent="0.2">
      <c r="A89" s="11" t="s">
        <v>9</v>
      </c>
      <c r="B89" s="6"/>
      <c r="C89" s="6"/>
      <c r="D89" s="17">
        <f t="shared" ref="D89:L89" si="62">D63/C63-1</f>
        <v>0.14878378968513917</v>
      </c>
      <c r="E89" s="17">
        <f t="shared" si="62"/>
        <v>0.11309207025013301</v>
      </c>
      <c r="F89" s="17">
        <f t="shared" si="62"/>
        <v>5.9433514131099541E-2</v>
      </c>
      <c r="G89" s="17">
        <f t="shared" si="62"/>
        <v>0.10083403177877948</v>
      </c>
      <c r="H89" s="17">
        <f t="shared" si="62"/>
        <v>4.3935449177674446E-2</v>
      </c>
      <c r="I89" s="17">
        <f t="shared" si="62"/>
        <v>0.10384142640751159</v>
      </c>
      <c r="J89" s="17">
        <f t="shared" si="62"/>
        <v>3.1164306819415621E-2</v>
      </c>
      <c r="K89" s="17">
        <f t="shared" si="62"/>
        <v>5.9712293074825729E-2</v>
      </c>
      <c r="L89" s="17">
        <f t="shared" si="62"/>
        <v>1.0295765417221547E-2</v>
      </c>
      <c r="M89" s="18"/>
      <c r="S89" s="19"/>
      <c r="T89" s="19"/>
      <c r="U89" s="19"/>
      <c r="V89" s="19"/>
      <c r="W89" s="19"/>
      <c r="X89" s="19"/>
      <c r="Y89" s="19"/>
      <c r="Z89" s="19"/>
    </row>
    <row r="90" spans="1:26" x14ac:dyDescent="0.2">
      <c r="A90" s="4" t="s">
        <v>10</v>
      </c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R90" s="20"/>
      <c r="S90" s="20"/>
      <c r="T90" s="20"/>
      <c r="U90" s="20"/>
      <c r="V90" s="20"/>
      <c r="W90" s="20"/>
      <c r="X90" s="20"/>
      <c r="Y90" s="20"/>
      <c r="Z90" s="20"/>
    </row>
    <row r="92" spans="1:26" s="22" customFormat="1" x14ac:dyDescent="0.2">
      <c r="A92" s="8" t="s">
        <v>145</v>
      </c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</row>
    <row r="93" spans="1:26" s="13" customFormat="1" x14ac:dyDescent="0.2">
      <c r="A93" s="13" t="s">
        <v>21</v>
      </c>
      <c r="B93" s="14"/>
      <c r="C93" s="14"/>
      <c r="D93" s="14"/>
      <c r="E93" s="14"/>
      <c r="F93" s="14"/>
      <c r="G93" s="14"/>
      <c r="H93" s="14"/>
      <c r="I93" s="14"/>
      <c r="J93" s="14">
        <v>2269411</v>
      </c>
      <c r="K93" s="14"/>
      <c r="L93" s="14"/>
      <c r="M93" s="14"/>
    </row>
    <row r="94" spans="1:26" s="13" customFormat="1" x14ac:dyDescent="0.2">
      <c r="A94" s="13" t="s">
        <v>23</v>
      </c>
      <c r="B94" s="14"/>
      <c r="C94" s="14"/>
      <c r="D94" s="14"/>
      <c r="E94" s="14"/>
      <c r="F94" s="14"/>
      <c r="G94" s="14"/>
      <c r="H94" s="14"/>
      <c r="I94" s="14"/>
      <c r="J94" s="14">
        <v>33804</v>
      </c>
      <c r="K94" s="14"/>
      <c r="L94" s="14"/>
      <c r="M94" s="14"/>
    </row>
    <row r="95" spans="1:26" s="13" customFormat="1" x14ac:dyDescent="0.2">
      <c r="A95" s="13" t="s">
        <v>24</v>
      </c>
      <c r="B95" s="14"/>
      <c r="C95" s="14"/>
      <c r="D95" s="14"/>
      <c r="E95" s="14"/>
      <c r="F95" s="14"/>
      <c r="G95" s="14"/>
      <c r="H95" s="14"/>
      <c r="I95" s="14"/>
      <c r="J95" s="13">
        <v>256554</v>
      </c>
      <c r="K95" s="14"/>
      <c r="L95" s="14"/>
      <c r="M95" s="14"/>
    </row>
    <row r="96" spans="1:26" s="13" customFormat="1" x14ac:dyDescent="0.2">
      <c r="A96" s="13" t="s">
        <v>79</v>
      </c>
      <c r="B96" s="14"/>
      <c r="C96" s="14"/>
      <c r="D96" s="14"/>
      <c r="E96" s="14"/>
      <c r="F96" s="14"/>
      <c r="G96" s="14"/>
      <c r="H96" s="14"/>
      <c r="I96" s="14"/>
      <c r="J96" s="13">
        <v>252563</v>
      </c>
      <c r="K96" s="14"/>
      <c r="L96" s="14"/>
      <c r="M96" s="14"/>
    </row>
    <row r="97" spans="1:13" x14ac:dyDescent="0.2">
      <c r="A97" s="4" t="s">
        <v>132</v>
      </c>
      <c r="J97" s="5">
        <v>115042</v>
      </c>
    </row>
    <row r="98" spans="1:13" x14ac:dyDescent="0.2">
      <c r="A98" s="4" t="s">
        <v>146</v>
      </c>
      <c r="J98" s="14">
        <f>J93+J94+J95+J96+J97</f>
        <v>2927374</v>
      </c>
    </row>
    <row r="99" spans="1:13" s="13" customFormat="1" x14ac:dyDescent="0.2">
      <c r="A99" s="13" t="s">
        <v>25</v>
      </c>
      <c r="B99" s="14"/>
      <c r="C99" s="14"/>
      <c r="D99" s="14"/>
      <c r="E99" s="14"/>
      <c r="F99" s="14"/>
      <c r="G99" s="14"/>
      <c r="H99" s="14"/>
      <c r="I99" s="14"/>
      <c r="J99" s="14">
        <v>41866</v>
      </c>
      <c r="K99" s="14"/>
      <c r="L99" s="14"/>
      <c r="M99" s="14"/>
    </row>
    <row r="100" spans="1:13" s="13" customFormat="1" x14ac:dyDescent="0.2">
      <c r="A100" s="13" t="s">
        <v>26</v>
      </c>
      <c r="B100" s="14"/>
      <c r="C100" s="14"/>
      <c r="D100" s="14"/>
      <c r="E100" s="14"/>
      <c r="F100" s="14"/>
      <c r="G100" s="14"/>
      <c r="H100" s="14"/>
      <c r="I100" s="14"/>
      <c r="J100" s="14">
        <v>29222</v>
      </c>
      <c r="K100" s="14"/>
      <c r="L100" s="14"/>
      <c r="M100" s="14"/>
    </row>
    <row r="101" spans="1:13" s="13" customFormat="1" x14ac:dyDescent="0.2">
      <c r="A101" s="13" t="s">
        <v>27</v>
      </c>
      <c r="B101" s="14"/>
      <c r="C101" s="14"/>
      <c r="D101" s="14"/>
      <c r="E101" s="14"/>
      <c r="F101" s="14"/>
      <c r="G101" s="14"/>
      <c r="H101" s="14"/>
      <c r="I101" s="14"/>
      <c r="J101" s="14">
        <v>224888</v>
      </c>
      <c r="K101" s="14"/>
      <c r="L101" s="14"/>
      <c r="M101" s="14"/>
    </row>
    <row r="102" spans="1:13" s="13" customFormat="1" x14ac:dyDescent="0.2">
      <c r="A102" s="13" t="s">
        <v>28</v>
      </c>
      <c r="B102" s="14"/>
      <c r="C102" s="14"/>
      <c r="D102" s="14"/>
      <c r="E102" s="14"/>
      <c r="F102" s="14"/>
      <c r="G102" s="14"/>
      <c r="H102" s="14"/>
      <c r="I102" s="14"/>
      <c r="J102" s="14">
        <v>95829</v>
      </c>
      <c r="K102" s="14"/>
      <c r="L102" s="14"/>
      <c r="M102" s="14"/>
    </row>
    <row r="103" spans="1:13" x14ac:dyDescent="0.2">
      <c r="A103" s="13" t="s">
        <v>29</v>
      </c>
      <c r="J103" s="14">
        <f>J98+J99+J100+J101+J102</f>
        <v>3319179</v>
      </c>
    </row>
    <row r="104" spans="1:13" s="13" customFormat="1" x14ac:dyDescent="0.2"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</row>
    <row r="105" spans="1:13" s="13" customFormat="1" x14ac:dyDescent="0.2">
      <c r="A105" s="13" t="s">
        <v>30</v>
      </c>
      <c r="B105" s="14"/>
      <c r="C105" s="14"/>
      <c r="D105" s="14"/>
      <c r="E105" s="14"/>
      <c r="F105" s="14"/>
      <c r="G105" s="14"/>
      <c r="H105" s="14"/>
      <c r="I105" s="14"/>
      <c r="J105" s="14">
        <v>27454</v>
      </c>
      <c r="K105" s="14"/>
      <c r="L105" s="14"/>
      <c r="M105" s="14"/>
    </row>
    <row r="106" spans="1:13" s="13" customFormat="1" x14ac:dyDescent="0.2">
      <c r="A106" s="13" t="s">
        <v>31</v>
      </c>
      <c r="B106" s="14"/>
      <c r="C106" s="14"/>
      <c r="D106" s="14"/>
      <c r="E106" s="14"/>
      <c r="F106" s="14"/>
      <c r="G106" s="14"/>
      <c r="H106" s="14"/>
      <c r="I106" s="14"/>
      <c r="J106" s="14">
        <v>150176</v>
      </c>
      <c r="K106" s="14"/>
      <c r="L106" s="14"/>
      <c r="M106" s="14"/>
    </row>
    <row r="107" spans="1:13" s="13" customFormat="1" x14ac:dyDescent="0.2">
      <c r="A107" s="13" t="s">
        <v>32</v>
      </c>
      <c r="B107" s="14"/>
      <c r="C107" s="14"/>
      <c r="D107" s="14"/>
      <c r="E107" s="14"/>
      <c r="F107" s="14"/>
      <c r="G107" s="14"/>
      <c r="H107" s="14"/>
      <c r="I107" s="14"/>
      <c r="J107" s="14">
        <v>218521</v>
      </c>
      <c r="K107" s="14"/>
      <c r="L107" s="14"/>
      <c r="M107" s="14"/>
    </row>
    <row r="108" spans="1:13" s="13" customFormat="1" x14ac:dyDescent="0.2">
      <c r="A108" s="13" t="s">
        <v>33</v>
      </c>
      <c r="B108" s="14"/>
      <c r="C108" s="14"/>
      <c r="D108" s="14"/>
      <c r="E108" s="14"/>
      <c r="F108" s="14"/>
      <c r="G108" s="14"/>
      <c r="H108" s="14"/>
      <c r="I108" s="14"/>
      <c r="J108" s="14">
        <v>232908</v>
      </c>
      <c r="K108" s="14"/>
      <c r="L108" s="14"/>
      <c r="M108" s="14"/>
    </row>
    <row r="109" spans="1:13" s="13" customFormat="1" x14ac:dyDescent="0.2">
      <c r="A109" s="13" t="s">
        <v>34</v>
      </c>
      <c r="B109" s="14"/>
      <c r="C109" s="14"/>
      <c r="D109" s="14"/>
      <c r="E109" s="14"/>
      <c r="F109" s="14"/>
      <c r="G109" s="14"/>
      <c r="H109" s="14"/>
      <c r="I109" s="14"/>
      <c r="J109" s="14">
        <v>40045</v>
      </c>
      <c r="K109" s="14"/>
      <c r="L109" s="14"/>
      <c r="M109" s="14"/>
    </row>
    <row r="110" spans="1:13" s="13" customFormat="1" x14ac:dyDescent="0.2">
      <c r="A110" s="13" t="s">
        <v>35</v>
      </c>
      <c r="B110" s="14"/>
      <c r="C110" s="14"/>
      <c r="D110" s="14"/>
      <c r="E110" s="14"/>
      <c r="F110" s="14"/>
      <c r="G110" s="14"/>
      <c r="H110" s="14"/>
      <c r="I110" s="14"/>
      <c r="J110" s="14">
        <f>J105+J106+J107+J108+J109</f>
        <v>669104</v>
      </c>
      <c r="K110" s="14"/>
      <c r="L110" s="14"/>
      <c r="M110" s="14"/>
    </row>
    <row r="111" spans="1:13" s="13" customFormat="1" x14ac:dyDescent="0.2">
      <c r="A111" s="13" t="s">
        <v>36</v>
      </c>
      <c r="B111" s="14"/>
      <c r="C111" s="14"/>
      <c r="D111" s="14"/>
      <c r="E111" s="14"/>
      <c r="F111" s="14"/>
      <c r="G111" s="14"/>
      <c r="H111" s="14"/>
      <c r="I111" s="14"/>
      <c r="J111" s="14">
        <v>33244</v>
      </c>
      <c r="K111" s="14"/>
      <c r="L111" s="14"/>
      <c r="M111" s="14"/>
    </row>
    <row r="112" spans="1:13" x14ac:dyDescent="0.2">
      <c r="A112" s="13" t="s">
        <v>37</v>
      </c>
      <c r="J112" s="5">
        <v>22276</v>
      </c>
    </row>
    <row r="113" spans="1:13" s="13" customFormat="1" x14ac:dyDescent="0.2">
      <c r="A113" s="13" t="s">
        <v>38</v>
      </c>
      <c r="B113" s="14"/>
      <c r="C113" s="14"/>
      <c r="D113" s="14"/>
      <c r="E113" s="14"/>
      <c r="F113" s="14"/>
      <c r="G113" s="14"/>
      <c r="H113" s="14"/>
      <c r="I113" s="14"/>
      <c r="J113" s="14">
        <v>227617</v>
      </c>
      <c r="K113" s="14"/>
      <c r="L113" s="14"/>
      <c r="M113" s="14"/>
    </row>
    <row r="114" spans="1:13" x14ac:dyDescent="0.2">
      <c r="A114" s="13" t="s">
        <v>39</v>
      </c>
      <c r="J114" s="5">
        <v>2192</v>
      </c>
    </row>
    <row r="115" spans="1:13" x14ac:dyDescent="0.2">
      <c r="A115" s="13" t="s">
        <v>40</v>
      </c>
      <c r="J115" s="14">
        <f>J110+J111+J112+J113+J114</f>
        <v>954433</v>
      </c>
    </row>
    <row r="117" spans="1:13" x14ac:dyDescent="0.2">
      <c r="A117" s="13" t="s">
        <v>45</v>
      </c>
    </row>
    <row r="118" spans="1:13" x14ac:dyDescent="0.2">
      <c r="A118" s="13" t="s">
        <v>41</v>
      </c>
      <c r="J118" s="5">
        <v>2046</v>
      </c>
    </row>
    <row r="119" spans="1:13" x14ac:dyDescent="0.2">
      <c r="A119" s="13" t="s">
        <v>42</v>
      </c>
      <c r="J119" s="5">
        <v>7953856</v>
      </c>
    </row>
    <row r="120" spans="1:13" x14ac:dyDescent="0.2">
      <c r="A120" s="13" t="s">
        <v>147</v>
      </c>
      <c r="J120" s="5">
        <v>-4044</v>
      </c>
    </row>
    <row r="121" spans="1:13" x14ac:dyDescent="0.2">
      <c r="A121" s="13" t="s">
        <v>43</v>
      </c>
      <c r="J121" s="5">
        <v>-5587112</v>
      </c>
    </row>
    <row r="122" spans="1:13" x14ac:dyDescent="0.2">
      <c r="A122" s="13" t="s">
        <v>44</v>
      </c>
      <c r="J122" s="5">
        <f>J118+J119+J120+J121</f>
        <v>2364746</v>
      </c>
    </row>
    <row r="123" spans="1:13" x14ac:dyDescent="0.2">
      <c r="A123" s="13"/>
      <c r="J123" s="4"/>
    </row>
    <row r="124" spans="1:13" x14ac:dyDescent="0.2">
      <c r="A124" s="13" t="s">
        <v>46</v>
      </c>
      <c r="J124" s="14">
        <f>J122+J115</f>
        <v>3319179</v>
      </c>
    </row>
    <row r="125" spans="1:13" x14ac:dyDescent="0.2">
      <c r="A125" s="13" t="s">
        <v>47</v>
      </c>
      <c r="J125" s="14">
        <f>J103-J124</f>
        <v>0</v>
      </c>
    </row>
    <row r="127" spans="1:13" s="22" customFormat="1" x14ac:dyDescent="0.2">
      <c r="A127" s="8" t="s">
        <v>75</v>
      </c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</row>
    <row r="128" spans="1:13" x14ac:dyDescent="0.2">
      <c r="A128" s="4" t="s">
        <v>8</v>
      </c>
      <c r="B128" s="14">
        <f>B84</f>
        <v>0</v>
      </c>
      <c r="C128" s="14">
        <f t="shared" ref="C128:M128" si="63">C84</f>
        <v>-100088</v>
      </c>
      <c r="D128" s="14">
        <f t="shared" si="63"/>
        <v>-853319</v>
      </c>
      <c r="E128" s="14">
        <f t="shared" si="63"/>
        <v>-148979</v>
      </c>
      <c r="F128" s="14">
        <f t="shared" si="63"/>
        <v>-123474</v>
      </c>
      <c r="G128" s="14">
        <f t="shared" si="63"/>
        <v>-140487</v>
      </c>
      <c r="H128" s="14">
        <f t="shared" si="63"/>
        <v>-93379</v>
      </c>
      <c r="I128" s="14">
        <f t="shared" si="63"/>
        <v>-163039</v>
      </c>
      <c r="J128" s="14">
        <f t="shared" si="63"/>
        <v>-101379</v>
      </c>
      <c r="K128" s="14">
        <f t="shared" si="63"/>
        <v>-179329</v>
      </c>
      <c r="L128" s="14">
        <f t="shared" si="63"/>
        <v>-123875</v>
      </c>
      <c r="M128" s="14">
        <f t="shared" si="63"/>
        <v>0</v>
      </c>
    </row>
    <row r="129" spans="1:11" x14ac:dyDescent="0.2">
      <c r="A129" s="4" t="s">
        <v>125</v>
      </c>
    </row>
    <row r="130" spans="1:11" x14ac:dyDescent="0.2">
      <c r="A130" s="4" t="s">
        <v>126</v>
      </c>
      <c r="J130" s="5">
        <v>4312</v>
      </c>
      <c r="K130" s="5">
        <f>9207-J130</f>
        <v>4895</v>
      </c>
    </row>
    <row r="131" spans="1:11" x14ac:dyDescent="0.2">
      <c r="A131" s="4" t="s">
        <v>127</v>
      </c>
      <c r="J131" s="5">
        <v>149323</v>
      </c>
      <c r="K131" s="5">
        <f>295092-J131</f>
        <v>145769</v>
      </c>
    </row>
    <row r="132" spans="1:11" x14ac:dyDescent="0.2">
      <c r="A132" s="4" t="s">
        <v>128</v>
      </c>
      <c r="J132" s="5">
        <v>-3</v>
      </c>
    </row>
    <row r="133" spans="1:11" x14ac:dyDescent="0.2">
      <c r="A133" s="4" t="s">
        <v>129</v>
      </c>
      <c r="J133" s="5">
        <v>10142</v>
      </c>
    </row>
    <row r="134" spans="1:11" x14ac:dyDescent="0.2">
      <c r="A134" s="4" t="s">
        <v>130</v>
      </c>
      <c r="J134" s="5">
        <v>62843</v>
      </c>
    </row>
    <row r="135" spans="1:11" x14ac:dyDescent="0.2">
      <c r="A135" s="4" t="s">
        <v>131</v>
      </c>
      <c r="J135" s="5">
        <v>-2751</v>
      </c>
    </row>
    <row r="136" spans="1:11" x14ac:dyDescent="0.2">
      <c r="A136" s="4" t="s">
        <v>22</v>
      </c>
      <c r="J136" s="5">
        <v>-65867</v>
      </c>
    </row>
    <row r="137" spans="1:11" x14ac:dyDescent="0.2">
      <c r="A137" s="4" t="s">
        <v>132</v>
      </c>
      <c r="J137" s="5">
        <v>-4320</v>
      </c>
    </row>
    <row r="138" spans="1:11" x14ac:dyDescent="0.2">
      <c r="A138" s="4" t="s">
        <v>28</v>
      </c>
      <c r="J138" s="5">
        <v>2891</v>
      </c>
    </row>
    <row r="139" spans="1:11" x14ac:dyDescent="0.2">
      <c r="A139" s="4" t="s">
        <v>30</v>
      </c>
      <c r="J139" s="5">
        <v>-47404</v>
      </c>
    </row>
    <row r="140" spans="1:11" x14ac:dyDescent="0.2">
      <c r="A140" s="4" t="s">
        <v>31</v>
      </c>
      <c r="J140" s="5">
        <v>-5334</v>
      </c>
    </row>
    <row r="141" spans="1:11" x14ac:dyDescent="0.2">
      <c r="A141" s="4" t="s">
        <v>32</v>
      </c>
      <c r="J141" s="5">
        <v>-16335</v>
      </c>
    </row>
    <row r="142" spans="1:11" x14ac:dyDescent="0.2">
      <c r="A142" s="4" t="s">
        <v>33</v>
      </c>
      <c r="J142" s="5">
        <v>59822</v>
      </c>
    </row>
    <row r="143" spans="1:11" x14ac:dyDescent="0.2">
      <c r="A143" s="4" t="s">
        <v>34</v>
      </c>
      <c r="J143" s="5">
        <v>-10388</v>
      </c>
    </row>
    <row r="144" spans="1:11" x14ac:dyDescent="0.2">
      <c r="A144" s="4" t="s">
        <v>133</v>
      </c>
      <c r="J144" s="5">
        <v>-75</v>
      </c>
    </row>
    <row r="145" spans="1:10" x14ac:dyDescent="0.2">
      <c r="A145" s="4" t="s">
        <v>134</v>
      </c>
      <c r="J145" s="14">
        <f>J128+J130+J131+J132+J133+J134+J135+J136+J137+J138+J139+J140+J141+J142+J143+J144</f>
        <v>35477</v>
      </c>
    </row>
    <row r="147" spans="1:10" x14ac:dyDescent="0.2">
      <c r="A147" s="4" t="s">
        <v>135</v>
      </c>
      <c r="J147" s="5">
        <v>-15215</v>
      </c>
    </row>
    <row r="148" spans="1:10" x14ac:dyDescent="0.2">
      <c r="A148" s="4" t="s">
        <v>136</v>
      </c>
      <c r="J148" s="5">
        <v>-89500</v>
      </c>
    </row>
    <row r="149" spans="1:10" x14ac:dyDescent="0.2">
      <c r="A149" s="4" t="s">
        <v>137</v>
      </c>
      <c r="J149" s="5">
        <v>8247</v>
      </c>
    </row>
    <row r="150" spans="1:10" x14ac:dyDescent="0.2">
      <c r="A150" s="4" t="s">
        <v>138</v>
      </c>
      <c r="J150" s="5">
        <f>J147+J148+J149</f>
        <v>-96468</v>
      </c>
    </row>
    <row r="152" spans="1:10" x14ac:dyDescent="0.2">
      <c r="A152" s="4" t="s">
        <v>139</v>
      </c>
      <c r="J152" s="5">
        <v>27225</v>
      </c>
    </row>
    <row r="153" spans="1:10" x14ac:dyDescent="0.2">
      <c r="A153" s="4" t="s">
        <v>140</v>
      </c>
      <c r="J153" s="5">
        <v>16</v>
      </c>
    </row>
    <row r="154" spans="1:10" x14ac:dyDescent="0.2">
      <c r="A154" s="4" t="s">
        <v>141</v>
      </c>
      <c r="J154" s="5">
        <f>J152+J153</f>
        <v>27241</v>
      </c>
    </row>
    <row r="156" spans="1:10" x14ac:dyDescent="0.2">
      <c r="A156" s="4" t="s">
        <v>142</v>
      </c>
      <c r="J156" s="14">
        <f>J145+J150+J154</f>
        <v>-33750</v>
      </c>
    </row>
    <row r="157" spans="1:10" x14ac:dyDescent="0.2">
      <c r="A157" s="4" t="s">
        <v>143</v>
      </c>
      <c r="J157" s="14">
        <f>I158</f>
        <v>2366914</v>
      </c>
    </row>
    <row r="158" spans="1:10" x14ac:dyDescent="0.2">
      <c r="A158" s="4" t="s">
        <v>144</v>
      </c>
      <c r="I158" s="5">
        <v>2366914</v>
      </c>
      <c r="J158" s="14">
        <f>J156+J157</f>
        <v>2333164</v>
      </c>
    </row>
    <row r="202" spans="1:12" x14ac:dyDescent="0.2">
      <c r="A202" s="7"/>
    </row>
    <row r="203" spans="1:12" x14ac:dyDescent="0.2">
      <c r="A203" s="7" t="s">
        <v>82</v>
      </c>
    </row>
    <row r="204" spans="1:12" x14ac:dyDescent="0.2">
      <c r="A204" s="4" t="s">
        <v>76</v>
      </c>
    </row>
    <row r="205" spans="1:12" x14ac:dyDescent="0.2">
      <c r="A205" s="4" t="s">
        <v>77</v>
      </c>
      <c r="I205" s="5">
        <v>507317</v>
      </c>
      <c r="L205" s="5">
        <v>914646</v>
      </c>
    </row>
    <row r="206" spans="1:12" x14ac:dyDescent="0.2">
      <c r="A206" s="4" t="s">
        <v>78</v>
      </c>
      <c r="I206" s="5">
        <v>6844</v>
      </c>
      <c r="L206" s="5">
        <v>7379</v>
      </c>
    </row>
    <row r="207" spans="1:12" x14ac:dyDescent="0.2">
      <c r="A207" s="4" t="s">
        <v>80</v>
      </c>
      <c r="I207" s="5">
        <v>45048</v>
      </c>
      <c r="L207" s="5">
        <v>24477</v>
      </c>
    </row>
    <row r="208" spans="1:12" x14ac:dyDescent="0.2">
      <c r="A208" s="4" t="s">
        <v>79</v>
      </c>
      <c r="I208" s="5">
        <v>234153</v>
      </c>
      <c r="L208" s="5">
        <v>57342</v>
      </c>
    </row>
    <row r="210" spans="1:12" x14ac:dyDescent="0.2">
      <c r="A210" s="4" t="s">
        <v>81</v>
      </c>
      <c r="I210" s="5">
        <f>I205+I206+I207+I208</f>
        <v>793362</v>
      </c>
      <c r="J210" s="5">
        <f t="shared" ref="J210:L210" si="64">J205+J206+J207+J208</f>
        <v>0</v>
      </c>
      <c r="K210" s="5">
        <f t="shared" si="64"/>
        <v>0</v>
      </c>
      <c r="L210" s="5">
        <f t="shared" si="64"/>
        <v>1003844</v>
      </c>
    </row>
    <row r="212" spans="1:12" x14ac:dyDescent="0.2">
      <c r="A212" s="7" t="s">
        <v>124</v>
      </c>
    </row>
    <row r="213" spans="1:12" x14ac:dyDescent="0.2">
      <c r="A213" s="4" t="s">
        <v>83</v>
      </c>
      <c r="L213" s="5">
        <v>77320</v>
      </c>
    </row>
    <row r="214" spans="1:12" x14ac:dyDescent="0.2">
      <c r="A214" s="4" t="s">
        <v>84</v>
      </c>
      <c r="L214" s="5">
        <v>36685</v>
      </c>
    </row>
    <row r="215" spans="1:12" x14ac:dyDescent="0.2">
      <c r="A215" s="4" t="s">
        <v>85</v>
      </c>
      <c r="L215" s="5">
        <v>12116</v>
      </c>
    </row>
    <row r="216" spans="1:12" x14ac:dyDescent="0.2">
      <c r="A216" s="4" t="s">
        <v>86</v>
      </c>
      <c r="L216" s="5">
        <v>6378</v>
      </c>
    </row>
    <row r="217" spans="1:12" x14ac:dyDescent="0.2">
      <c r="A217" s="4" t="s">
        <v>87</v>
      </c>
      <c r="L217" s="5">
        <f>L213+L214+L215+L216</f>
        <v>132499</v>
      </c>
    </row>
    <row r="218" spans="1:12" x14ac:dyDescent="0.2">
      <c r="A218" s="4" t="s">
        <v>88</v>
      </c>
      <c r="L218" s="5">
        <v>-74677</v>
      </c>
    </row>
    <row r="219" spans="1:12" x14ac:dyDescent="0.2">
      <c r="A219" s="4" t="s">
        <v>25</v>
      </c>
      <c r="L219" s="5">
        <f>L217+L218</f>
        <v>57822</v>
      </c>
    </row>
    <row r="229" spans="1:11" x14ac:dyDescent="0.2">
      <c r="A229" s="7" t="s">
        <v>31</v>
      </c>
    </row>
    <row r="230" spans="1:11" x14ac:dyDescent="0.2">
      <c r="A230" s="4" t="s">
        <v>89</v>
      </c>
      <c r="K230" s="5">
        <v>47046</v>
      </c>
    </row>
    <row r="231" spans="1:11" x14ac:dyDescent="0.2">
      <c r="A231" s="4" t="s">
        <v>90</v>
      </c>
      <c r="K231" s="5">
        <v>42912</v>
      </c>
    </row>
    <row r="232" spans="1:11" x14ac:dyDescent="0.2">
      <c r="A232" s="4" t="s">
        <v>91</v>
      </c>
      <c r="K232" s="5">
        <v>97610</v>
      </c>
    </row>
    <row r="233" spans="1:11" x14ac:dyDescent="0.2">
      <c r="A233" s="4" t="s">
        <v>92</v>
      </c>
      <c r="K233" s="5">
        <f>K230+K231+K232</f>
        <v>187568</v>
      </c>
    </row>
    <row r="236" spans="1:11" x14ac:dyDescent="0.2">
      <c r="A236" s="7" t="s">
        <v>98</v>
      </c>
    </row>
    <row r="237" spans="1:11" x14ac:dyDescent="0.2">
      <c r="A237" s="7" t="s">
        <v>93</v>
      </c>
    </row>
    <row r="238" spans="1:11" x14ac:dyDescent="0.2">
      <c r="A238" s="4" t="s">
        <v>94</v>
      </c>
      <c r="I238" s="5">
        <v>20000000</v>
      </c>
      <c r="J238" s="5">
        <v>20000000</v>
      </c>
      <c r="K238" s="5">
        <v>20000000</v>
      </c>
    </row>
    <row r="239" spans="1:11" x14ac:dyDescent="0.2">
      <c r="A239" s="4" t="s">
        <v>95</v>
      </c>
      <c r="I239" s="5">
        <v>1962382</v>
      </c>
      <c r="J239" s="5">
        <v>1962382</v>
      </c>
      <c r="K239" s="5">
        <v>1962382</v>
      </c>
    </row>
    <row r="240" spans="1:11" x14ac:dyDescent="0.2">
      <c r="A240" s="7" t="s">
        <v>96</v>
      </c>
    </row>
    <row r="241" spans="1:11" x14ac:dyDescent="0.2">
      <c r="A241" s="4" t="s">
        <v>94</v>
      </c>
      <c r="I241" s="5">
        <v>2700000</v>
      </c>
      <c r="J241" s="5">
        <v>2700000</v>
      </c>
      <c r="K241" s="5">
        <v>2700000</v>
      </c>
    </row>
    <row r="242" spans="1:11" x14ac:dyDescent="0.2">
      <c r="A242" s="4" t="s">
        <v>95</v>
      </c>
      <c r="I242" s="5">
        <v>99354</v>
      </c>
      <c r="J242" s="5">
        <v>99354</v>
      </c>
      <c r="K242" s="5">
        <v>99354</v>
      </c>
    </row>
    <row r="243" spans="1:11" x14ac:dyDescent="0.2">
      <c r="A243" s="7" t="s">
        <v>97</v>
      </c>
    </row>
    <row r="244" spans="1:11" x14ac:dyDescent="0.2">
      <c r="A244" s="4" t="s">
        <v>94</v>
      </c>
      <c r="I244" s="5">
        <v>1005</v>
      </c>
      <c r="J244" s="5">
        <v>1005</v>
      </c>
      <c r="K244" s="5">
        <v>1005</v>
      </c>
    </row>
    <row r="245" spans="1:11" x14ac:dyDescent="0.2">
      <c r="A245" s="4" t="s">
        <v>95</v>
      </c>
      <c r="I245" s="5">
        <v>1005</v>
      </c>
      <c r="J245" s="5">
        <v>1005</v>
      </c>
      <c r="K245" s="5">
        <v>1005</v>
      </c>
    </row>
    <row r="246" spans="1:11" x14ac:dyDescent="0.2">
      <c r="A246" s="7" t="s">
        <v>81</v>
      </c>
    </row>
    <row r="247" spans="1:11" x14ac:dyDescent="0.2">
      <c r="A247" s="4" t="s">
        <v>94</v>
      </c>
      <c r="I247" s="5">
        <f t="shared" ref="I247:K248" si="65">I238+I241+I244</f>
        <v>22701005</v>
      </c>
      <c r="J247" s="5">
        <f t="shared" si="65"/>
        <v>22701005</v>
      </c>
      <c r="K247" s="5">
        <f t="shared" si="65"/>
        <v>22701005</v>
      </c>
    </row>
    <row r="248" spans="1:11" x14ac:dyDescent="0.2">
      <c r="A248" s="4" t="s">
        <v>95</v>
      </c>
      <c r="I248" s="5">
        <f t="shared" si="65"/>
        <v>2062741</v>
      </c>
      <c r="J248" s="5">
        <f t="shared" si="65"/>
        <v>2062741</v>
      </c>
      <c r="K248" s="5">
        <f t="shared" si="65"/>
        <v>2062741</v>
      </c>
    </row>
    <row r="250" spans="1:11" x14ac:dyDescent="0.2">
      <c r="A250" s="7" t="s">
        <v>99</v>
      </c>
    </row>
    <row r="251" spans="1:11" x14ac:dyDescent="0.2">
      <c r="A251" s="7" t="s">
        <v>100</v>
      </c>
    </row>
    <row r="252" spans="1:11" x14ac:dyDescent="0.2">
      <c r="A252" s="4" t="s">
        <v>103</v>
      </c>
      <c r="I252" s="5">
        <v>349952</v>
      </c>
      <c r="K252" s="5">
        <v>336576</v>
      </c>
    </row>
    <row r="253" spans="1:11" x14ac:dyDescent="0.2">
      <c r="A253" s="4" t="s">
        <v>106</v>
      </c>
      <c r="I253" s="5">
        <v>7.81</v>
      </c>
    </row>
    <row r="254" spans="1:11" x14ac:dyDescent="0.2">
      <c r="A254" s="4" t="s">
        <v>105</v>
      </c>
      <c r="I254" s="5">
        <v>9.06</v>
      </c>
    </row>
    <row r="255" spans="1:11" x14ac:dyDescent="0.2">
      <c r="A255" s="4" t="s">
        <v>104</v>
      </c>
      <c r="I255" s="5">
        <v>3638685</v>
      </c>
    </row>
    <row r="257" spans="1:11" x14ac:dyDescent="0.2">
      <c r="A257" s="4" t="s">
        <v>101</v>
      </c>
    </row>
    <row r="258" spans="1:11" x14ac:dyDescent="0.2">
      <c r="A258" s="4" t="s">
        <v>102</v>
      </c>
    </row>
    <row r="260" spans="1:11" x14ac:dyDescent="0.2">
      <c r="A260" s="4" t="s">
        <v>107</v>
      </c>
      <c r="K260" s="5">
        <v>175943</v>
      </c>
    </row>
    <row r="261" spans="1:11" x14ac:dyDescent="0.2">
      <c r="A261" s="4" t="s">
        <v>106</v>
      </c>
      <c r="K261" s="5">
        <v>5.46</v>
      </c>
    </row>
    <row r="262" spans="1:11" x14ac:dyDescent="0.2">
      <c r="A262" s="4" t="s">
        <v>105</v>
      </c>
      <c r="K262" s="5">
        <v>7.68</v>
      </c>
    </row>
    <row r="263" spans="1:11" x14ac:dyDescent="0.2">
      <c r="A263" s="4" t="s">
        <v>104</v>
      </c>
      <c r="K263" s="5">
        <v>676872</v>
      </c>
    </row>
    <row r="265" spans="1:11" x14ac:dyDescent="0.2">
      <c r="A265" s="4" t="s">
        <v>108</v>
      </c>
    </row>
    <row r="266" spans="1:11" x14ac:dyDescent="0.2">
      <c r="A266" s="4" t="s">
        <v>103</v>
      </c>
      <c r="I266" s="5">
        <v>153749</v>
      </c>
      <c r="K266" s="5">
        <v>136710</v>
      </c>
    </row>
    <row r="267" spans="1:11" x14ac:dyDescent="0.2">
      <c r="A267" s="4" t="s">
        <v>112</v>
      </c>
      <c r="I267" s="5">
        <v>9.56</v>
      </c>
      <c r="K267" s="5">
        <v>10.11</v>
      </c>
    </row>
    <row r="268" spans="1:11" x14ac:dyDescent="0.2">
      <c r="A268" s="4" t="s">
        <v>109</v>
      </c>
      <c r="I268" s="4"/>
      <c r="J268" s="4"/>
      <c r="K268" s="5">
        <v>11209</v>
      </c>
    </row>
    <row r="269" spans="1:11" x14ac:dyDescent="0.2">
      <c r="A269" s="4" t="s">
        <v>112</v>
      </c>
      <c r="I269" s="4"/>
      <c r="J269" s="4"/>
      <c r="K269" s="5">
        <v>13.96</v>
      </c>
    </row>
    <row r="270" spans="1:11" x14ac:dyDescent="0.2">
      <c r="A270" s="4" t="s">
        <v>110</v>
      </c>
      <c r="I270" s="4"/>
      <c r="J270" s="4"/>
      <c r="K270" s="5">
        <v>-23833</v>
      </c>
    </row>
    <row r="271" spans="1:11" x14ac:dyDescent="0.2">
      <c r="A271" s="4" t="s">
        <v>112</v>
      </c>
      <c r="J271" s="4"/>
      <c r="K271" s="4">
        <v>8.59</v>
      </c>
    </row>
    <row r="272" spans="1:11" x14ac:dyDescent="0.2">
      <c r="A272" s="4" t="s">
        <v>111</v>
      </c>
      <c r="J272" s="4"/>
      <c r="K272" s="5">
        <v>-4415</v>
      </c>
    </row>
    <row r="273" spans="1:11" x14ac:dyDescent="0.2">
      <c r="A273" s="4" t="s">
        <v>112</v>
      </c>
      <c r="K273" s="5">
        <v>9.07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</dc:creator>
  <cp:lastModifiedBy>evan domingos - 2023</cp:lastModifiedBy>
  <dcterms:created xsi:type="dcterms:W3CDTF">2022-07-18T16:27:52Z</dcterms:created>
  <dcterms:modified xsi:type="dcterms:W3CDTF">2023-05-09T02:35:07Z</dcterms:modified>
</cp:coreProperties>
</file>