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A272AFA1-9C66-9444-B480-1DF984843DDD}" xr6:coauthVersionLast="47" xr6:coauthVersionMax="47" xr10:uidLastSave="{00000000-0000-0000-0000-000000000000}"/>
  <bookViews>
    <workbookView xWindow="6300" yWindow="2140" windowWidth="23940" windowHeight="14920" activeTab="3" xr2:uid="{B6F3B1E3-62A6-41E2-953C-3DEF4B9ACA9E}"/>
  </bookViews>
  <sheets>
    <sheet name="Main" sheetId="1" r:id="rId1"/>
    <sheet name="Model" sheetId="2" r:id="rId2"/>
    <sheet name="Valuation" sheetId="4" r:id="rId3"/>
    <sheet name="iPho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O13" i="1" s="1"/>
  <c r="O14" i="1" s="1"/>
  <c r="AL5" i="2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AK5" i="2"/>
  <c r="AK20" i="2"/>
  <c r="AL20" i="2" s="1"/>
  <c r="AL19" i="2"/>
  <c r="AM19" i="2" s="1"/>
  <c r="AK19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L28" i="2"/>
  <c r="AK28" i="2"/>
  <c r="AR13" i="2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AQ13" i="2"/>
  <c r="AP13" i="2"/>
  <c r="AO13" i="2"/>
  <c r="AN13" i="2"/>
  <c r="AM13" i="2"/>
  <c r="AL13" i="2"/>
  <c r="AK13" i="2"/>
  <c r="AL10" i="2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AK10" i="2"/>
  <c r="AL9" i="2"/>
  <c r="AK9" i="2"/>
  <c r="AX8" i="2"/>
  <c r="AY8" i="2" s="1"/>
  <c r="AZ8" i="2" s="1"/>
  <c r="BA8" i="2" s="1"/>
  <c r="BB8" i="2" s="1"/>
  <c r="AW8" i="2"/>
  <c r="AS8" i="2"/>
  <c r="AT8" i="2" s="1"/>
  <c r="AU8" i="2" s="1"/>
  <c r="AV8" i="2" s="1"/>
  <c r="AR8" i="2"/>
  <c r="AL8" i="2"/>
  <c r="AM8" i="2" s="1"/>
  <c r="AN8" i="2" s="1"/>
  <c r="AO8" i="2" s="1"/>
  <c r="AP8" i="2" s="1"/>
  <c r="AQ8" i="2" s="1"/>
  <c r="AK8" i="2"/>
  <c r="AW6" i="2"/>
  <c r="AX6" i="2" s="1"/>
  <c r="AY6" i="2" s="1"/>
  <c r="AZ6" i="2" s="1"/>
  <c r="BA6" i="2" s="1"/>
  <c r="BB6" i="2" s="1"/>
  <c r="AV6" i="2"/>
  <c r="AS6" i="2"/>
  <c r="AT6" i="2"/>
  <c r="AU6" i="2" s="1"/>
  <c r="AR6" i="2"/>
  <c r="AQ6" i="2"/>
  <c r="AP6" i="2"/>
  <c r="AO6" i="2"/>
  <c r="AN6" i="2"/>
  <c r="AK4" i="2"/>
  <c r="AK31" i="2" s="1"/>
  <c r="V5" i="2"/>
  <c r="AI5" i="2"/>
  <c r="AH5" i="2"/>
  <c r="AG5" i="2"/>
  <c r="AG6" i="2" s="1"/>
  <c r="T6" i="2"/>
  <c r="S6" i="2"/>
  <c r="R6" i="2"/>
  <c r="V6" i="2" s="1"/>
  <c r="Q6" i="2"/>
  <c r="U6" i="2" s="1"/>
  <c r="U5" i="2" s="1"/>
  <c r="P6" i="2"/>
  <c r="O6" i="2"/>
  <c r="N6" i="2"/>
  <c r="M6" i="2"/>
  <c r="L6" i="2"/>
  <c r="K6" i="2"/>
  <c r="F28" i="2"/>
  <c r="F25" i="2"/>
  <c r="F23" i="2"/>
  <c r="F20" i="2"/>
  <c r="F19" i="2"/>
  <c r="F17" i="2"/>
  <c r="F13" i="2"/>
  <c r="F10" i="2"/>
  <c r="F9" i="2"/>
  <c r="F8" i="2"/>
  <c r="F5" i="2"/>
  <c r="AF5" i="2" s="1"/>
  <c r="AF6" i="2" s="1"/>
  <c r="AD12" i="2"/>
  <c r="AD14" i="2" s="1"/>
  <c r="AD30" i="2" s="1"/>
  <c r="AE12" i="2"/>
  <c r="AE14" i="2" s="1"/>
  <c r="AE30" i="2" s="1"/>
  <c r="AE31" i="2"/>
  <c r="AF31" i="2"/>
  <c r="F4" i="2"/>
  <c r="F6" i="2" s="1"/>
  <c r="AC30" i="2"/>
  <c r="C28" i="2"/>
  <c r="C21" i="2"/>
  <c r="C12" i="2"/>
  <c r="C14" i="2" s="1"/>
  <c r="C18" i="2" s="1"/>
  <c r="C22" i="2" s="1"/>
  <c r="C24" i="2" s="1"/>
  <c r="C26" i="2" s="1"/>
  <c r="C6" i="2"/>
  <c r="D6" i="2"/>
  <c r="D28" i="2"/>
  <c r="D21" i="2"/>
  <c r="D12" i="2"/>
  <c r="D14" i="2" s="1"/>
  <c r="D18" i="2" s="1"/>
  <c r="E28" i="2"/>
  <c r="E6" i="2"/>
  <c r="AG12" i="2"/>
  <c r="AG14" i="2" s="1"/>
  <c r="AF12" i="2"/>
  <c r="AF14" i="2" s="1"/>
  <c r="U12" i="2"/>
  <c r="U14" i="2" s="1"/>
  <c r="T12" i="2"/>
  <c r="T14" i="2" s="1"/>
  <c r="S12" i="2"/>
  <c r="S14" i="2" s="1"/>
  <c r="R12" i="2"/>
  <c r="R14" i="2" s="1"/>
  <c r="Q12" i="2"/>
  <c r="Q14" i="2" s="1"/>
  <c r="P12" i="2"/>
  <c r="P14" i="2" s="1"/>
  <c r="O12" i="2"/>
  <c r="O14" i="2" s="1"/>
  <c r="N12" i="2"/>
  <c r="N14" i="2" s="1"/>
  <c r="M12" i="2"/>
  <c r="M14" i="2" s="1"/>
  <c r="L12" i="2"/>
  <c r="L14" i="2" s="1"/>
  <c r="K12" i="2"/>
  <c r="K14" i="2" s="1"/>
  <c r="E12" i="2"/>
  <c r="E14" i="2" s="1"/>
  <c r="E21" i="2"/>
  <c r="J2" i="2"/>
  <c r="I2" i="2" s="1"/>
  <c r="H2" i="2" s="1"/>
  <c r="G2" i="2" s="1"/>
  <c r="F2" i="2" s="1"/>
  <c r="AG34" i="2"/>
  <c r="AF34" i="2"/>
  <c r="AG32" i="2"/>
  <c r="AG31" i="2"/>
  <c r="AF28" i="2"/>
  <c r="AF21" i="2"/>
  <c r="AF17" i="2"/>
  <c r="U34" i="2"/>
  <c r="T34" i="2"/>
  <c r="S34" i="2"/>
  <c r="R34" i="2"/>
  <c r="Q34" i="2"/>
  <c r="P34" i="2"/>
  <c r="O34" i="2"/>
  <c r="N34" i="2"/>
  <c r="M34" i="2"/>
  <c r="L34" i="2"/>
  <c r="K34" i="2"/>
  <c r="V20" i="2"/>
  <c r="AJ20" i="2" s="1"/>
  <c r="V19" i="2"/>
  <c r="V28" i="2"/>
  <c r="AJ28" i="2" s="1"/>
  <c r="V10" i="2"/>
  <c r="AJ10" i="2" s="1"/>
  <c r="V8" i="2"/>
  <c r="V9" i="2"/>
  <c r="AJ9" i="2" s="1"/>
  <c r="U32" i="2"/>
  <c r="T32" i="2"/>
  <c r="S32" i="2"/>
  <c r="R32" i="2"/>
  <c r="Q32" i="2"/>
  <c r="P32" i="2"/>
  <c r="O32" i="2"/>
  <c r="V13" i="2"/>
  <c r="V32" i="2" s="1"/>
  <c r="AG21" i="2"/>
  <c r="AG17" i="2"/>
  <c r="K21" i="2"/>
  <c r="K17" i="2"/>
  <c r="P31" i="2"/>
  <c r="O31" i="2"/>
  <c r="S31" i="2"/>
  <c r="R31" i="2"/>
  <c r="Q31" i="2"/>
  <c r="L21" i="2"/>
  <c r="L17" i="2"/>
  <c r="M21" i="2"/>
  <c r="M17" i="2"/>
  <c r="AI28" i="2"/>
  <c r="AH28" i="2"/>
  <c r="AI25" i="2"/>
  <c r="AH25" i="2"/>
  <c r="AJ23" i="2"/>
  <c r="AI23" i="2"/>
  <c r="AH23" i="2"/>
  <c r="AI20" i="2"/>
  <c r="AH20" i="2"/>
  <c r="AI19" i="2"/>
  <c r="AH19" i="2"/>
  <c r="AI16" i="2"/>
  <c r="AH16" i="2"/>
  <c r="AI15" i="2"/>
  <c r="AH15" i="2"/>
  <c r="AH13" i="2"/>
  <c r="AI13" i="2"/>
  <c r="AI10" i="2"/>
  <c r="AH10" i="2"/>
  <c r="AI9" i="2"/>
  <c r="AH9" i="2"/>
  <c r="AI8" i="2"/>
  <c r="AH8" i="2"/>
  <c r="AI4" i="2"/>
  <c r="AI6" i="2" s="1"/>
  <c r="AH4" i="2"/>
  <c r="AH31" i="2" s="1"/>
  <c r="V2" i="2"/>
  <c r="N21" i="2"/>
  <c r="N17" i="2"/>
  <c r="R21" i="2"/>
  <c r="R17" i="2"/>
  <c r="O21" i="2"/>
  <c r="O17" i="2"/>
  <c r="S21" i="2"/>
  <c r="S17" i="2"/>
  <c r="U31" i="2"/>
  <c r="Q21" i="2"/>
  <c r="Q17" i="2"/>
  <c r="U21" i="2"/>
  <c r="U17" i="2"/>
  <c r="T31" i="2"/>
  <c r="P21" i="2"/>
  <c r="P17" i="2"/>
  <c r="T21" i="2"/>
  <c r="T17" i="2"/>
  <c r="O6" i="1"/>
  <c r="O7" i="1" s="1"/>
  <c r="O5" i="1"/>
  <c r="O4" i="1"/>
  <c r="AL4" i="2" l="1"/>
  <c r="AL31" i="2" s="1"/>
  <c r="AM4" i="2"/>
  <c r="AM31" i="2" s="1"/>
  <c r="AN4" i="2"/>
  <c r="AN31" i="2" s="1"/>
  <c r="AK12" i="2"/>
  <c r="AN19" i="2"/>
  <c r="AM20" i="2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AL21" i="2"/>
  <c r="AK21" i="2"/>
  <c r="AM28" i="2"/>
  <c r="AM9" i="2"/>
  <c r="AF30" i="2"/>
  <c r="F12" i="2"/>
  <c r="F14" i="2" s="1"/>
  <c r="F18" i="2" s="1"/>
  <c r="V4" i="2"/>
  <c r="F21" i="2"/>
  <c r="F22" i="2" s="1"/>
  <c r="F24" i="2" s="1"/>
  <c r="F26" i="2" s="1"/>
  <c r="F27" i="2" s="1"/>
  <c r="AH6" i="2"/>
  <c r="AF18" i="2"/>
  <c r="AF33" i="2" s="1"/>
  <c r="C27" i="2"/>
  <c r="D22" i="2"/>
  <c r="D24" i="2" s="1"/>
  <c r="D26" i="2" s="1"/>
  <c r="D27" i="2" s="1"/>
  <c r="AH12" i="2"/>
  <c r="AI12" i="2"/>
  <c r="AJ8" i="2"/>
  <c r="E18" i="2"/>
  <c r="L35" i="2"/>
  <c r="AH34" i="2"/>
  <c r="AG30" i="2"/>
  <c r="M35" i="2"/>
  <c r="O35" i="2"/>
  <c r="P35" i="2"/>
  <c r="K35" i="2"/>
  <c r="S35" i="2"/>
  <c r="Q35" i="2"/>
  <c r="AI34" i="2"/>
  <c r="AF35" i="2"/>
  <c r="AG35" i="2"/>
  <c r="AH32" i="2"/>
  <c r="AI32" i="2"/>
  <c r="T35" i="2"/>
  <c r="V21" i="2"/>
  <c r="U35" i="2"/>
  <c r="V16" i="2"/>
  <c r="AJ16" i="2" s="1"/>
  <c r="R35" i="2"/>
  <c r="N35" i="2"/>
  <c r="AJ19" i="2"/>
  <c r="AJ21" i="2" s="1"/>
  <c r="AI31" i="2"/>
  <c r="AJ13" i="2"/>
  <c r="Q30" i="2"/>
  <c r="AI17" i="2"/>
  <c r="AI21" i="2"/>
  <c r="AG18" i="2"/>
  <c r="R18" i="2"/>
  <c r="R33" i="2" s="1"/>
  <c r="K18" i="2"/>
  <c r="O30" i="2"/>
  <c r="AH21" i="2"/>
  <c r="AH17" i="2"/>
  <c r="L18" i="2"/>
  <c r="P30" i="2"/>
  <c r="M18" i="2"/>
  <c r="T18" i="2"/>
  <c r="T33" i="2" s="1"/>
  <c r="N18" i="2"/>
  <c r="R30" i="2"/>
  <c r="S30" i="2"/>
  <c r="O18" i="2"/>
  <c r="S18" i="2"/>
  <c r="Q18" i="2"/>
  <c r="U30" i="2"/>
  <c r="U18" i="2"/>
  <c r="T30" i="2"/>
  <c r="P18" i="2"/>
  <c r="AK14" i="2" l="1"/>
  <c r="AK15" i="2"/>
  <c r="AK17" i="2" s="1"/>
  <c r="AL12" i="2"/>
  <c r="AM21" i="2"/>
  <c r="AN21" i="2"/>
  <c r="AO19" i="2"/>
  <c r="AN28" i="2"/>
  <c r="AN9" i="2"/>
  <c r="AM12" i="2"/>
  <c r="AF22" i="2"/>
  <c r="E22" i="2"/>
  <c r="E33" i="2"/>
  <c r="V34" i="2"/>
  <c r="AJ32" i="2"/>
  <c r="AJ34" i="2"/>
  <c r="AF24" i="2"/>
  <c r="AF36" i="2"/>
  <c r="AI14" i="2"/>
  <c r="AI18" i="2" s="1"/>
  <c r="AI35" i="2"/>
  <c r="AG22" i="2"/>
  <c r="AG33" i="2"/>
  <c r="AH14" i="2"/>
  <c r="AH35" i="2"/>
  <c r="R22" i="2"/>
  <c r="R24" i="2" s="1"/>
  <c r="AH18" i="2"/>
  <c r="AH30" i="2"/>
  <c r="AI30" i="2"/>
  <c r="T22" i="2"/>
  <c r="T36" i="2" s="1"/>
  <c r="O22" i="2"/>
  <c r="O33" i="2"/>
  <c r="N22" i="2"/>
  <c r="N33" i="2"/>
  <c r="M22" i="2"/>
  <c r="M33" i="2"/>
  <c r="Q22" i="2"/>
  <c r="Q33" i="2"/>
  <c r="K22" i="2"/>
  <c r="K33" i="2"/>
  <c r="L22" i="2"/>
  <c r="L33" i="2"/>
  <c r="P22" i="2"/>
  <c r="P33" i="2"/>
  <c r="U22" i="2"/>
  <c r="U33" i="2"/>
  <c r="S22" i="2"/>
  <c r="S33" i="2"/>
  <c r="AL14" i="2" l="1"/>
  <c r="AL15" i="2"/>
  <c r="AL17" i="2" s="1"/>
  <c r="AM14" i="2"/>
  <c r="AM15" i="2"/>
  <c r="AM17" i="2" s="1"/>
  <c r="AK30" i="2"/>
  <c r="AK18" i="2"/>
  <c r="AK22" i="2" s="1"/>
  <c r="AK24" i="2" s="1"/>
  <c r="AK25" i="2" s="1"/>
  <c r="AK26" i="2" s="1"/>
  <c r="AP19" i="2"/>
  <c r="AO21" i="2"/>
  <c r="AO28" i="2"/>
  <c r="AN12" i="2"/>
  <c r="AO9" i="2"/>
  <c r="E24" i="2"/>
  <c r="E36" i="2"/>
  <c r="AH22" i="2"/>
  <c r="AH33" i="2"/>
  <c r="T24" i="2"/>
  <c r="AI22" i="2"/>
  <c r="AI33" i="2"/>
  <c r="AF26" i="2"/>
  <c r="AF27" i="2" s="1"/>
  <c r="AF37" i="2"/>
  <c r="AG24" i="2"/>
  <c r="AG36" i="2"/>
  <c r="R36" i="2"/>
  <c r="T26" i="2"/>
  <c r="T27" i="2" s="1"/>
  <c r="T37" i="2"/>
  <c r="R26" i="2"/>
  <c r="R27" i="2" s="1"/>
  <c r="R37" i="2"/>
  <c r="P24" i="2"/>
  <c r="P36" i="2"/>
  <c r="L24" i="2"/>
  <c r="L36" i="2"/>
  <c r="K24" i="2"/>
  <c r="K36" i="2"/>
  <c r="M24" i="2"/>
  <c r="M36" i="2"/>
  <c r="Q24" i="2"/>
  <c r="Q36" i="2"/>
  <c r="N24" i="2"/>
  <c r="N36" i="2"/>
  <c r="O24" i="2"/>
  <c r="O36" i="2"/>
  <c r="S24" i="2"/>
  <c r="S36" i="2"/>
  <c r="U24" i="2"/>
  <c r="U36" i="2"/>
  <c r="AK27" i="2" l="1"/>
  <c r="AN14" i="2"/>
  <c r="AN15" i="2"/>
  <c r="AN17" i="2" s="1"/>
  <c r="AM30" i="2"/>
  <c r="AM18" i="2"/>
  <c r="AM22" i="2" s="1"/>
  <c r="AM24" i="2" s="1"/>
  <c r="AL30" i="2"/>
  <c r="AL18" i="2"/>
  <c r="AL22" i="2" s="1"/>
  <c r="AL24" i="2" s="1"/>
  <c r="AQ19" i="2"/>
  <c r="AP21" i="2"/>
  <c r="AP28" i="2"/>
  <c r="AP9" i="2"/>
  <c r="E26" i="2"/>
  <c r="E27" i="2" s="1"/>
  <c r="E37" i="2"/>
  <c r="AG26" i="2"/>
  <c r="AG27" i="2" s="1"/>
  <c r="AG37" i="2"/>
  <c r="AI24" i="2"/>
  <c r="AI36" i="2"/>
  <c r="AH24" i="2"/>
  <c r="AH36" i="2"/>
  <c r="S26" i="2"/>
  <c r="S27" i="2" s="1"/>
  <c r="S37" i="2"/>
  <c r="U26" i="2"/>
  <c r="U27" i="2" s="1"/>
  <c r="U37" i="2"/>
  <c r="O26" i="2"/>
  <c r="O27" i="2" s="1"/>
  <c r="O37" i="2"/>
  <c r="N26" i="2"/>
  <c r="N27" i="2" s="1"/>
  <c r="N37" i="2"/>
  <c r="Q26" i="2"/>
  <c r="Q27" i="2" s="1"/>
  <c r="Q37" i="2"/>
  <c r="M26" i="2"/>
  <c r="M27" i="2" s="1"/>
  <c r="M37" i="2"/>
  <c r="K26" i="2"/>
  <c r="K27" i="2" s="1"/>
  <c r="K37" i="2"/>
  <c r="L26" i="2"/>
  <c r="L27" i="2" s="1"/>
  <c r="L37" i="2"/>
  <c r="P26" i="2"/>
  <c r="P27" i="2" s="1"/>
  <c r="P37" i="2"/>
  <c r="AN30" i="2" l="1"/>
  <c r="AN18" i="2"/>
  <c r="AN22" i="2" s="1"/>
  <c r="AN24" i="2" s="1"/>
  <c r="AN25" i="2" s="1"/>
  <c r="AN26" i="2" s="1"/>
  <c r="AN27" i="2" s="1"/>
  <c r="AM25" i="2"/>
  <c r="AM26" i="2" s="1"/>
  <c r="AM27" i="2" s="1"/>
  <c r="AL25" i="2"/>
  <c r="AL26" i="2"/>
  <c r="AR19" i="2"/>
  <c r="AQ21" i="2"/>
  <c r="AQ28" i="2"/>
  <c r="AQ9" i="2"/>
  <c r="AH26" i="2"/>
  <c r="AH27" i="2" s="1"/>
  <c r="AH37" i="2"/>
  <c r="AI26" i="2"/>
  <c r="AI27" i="2" s="1"/>
  <c r="AI37" i="2"/>
  <c r="V12" i="2"/>
  <c r="V15" i="2" s="1"/>
  <c r="AJ4" i="2"/>
  <c r="V31" i="2"/>
  <c r="AJ5" i="2"/>
  <c r="AL27" i="2" l="1"/>
  <c r="AS19" i="2"/>
  <c r="AR21" i="2"/>
  <c r="AR28" i="2"/>
  <c r="AR9" i="2"/>
  <c r="AJ12" i="2"/>
  <c r="AJ6" i="2"/>
  <c r="AK6" i="2" s="1"/>
  <c r="AL6" i="2" s="1"/>
  <c r="AM6" i="2" s="1"/>
  <c r="AJ14" i="2"/>
  <c r="V17" i="2"/>
  <c r="AJ15" i="2"/>
  <c r="AJ17" i="2" s="1"/>
  <c r="V14" i="2"/>
  <c r="V35" i="2"/>
  <c r="AJ31" i="2"/>
  <c r="AT19" i="2" l="1"/>
  <c r="AS21" i="2"/>
  <c r="AS28" i="2"/>
  <c r="AS9" i="2"/>
  <c r="AO4" i="2"/>
  <c r="V30" i="2"/>
  <c r="V18" i="2"/>
  <c r="AJ35" i="2"/>
  <c r="AJ30" i="2"/>
  <c r="AJ18" i="2"/>
  <c r="AO31" i="2" l="1"/>
  <c r="AO12" i="2"/>
  <c r="AU19" i="2"/>
  <c r="AT21" i="2"/>
  <c r="AT28" i="2"/>
  <c r="AT9" i="2"/>
  <c r="AP4" i="2"/>
  <c r="AJ22" i="2"/>
  <c r="AJ33" i="2"/>
  <c r="V22" i="2"/>
  <c r="V33" i="2"/>
  <c r="AP31" i="2" l="1"/>
  <c r="AP12" i="2"/>
  <c r="AO14" i="2"/>
  <c r="AO15" i="2"/>
  <c r="AO17" i="2" s="1"/>
  <c r="AV19" i="2"/>
  <c r="AU21" i="2"/>
  <c r="AU28" i="2"/>
  <c r="AU9" i="2"/>
  <c r="AQ4" i="2"/>
  <c r="V36" i="2"/>
  <c r="V24" i="2"/>
  <c r="AJ36" i="2"/>
  <c r="AJ24" i="2"/>
  <c r="AQ31" i="2" l="1"/>
  <c r="AQ12" i="2"/>
  <c r="AO30" i="2"/>
  <c r="AO18" i="2"/>
  <c r="AO22" i="2" s="1"/>
  <c r="AO24" i="2" s="1"/>
  <c r="AP14" i="2"/>
  <c r="AP15" i="2"/>
  <c r="AP17" i="2" s="1"/>
  <c r="AW19" i="2"/>
  <c r="AV21" i="2"/>
  <c r="AV28" i="2"/>
  <c r="AV9" i="2"/>
  <c r="AR4" i="2"/>
  <c r="V25" i="2"/>
  <c r="AR31" i="2" l="1"/>
  <c r="AR12" i="2"/>
  <c r="AP30" i="2"/>
  <c r="AP18" i="2"/>
  <c r="AP22" i="2" s="1"/>
  <c r="AP24" i="2" s="1"/>
  <c r="AO25" i="2"/>
  <c r="AO26" i="2"/>
  <c r="AQ14" i="2"/>
  <c r="AQ15" i="2"/>
  <c r="AQ17" i="2" s="1"/>
  <c r="AW21" i="2"/>
  <c r="AX19" i="2"/>
  <c r="AW28" i="2"/>
  <c r="AW9" i="2"/>
  <c r="AS4" i="2"/>
  <c r="AJ25" i="2"/>
  <c r="V37" i="2"/>
  <c r="V26" i="2"/>
  <c r="V27" i="2" s="1"/>
  <c r="AQ30" i="2" l="1"/>
  <c r="AQ18" i="2"/>
  <c r="AQ22" i="2" s="1"/>
  <c r="AQ24" i="2" s="1"/>
  <c r="AO27" i="2"/>
  <c r="AP25" i="2"/>
  <c r="AP26" i="2" s="1"/>
  <c r="AS31" i="2"/>
  <c r="AS12" i="2"/>
  <c r="AR14" i="2"/>
  <c r="AR15" i="2"/>
  <c r="AR17" i="2" s="1"/>
  <c r="AY19" i="2"/>
  <c r="AX21" i="2"/>
  <c r="AX28" i="2"/>
  <c r="AX9" i="2"/>
  <c r="AT4" i="2"/>
  <c r="AJ37" i="2"/>
  <c r="AJ26" i="2"/>
  <c r="AJ27" i="2" s="1"/>
  <c r="AP27" i="2" l="1"/>
  <c r="AT31" i="2"/>
  <c r="AT12" i="2"/>
  <c r="AR30" i="2"/>
  <c r="AR18" i="2"/>
  <c r="AR22" i="2" s="1"/>
  <c r="AR24" i="2" s="1"/>
  <c r="AQ25" i="2"/>
  <c r="AQ26" i="2" s="1"/>
  <c r="AS14" i="2"/>
  <c r="AS15" i="2"/>
  <c r="AS17" i="2" s="1"/>
  <c r="AZ19" i="2"/>
  <c r="AY21" i="2"/>
  <c r="AY28" i="2"/>
  <c r="AY9" i="2"/>
  <c r="AU4" i="2"/>
  <c r="AQ27" i="2" l="1"/>
  <c r="AR25" i="2"/>
  <c r="AR26" i="2"/>
  <c r="AR27" i="2" s="1"/>
  <c r="AT14" i="2"/>
  <c r="AT15" i="2"/>
  <c r="AT17" i="2" s="1"/>
  <c r="AU31" i="2"/>
  <c r="AU12" i="2"/>
  <c r="AS30" i="2"/>
  <c r="AS18" i="2"/>
  <c r="AS22" i="2" s="1"/>
  <c r="AS24" i="2" s="1"/>
  <c r="BA19" i="2"/>
  <c r="AZ21" i="2"/>
  <c r="AZ28" i="2"/>
  <c r="AZ9" i="2"/>
  <c r="AV4" i="2"/>
  <c r="AT18" i="2" l="1"/>
  <c r="AT22" i="2" s="1"/>
  <c r="AT24" i="2" s="1"/>
  <c r="AT30" i="2"/>
  <c r="AS25" i="2"/>
  <c r="AS26" i="2"/>
  <c r="AS27" i="2" s="1"/>
  <c r="AV31" i="2"/>
  <c r="AV12" i="2"/>
  <c r="AU14" i="2"/>
  <c r="AU15" i="2"/>
  <c r="AU17" i="2" s="1"/>
  <c r="BA21" i="2"/>
  <c r="BB19" i="2"/>
  <c r="BB21" i="2" s="1"/>
  <c r="BA28" i="2"/>
  <c r="BA9" i="2"/>
  <c r="AW4" i="2"/>
  <c r="AW31" i="2" l="1"/>
  <c r="AW12" i="2"/>
  <c r="AU30" i="2"/>
  <c r="AU18" i="2"/>
  <c r="AU22" i="2" s="1"/>
  <c r="AU24" i="2" s="1"/>
  <c r="AV14" i="2"/>
  <c r="AV15" i="2"/>
  <c r="AV17" i="2" s="1"/>
  <c r="AT25" i="2"/>
  <c r="AT26" i="2"/>
  <c r="AT27" i="2" s="1"/>
  <c r="BB28" i="2"/>
  <c r="BB9" i="2"/>
  <c r="AX4" i="2"/>
  <c r="AX31" i="2" l="1"/>
  <c r="AX12" i="2"/>
  <c r="AV18" i="2"/>
  <c r="AV22" i="2" s="1"/>
  <c r="AV24" i="2" s="1"/>
  <c r="AV30" i="2"/>
  <c r="AU25" i="2"/>
  <c r="AU26" i="2" s="1"/>
  <c r="AU27" i="2" s="1"/>
  <c r="AW14" i="2"/>
  <c r="AW15" i="2"/>
  <c r="AW17" i="2" s="1"/>
  <c r="AY4" i="2"/>
  <c r="AW30" i="2" l="1"/>
  <c r="AW18" i="2"/>
  <c r="AW22" i="2" s="1"/>
  <c r="AW24" i="2" s="1"/>
  <c r="AV25" i="2"/>
  <c r="AV26" i="2"/>
  <c r="AV27" i="2" s="1"/>
  <c r="AY31" i="2"/>
  <c r="AY12" i="2"/>
  <c r="AX14" i="2"/>
  <c r="AX15" i="2"/>
  <c r="AX17" i="2" s="1"/>
  <c r="AZ4" i="2"/>
  <c r="AX30" i="2" l="1"/>
  <c r="AX18" i="2"/>
  <c r="AX22" i="2" s="1"/>
  <c r="AX24" i="2" s="1"/>
  <c r="AX25" i="2" s="1"/>
  <c r="AX26" i="2" s="1"/>
  <c r="AX27" i="2" s="1"/>
  <c r="AY14" i="2"/>
  <c r="AY15" i="2"/>
  <c r="AY17" i="2" s="1"/>
  <c r="AW25" i="2"/>
  <c r="AW26" i="2"/>
  <c r="AW27" i="2" s="1"/>
  <c r="AZ31" i="2"/>
  <c r="AZ12" i="2"/>
  <c r="BB4" i="2"/>
  <c r="BA4" i="2"/>
  <c r="AZ14" i="2" l="1"/>
  <c r="AZ15" i="2"/>
  <c r="AZ17" i="2" s="1"/>
  <c r="AY30" i="2"/>
  <c r="AY18" i="2"/>
  <c r="AY22" i="2" s="1"/>
  <c r="AY24" i="2" s="1"/>
  <c r="AY25" i="2" s="1"/>
  <c r="AY26" i="2" s="1"/>
  <c r="AY27" i="2" s="1"/>
  <c r="BA31" i="2"/>
  <c r="BA12" i="2"/>
  <c r="BB31" i="2"/>
  <c r="BB12" i="2"/>
  <c r="BB14" i="2" l="1"/>
  <c r="BB15" i="2"/>
  <c r="BB17" i="2" s="1"/>
  <c r="BA14" i="2"/>
  <c r="BA15" i="2"/>
  <c r="BA17" i="2" s="1"/>
  <c r="AZ30" i="2"/>
  <c r="AZ18" i="2"/>
  <c r="AZ22" i="2" s="1"/>
  <c r="AZ24" i="2" s="1"/>
  <c r="AZ25" i="2" s="1"/>
  <c r="AZ26" i="2" s="1"/>
  <c r="AZ27" i="2" s="1"/>
  <c r="BA30" i="2" l="1"/>
  <c r="BA18" i="2"/>
  <c r="BA22" i="2" s="1"/>
  <c r="BA24" i="2" s="1"/>
  <c r="BA25" i="2" s="1"/>
  <c r="BA26" i="2" s="1"/>
  <c r="BA27" i="2" s="1"/>
  <c r="BB30" i="2"/>
  <c r="BB18" i="2"/>
  <c r="BB22" i="2" s="1"/>
  <c r="BB24" i="2" s="1"/>
  <c r="BB25" i="2" s="1"/>
  <c r="BB26" i="2" s="1"/>
  <c r="BB27" i="2" l="1"/>
</calcChain>
</file>

<file path=xl/sharedStrings.xml><?xml version="1.0" encoding="utf-8"?>
<sst xmlns="http://schemas.openxmlformats.org/spreadsheetml/2006/main" count="110" uniqueCount="103">
  <si>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</si>
  <si>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</si>
  <si>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</si>
  <si>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</si>
  <si>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</si>
  <si>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</si>
  <si>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</si>
  <si>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</si>
  <si>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</si>
  <si>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</si>
  <si>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</si>
  <si>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</si>
  <si>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</si>
  <si>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</si>
  <si>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</si>
  <si>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</si>
  <si>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</si>
  <si>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</si>
  <si>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</si>
  <si>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</si>
  <si>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</si>
  <si>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Gross Profit</t>
  </si>
  <si>
    <t>COGS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</si>
  <si>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</si>
  <si>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</si>
  <si>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</si>
  <si>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</si>
  <si>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</si>
  <si>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</si>
  <si>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</si>
  <si>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</si>
  <si>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</si>
  <si>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</si>
  <si>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</si>
  <si>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</si>
  <si>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</si>
  <si>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</si>
  <si>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</si>
  <si>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</si>
  <si>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</si>
  <si>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</si>
  <si>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</si>
  <si>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</si>
  <si>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</si>
  <si>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</si>
  <si>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</si>
  <si>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</si>
  <si>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</si>
  <si>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</si>
  <si>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</si>
  <si>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</si>
  <si>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</si>
  <si>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</si>
  <si>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</si>
  <si>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</si>
  <si>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</si>
  <si>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</si>
  <si>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</si>
  <si>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</si>
  <si>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</si>
  <si>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</si>
  <si>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</si>
  <si>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</si>
  <si>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</si>
  <si>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</si>
  <si>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</si>
  <si>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</si>
  <si>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</si>
  <si>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</si>
  <si>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</si>
  <si>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</si>
  <si>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</si>
  <si>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</si>
  <si>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</si>
  <si>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</si>
  <si>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</si>
  <si>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</si>
  <si>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</si>
  <si>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</si>
  <si>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</si>
  <si>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</si>
  <si>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</si>
  <si>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</si>
  <si>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</si>
  <si>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</si>
  <si>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</si>
  <si>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</si>
  <si>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</si>
  <si>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</si>
  <si>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</si>
  <si>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</si>
  <si>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Terminal</t>
  </si>
  <si>
    <t>Share</t>
  </si>
  <si>
    <t>Upside</t>
  </si>
  <si>
    <t>Equity Value</t>
  </si>
  <si>
    <t>Cost of Product Revenues</t>
  </si>
  <si>
    <t>Total Product Revenues</t>
  </si>
  <si>
    <t>Cost of Services Revenues</t>
  </si>
  <si>
    <t>Total Services Revenues</t>
  </si>
  <si>
    <t>9/2023 - Releases iPhone 15, Pro, Max</t>
  </si>
  <si>
    <t>9/2024 - Releases iPhone 14, Pro, Max</t>
  </si>
  <si>
    <t>Macbook</t>
  </si>
  <si>
    <t>M3 Macbook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</si>
</sst>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right"/>
    </xf>
    <xf numFmtId="165" fontId="3" fillId="0" borderId="0" xfId="0" applyNumberFormat="1" applyFont="1" applyFill="1"/>
    <xf numFmtId="4" fontId="3" fillId="0" borderId="0" xfId="0" applyNumberFormat="1" applyFont="1" applyFill="1"/>
    <xf numFmtId="9" fontId="3" fillId="0" borderId="0" xfId="0" applyNumberFormat="1" applyFont="1" applyFill="1"/>
    <xf numFmtId="0" fontId="4" fillId="0" borderId="0" xfId="1" applyFont="1" applyFill="1"/>
    <xf numFmtId="164" fontId="4" fillId="0" borderId="0" xfId="1" applyNumberFormat="1" applyFont="1" applyFill="1"/>
    <xf numFmtId="164" fontId="3" fillId="0" borderId="0" xfId="0" applyNumberFormat="1" applyFont="1" applyFill="1"/>
    <xf numFmtId="3" fontId="3" fillId="0" borderId="0" xfId="0" applyNumberFormat="1" applyFont="1" applyFill="1" applyAlignment="1">
      <alignment horizontal="right"/>
    </xf>
    <xf numFmtId="3" fontId="5" fillId="0" borderId="0" xfId="0" applyNumberFormat="1" applyFont="1" applyFill="1" applyAlignment="1">
      <alignment horizontal="right"/>
    </xf>
    <xf numFmtId="3" fontId="6" fillId="0" borderId="0" xfId="0" applyNumberFormat="1" applyFont="1" applyFill="1"/>
    <xf numFmtId="0" fontId="6" fillId="0" borderId="0" xfId="0" applyFont="1" applyFill="1"/>
    <xf numFmtId="4" fontId="6" fillId="0" borderId="0" xfId="0" applyNumberFormat="1" applyFont="1" applyFill="1"/>
    <xf numFmtId="9" fontId="6" fillId="0" borderId="0" xfId="0" applyNumberFormat="1" applyFont="1" applyFill="1"/>
    <xf numFmtId="9" fontId="3" fillId="0" borderId="0" xfId="0" applyNumberFormat="1" applyFont="1" applyFill="1" applyAlignment="1">
      <alignment horizontal="right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36479</xdr:colOff>
      <xdr:row>0</xdr:row>
      <xdr:rowOff>0</xdr:rowOff>
    </xdr:from>
    <xdr:to>
      <xdr:col>21</xdr:col>
      <xdr:colOff>36479</xdr:colOff>
      <xdr:row>39</xdr:row>
      <xdr:rowOff>44585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8114490" y="0"/>
          <a:ext cx="0" cy="52326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25208</xdr:colOff>
      <xdr:row>0</xdr:row>
      <xdr:rowOff>0</xdr:rowOff>
    </xdr:from>
    <xdr:to>
      <xdr:col>35</xdr:col>
      <xdr:colOff>25208</xdr:colOff>
      <xdr:row>39</xdr:row>
      <xdr:rowOff>44585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14809867" y="0"/>
          <a:ext cx="0" cy="5898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4"/>
  <sheetViews>
    <sheetView zoomScaleNormal="100" workbookViewId="0">
      <selection activeCell="E14" sqref="E14"/>
    </sheetView>
  </sheetViews>
  <sheetFormatPr baseColWidth="10" defaultColWidth="8.83203125" defaultRowHeight="14" x14ac:dyDescent="0.2"/>
  <cols>
    <col min="1" max="7" width="8.83203125" style="1"/>
    <col min="8" max="8" width="9.1640625" style="1" bestFit="1" customWidth="1"/>
    <col min="9" max="14" width="8.83203125" style="1"/>
    <col min="15" max="15" width="9.83203125" style="1" customWidth="1"/>
    <col min="16" max="16384" width="8.83203125" style="1"/>
  </cols>
  <sheetData>
    <row r="2" spans="14:16" x14ac:dyDescent="0.2">
      <c r="N2" s="1" t="s">
        <v>0</v>
      </c>
      <c r="O2" s="1">
        <v>170.03</v>
      </c>
    </row>
    <row r="3" spans="14:16" x14ac:dyDescent="0.2">
      <c r="N3" s="1" t="s">
        <v>1</v>
      </c>
      <c r="O3" s="2">
        <v>16070.752</v>
      </c>
      <c r="P3" s="3" t="s">
        <v>6</v>
      </c>
    </row>
    <row r="4" spans="14:16" x14ac:dyDescent="0.2">
      <c r="N4" s="1" t="s">
        <v>2</v>
      </c>
      <c r="O4" s="2">
        <f>+O2*O3</f>
        <v>2732509.9625599999</v>
      </c>
    </row>
    <row r="5" spans="14:16" x14ac:dyDescent="0.2">
      <c r="N5" s="1" t="s">
        <v>3</v>
      </c>
      <c r="O5" s="2">
        <f>27502+20729+131077</f>
        <v>179308</v>
      </c>
      <c r="P5" s="3" t="s">
        <v>6</v>
      </c>
    </row>
    <row r="6" spans="14:16" x14ac:dyDescent="0.2">
      <c r="N6" s="1" t="s">
        <v>4</v>
      </c>
      <c r="O6" s="2">
        <f>14009+94700+10982</f>
        <v>119691</v>
      </c>
      <c r="P6" s="3" t="s">
        <v>6</v>
      </c>
    </row>
    <row r="7" spans="14:16" x14ac:dyDescent="0.2">
      <c r="N7" s="1" t="s">
        <v>5</v>
      </c>
      <c r="O7" s="2">
        <f>+O4-O5+O6</f>
        <v>2672892.9625599999</v>
      </c>
    </row>
    <row r="10" spans="14:16" x14ac:dyDescent="0.2">
      <c r="N10" s="1" t="s">
        <v>90</v>
      </c>
      <c r="O10" s="4">
        <v>0.08</v>
      </c>
    </row>
    <row r="11" spans="14:16" x14ac:dyDescent="0.2">
      <c r="N11" s="1" t="s">
        <v>91</v>
      </c>
      <c r="O11" s="4">
        <v>-0.01</v>
      </c>
    </row>
    <row r="12" spans="14:16" x14ac:dyDescent="0.2">
      <c r="N12" s="1" t="s">
        <v>94</v>
      </c>
      <c r="O12" s="2">
        <f>NPV(O10,Model!AK26:FJ26)+Main!O5-Main!O6</f>
        <v>1729778.5394945515</v>
      </c>
    </row>
    <row r="13" spans="14:16" x14ac:dyDescent="0.2">
      <c r="N13" s="1" t="s">
        <v>92</v>
      </c>
      <c r="O13" s="5">
        <f>O12/Main!O3</f>
        <v>107.6351958822183</v>
      </c>
    </row>
    <row r="14" spans="14:16" x14ac:dyDescent="0.2">
      <c r="N14" s="1" t="s">
        <v>93</v>
      </c>
      <c r="O14" s="6">
        <f>O13/Main!O2-1</f>
        <v>-0.36696350125143629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BB37"/>
  <sheetViews>
    <sheetView zoomScaleNormal="100" workbookViewId="0">
      <pane xSplit="2" ySplit="3" topLeftCell="P4" activePane="bottomRight" state="frozen"/>
      <selection pane="topRight" activeCell="C1" sqref="C1"/>
      <selection pane="bottomLeft" activeCell="A3" sqref="A3"/>
      <selection pane="bottomRight" activeCell="U13" sqref="A1:XFD1048576"/>
    </sheetView>
  </sheetViews>
  <sheetFormatPr baseColWidth="10" defaultColWidth="8.83203125" defaultRowHeight="14" x14ac:dyDescent="0.2"/>
  <cols>
    <col min="1" max="1" width="5" style="1" bestFit="1" customWidth="1"/>
    <col min="2" max="2" width="15.83203125" style="1" customWidth="1"/>
    <col min="3" max="14" width="8.83203125" style="1"/>
    <col min="15" max="15" width="9.1640625" style="1" customWidth="1"/>
    <col min="16" max="18" width="8.83203125" style="1"/>
    <col min="19" max="19" width="9.1640625" style="1" customWidth="1"/>
    <col min="20" max="20" width="8.83203125" style="1"/>
    <col min="21" max="21" width="9.1640625" style="1" customWidth="1"/>
    <col min="22" max="36" width="8.83203125" style="1"/>
    <col min="37" max="37" width="9.83203125" style="1" bestFit="1" customWidth="1"/>
    <col min="38" max="53" width="8.83203125" style="1"/>
    <col min="54" max="54" width="9.5" style="1" customWidth="1"/>
    <col min="55" max="56" width="8.83203125" style="1"/>
    <col min="57" max="57" width="10.83203125" style="1" customWidth="1"/>
    <col min="58" max="16384" width="8.83203125" style="1"/>
  </cols>
  <sheetData>
    <row r="1" spans="1:54" x14ac:dyDescent="0.2">
      <c r="A1" s="7" t="s">
        <v>7</v>
      </c>
    </row>
    <row r="2" spans="1:54" s="9" customFormat="1" x14ac:dyDescent="0.2">
      <c r="A2" s="8"/>
      <c r="C2" s="9">
        <v>43099</v>
      </c>
      <c r="D2" s="9">
        <v>43190</v>
      </c>
      <c r="E2" s="9">
        <v>43281</v>
      </c>
      <c r="F2" s="9">
        <f>+G2-91</f>
        <v>43373</v>
      </c>
      <c r="G2" s="9">
        <f>+H2-91</f>
        <v>43464</v>
      </c>
      <c r="H2" s="9">
        <f>+I2-91</f>
        <v>43555</v>
      </c>
      <c r="I2" s="9">
        <f>+J2-91</f>
        <v>43646</v>
      </c>
      <c r="J2" s="9">
        <f>+K2-90</f>
        <v>43737</v>
      </c>
      <c r="K2" s="9">
        <v>43827</v>
      </c>
      <c r="L2" s="9">
        <v>43918</v>
      </c>
      <c r="M2" s="9">
        <v>44009</v>
      </c>
      <c r="N2" s="9">
        <v>44100</v>
      </c>
      <c r="O2" s="9">
        <v>44191</v>
      </c>
      <c r="P2" s="9">
        <v>44282</v>
      </c>
      <c r="Q2" s="9">
        <v>44373</v>
      </c>
      <c r="R2" s="9">
        <v>44464</v>
      </c>
      <c r="S2" s="9">
        <v>44555</v>
      </c>
      <c r="T2" s="9">
        <v>44646</v>
      </c>
      <c r="U2" s="9">
        <v>44737</v>
      </c>
      <c r="V2" s="9">
        <f>+R2+365</f>
        <v>44829</v>
      </c>
    </row>
    <row r="3" spans="1:54" s="3" customFormat="1" x14ac:dyDescent="0.2">
      <c r="C3" s="3" t="s">
        <v>85</v>
      </c>
      <c r="D3" s="3" t="s">
        <v>84</v>
      </c>
      <c r="E3" s="3" t="s">
        <v>80</v>
      </c>
      <c r="F3" s="3" t="s">
        <v>79</v>
      </c>
      <c r="G3" s="3" t="s">
        <v>78</v>
      </c>
      <c r="H3" s="3" t="s">
        <v>77</v>
      </c>
      <c r="I3" s="3" t="s">
        <v>65</v>
      </c>
      <c r="J3" s="3" t="s">
        <v>66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40</v>
      </c>
      <c r="X3" s="3" t="s">
        <v>41</v>
      </c>
      <c r="Y3" s="3" t="s">
        <v>42</v>
      </c>
      <c r="Z3" s="3" t="s">
        <v>43</v>
      </c>
      <c r="AB3" s="3" t="s">
        <v>89</v>
      </c>
      <c r="AC3" s="3" t="s">
        <v>88</v>
      </c>
      <c r="AD3" s="3" t="s">
        <v>87</v>
      </c>
      <c r="AE3" s="3" t="s">
        <v>86</v>
      </c>
      <c r="AF3" s="3" t="s">
        <v>72</v>
      </c>
      <c r="AG3" s="3" t="s">
        <v>68</v>
      </c>
      <c r="AH3" s="3" t="s">
        <v>44</v>
      </c>
      <c r="AI3" s="3" t="s">
        <v>45</v>
      </c>
      <c r="AJ3" s="3" t="s">
        <v>46</v>
      </c>
      <c r="AK3" s="3" t="s">
        <v>47</v>
      </c>
      <c r="AL3" s="3" t="s">
        <v>48</v>
      </c>
      <c r="AM3" s="3" t="s">
        <v>49</v>
      </c>
      <c r="AN3" s="3" t="s">
        <v>50</v>
      </c>
      <c r="AO3" s="3" t="s">
        <v>51</v>
      </c>
      <c r="AP3" s="3" t="s">
        <v>52</v>
      </c>
      <c r="AQ3" s="3" t="s">
        <v>53</v>
      </c>
      <c r="AR3" s="3" t="s">
        <v>54</v>
      </c>
      <c r="AS3" s="3" t="s">
        <v>55</v>
      </c>
      <c r="AT3" s="3" t="s">
        <v>56</v>
      </c>
      <c r="AU3" s="3" t="s">
        <v>57</v>
      </c>
      <c r="AV3" s="3" t="s">
        <v>58</v>
      </c>
      <c r="AW3" s="3" t="s">
        <v>59</v>
      </c>
      <c r="AX3" s="3" t="s">
        <v>60</v>
      </c>
      <c r="AY3" s="3" t="s">
        <v>61</v>
      </c>
      <c r="AZ3" s="3" t="s">
        <v>62</v>
      </c>
      <c r="BA3" s="3" t="s">
        <v>63</v>
      </c>
      <c r="BB3" s="3" t="s">
        <v>64</v>
      </c>
    </row>
    <row r="4" spans="1:54" s="10" customFormat="1" x14ac:dyDescent="0.2">
      <c r="B4" s="2" t="s">
        <v>34</v>
      </c>
      <c r="C4" s="10">
        <v>61576</v>
      </c>
      <c r="D4" s="10">
        <v>38032</v>
      </c>
      <c r="E4" s="10">
        <v>29906</v>
      </c>
      <c r="F4" s="10">
        <f>166699-E4-D4-C4</f>
        <v>37185</v>
      </c>
      <c r="K4" s="10">
        <v>55957</v>
      </c>
      <c r="L4" s="10">
        <v>28962</v>
      </c>
      <c r="M4" s="10">
        <v>26418</v>
      </c>
      <c r="N4" s="10">
        <v>26444</v>
      </c>
      <c r="O4" s="10">
        <v>65597</v>
      </c>
      <c r="P4" s="10">
        <v>47938</v>
      </c>
      <c r="Q4" s="10">
        <v>39570</v>
      </c>
      <c r="R4" s="10">
        <v>38868</v>
      </c>
      <c r="S4" s="10">
        <v>71628</v>
      </c>
      <c r="T4" s="10">
        <v>50570</v>
      </c>
      <c r="U4" s="10">
        <v>40665</v>
      </c>
      <c r="V4" s="10">
        <f>+V5*V6/1000</f>
        <v>38770.83</v>
      </c>
      <c r="AD4" s="10">
        <v>136700</v>
      </c>
      <c r="AE4" s="10">
        <v>141319</v>
      </c>
      <c r="AF4" s="10">
        <v>164888</v>
      </c>
      <c r="AG4" s="10">
        <v>142381</v>
      </c>
      <c r="AH4" s="10">
        <f>SUM(K4:N4)</f>
        <v>137781</v>
      </c>
      <c r="AI4" s="10">
        <f>SUM(O4:R4)</f>
        <v>191973</v>
      </c>
      <c r="AJ4" s="10">
        <f>SUM(S4:V4)</f>
        <v>201633.83000000002</v>
      </c>
      <c r="AK4" s="10">
        <f>+AK5*AK6/1000</f>
        <v>213832.67671500004</v>
      </c>
      <c r="AL4" s="10">
        <f t="shared" ref="AL4:BB4" si="0">+AL5*AL6/1000</f>
        <v>226769.55365625754</v>
      </c>
      <c r="AM4" s="10">
        <f t="shared" si="0"/>
        <v>240489.11165246114</v>
      </c>
      <c r="AN4" s="10">
        <f t="shared" si="0"/>
        <v>252609.76287974522</v>
      </c>
      <c r="AO4" s="10">
        <f t="shared" si="0"/>
        <v>265341.29492888437</v>
      </c>
      <c r="AP4" s="10">
        <f t="shared" si="0"/>
        <v>278714.49619330018</v>
      </c>
      <c r="AQ4" s="10">
        <f t="shared" si="0"/>
        <v>292761.70680144255</v>
      </c>
      <c r="AR4" s="10">
        <f t="shared" si="0"/>
        <v>304560.00358554069</v>
      </c>
      <c r="AS4" s="10">
        <f t="shared" si="0"/>
        <v>316833.77173003805</v>
      </c>
      <c r="AT4" s="10">
        <f t="shared" si="0"/>
        <v>329602.17273075861</v>
      </c>
      <c r="AU4" s="10">
        <f t="shared" si="0"/>
        <v>342885.14029180817</v>
      </c>
      <c r="AV4" s="10">
        <f t="shared" si="0"/>
        <v>353240.27152862085</v>
      </c>
      <c r="AW4" s="10">
        <f t="shared" si="0"/>
        <v>363908.12772878521</v>
      </c>
      <c r="AX4" s="10">
        <f t="shared" si="0"/>
        <v>374898.15318619454</v>
      </c>
      <c r="AY4" s="10">
        <f t="shared" si="0"/>
        <v>386220.07741241757</v>
      </c>
      <c r="AZ4" s="10">
        <f t="shared" si="0"/>
        <v>397883.92375027254</v>
      </c>
      <c r="BA4" s="10">
        <f t="shared" si="0"/>
        <v>409900.0182475308</v>
      </c>
      <c r="BB4" s="10">
        <f t="shared" si="0"/>
        <v>422278.99879860628</v>
      </c>
    </row>
    <row r="5" spans="1:54" s="10" customFormat="1" x14ac:dyDescent="0.2">
      <c r="B5" s="2" t="s">
        <v>81</v>
      </c>
      <c r="C5" s="10">
        <v>77316</v>
      </c>
      <c r="D5" s="10">
        <v>52217</v>
      </c>
      <c r="E5" s="10">
        <v>41300</v>
      </c>
      <c r="F5" s="10">
        <f>217722-E5-D5-C5</f>
        <v>46889</v>
      </c>
      <c r="G5" s="10">
        <v>68400</v>
      </c>
      <c r="H5" s="10">
        <v>36400</v>
      </c>
      <c r="I5" s="10">
        <v>33800</v>
      </c>
      <c r="J5" s="10">
        <v>46600</v>
      </c>
      <c r="K5" s="10">
        <v>73800</v>
      </c>
      <c r="L5" s="10">
        <v>36700</v>
      </c>
      <c r="M5" s="10">
        <v>37600</v>
      </c>
      <c r="N5" s="10">
        <v>41700</v>
      </c>
      <c r="O5" s="10">
        <v>90100</v>
      </c>
      <c r="P5" s="10">
        <v>55200</v>
      </c>
      <c r="Q5" s="10">
        <v>44200</v>
      </c>
      <c r="R5" s="10">
        <v>50400</v>
      </c>
      <c r="S5" s="10">
        <v>84100</v>
      </c>
      <c r="T5" s="10">
        <v>56500</v>
      </c>
      <c r="U5" s="10">
        <f>+U4/U6*1000</f>
        <v>43260.117693779554</v>
      </c>
      <c r="V5" s="10">
        <f>+R5*0.95</f>
        <v>47880</v>
      </c>
      <c r="AF5" s="10">
        <f>SUM(C5:F5)</f>
        <v>217722</v>
      </c>
      <c r="AG5" s="10">
        <f>SUM(G5:J5)</f>
        <v>185200</v>
      </c>
      <c r="AH5" s="10">
        <f>SUM(K5:N5)</f>
        <v>189800</v>
      </c>
      <c r="AI5" s="10">
        <f>SUM(O5:R5)</f>
        <v>239900</v>
      </c>
      <c r="AJ5" s="10">
        <f>SUM(S5:V5)</f>
        <v>231740.11769377955</v>
      </c>
      <c r="AK5" s="10">
        <f>+AJ5*1.01</f>
        <v>234057.51887071735</v>
      </c>
      <c r="AL5" s="10">
        <f t="shared" ref="AL5:BB5" si="1">+AK5*1.01</f>
        <v>236398.09405942453</v>
      </c>
      <c r="AM5" s="10">
        <f t="shared" si="1"/>
        <v>238762.07500001878</v>
      </c>
      <c r="AN5" s="10">
        <f t="shared" si="1"/>
        <v>241149.69575001896</v>
      </c>
      <c r="AO5" s="10">
        <f t="shared" si="1"/>
        <v>243561.19270751916</v>
      </c>
      <c r="AP5" s="10">
        <f t="shared" si="1"/>
        <v>245996.80463459436</v>
      </c>
      <c r="AQ5" s="10">
        <f t="shared" si="1"/>
        <v>248456.77268094031</v>
      </c>
      <c r="AR5" s="10">
        <f t="shared" si="1"/>
        <v>250941.34040774973</v>
      </c>
      <c r="AS5" s="10">
        <f t="shared" si="1"/>
        <v>253450.75381182722</v>
      </c>
      <c r="AT5" s="10">
        <f t="shared" si="1"/>
        <v>255985.2613499455</v>
      </c>
      <c r="AU5" s="10">
        <f t="shared" si="1"/>
        <v>258545.11396344495</v>
      </c>
      <c r="AV5" s="10">
        <f t="shared" si="1"/>
        <v>261130.5651030794</v>
      </c>
      <c r="AW5" s="10">
        <f t="shared" si="1"/>
        <v>263741.87075411022</v>
      </c>
      <c r="AX5" s="10">
        <f t="shared" si="1"/>
        <v>266379.28946165135</v>
      </c>
      <c r="AY5" s="10">
        <f t="shared" si="1"/>
        <v>269043.08235626784</v>
      </c>
      <c r="AZ5" s="10">
        <f t="shared" si="1"/>
        <v>271733.51317983051</v>
      </c>
      <c r="BA5" s="10">
        <f t="shared" si="1"/>
        <v>274450.8483116288</v>
      </c>
      <c r="BB5" s="10">
        <f t="shared" si="1"/>
        <v>277195.35679474508</v>
      </c>
    </row>
    <row r="6" spans="1:54" s="10" customFormat="1" x14ac:dyDescent="0.2">
      <c r="B6" s="2" t="s">
        <v>82</v>
      </c>
      <c r="C6" s="10">
        <f>+C4*1000/C5</f>
        <v>796.41988721610016</v>
      </c>
      <c r="D6" s="10">
        <f>+D4*1000/D5</f>
        <v>728.34517494302622</v>
      </c>
      <c r="E6" s="10">
        <f>+E4*1000/E5</f>
        <v>724.11622276029061</v>
      </c>
      <c r="F6" s="10">
        <f>+F4*1000/F5</f>
        <v>793.04314444752504</v>
      </c>
      <c r="K6" s="10">
        <f t="shared" ref="K6:T6" si="2">+K4*1000/K5</f>
        <v>758.22493224932248</v>
      </c>
      <c r="L6" s="10">
        <f t="shared" si="2"/>
        <v>789.15531335149865</v>
      </c>
      <c r="M6" s="10">
        <f t="shared" si="2"/>
        <v>702.60638297872345</v>
      </c>
      <c r="N6" s="10">
        <f t="shared" si="2"/>
        <v>634.14868105515586</v>
      </c>
      <c r="O6" s="10">
        <f t="shared" si="2"/>
        <v>728.04661487236399</v>
      </c>
      <c r="P6" s="10">
        <f t="shared" si="2"/>
        <v>868.44202898550725</v>
      </c>
      <c r="Q6" s="10">
        <f t="shared" si="2"/>
        <v>895.24886877828055</v>
      </c>
      <c r="R6" s="10">
        <f t="shared" si="2"/>
        <v>771.19047619047615</v>
      </c>
      <c r="S6" s="10">
        <f t="shared" si="2"/>
        <v>851.70035671819267</v>
      </c>
      <c r="T6" s="10">
        <f t="shared" si="2"/>
        <v>895.04424778761063</v>
      </c>
      <c r="U6" s="11">
        <f>+Q6*1.05</f>
        <v>940.01131221719459</v>
      </c>
      <c r="V6" s="11">
        <f>+R6*1.05</f>
        <v>809.75</v>
      </c>
      <c r="AF6" s="10">
        <f>+AF4*1000/AF5</f>
        <v>757.33274542765548</v>
      </c>
      <c r="AG6" s="10">
        <f>+AG4*1000/AG5</f>
        <v>768.79589632829379</v>
      </c>
      <c r="AH6" s="10">
        <f>+AH4*1000/AH5</f>
        <v>725.92729188619603</v>
      </c>
      <c r="AI6" s="10">
        <f>+AI4*1000/AI5</f>
        <v>800.22092538557729</v>
      </c>
      <c r="AJ6" s="10">
        <f>+AJ4*1000/AJ5</f>
        <v>870.085991181027</v>
      </c>
      <c r="AK6" s="10">
        <f>+AJ6*1.05</f>
        <v>913.59029074007833</v>
      </c>
      <c r="AL6" s="10">
        <f t="shared" ref="AL6:AM6" si="3">+AK6*1.05</f>
        <v>959.26980527708224</v>
      </c>
      <c r="AM6" s="10">
        <f t="shared" si="3"/>
        <v>1007.2332955409364</v>
      </c>
      <c r="AN6" s="10">
        <f>+AM6*1.04</f>
        <v>1047.522627362574</v>
      </c>
      <c r="AO6" s="10">
        <f>+AN6*1.04</f>
        <v>1089.423532457077</v>
      </c>
      <c r="AP6" s="10">
        <f>+AO6*1.04</f>
        <v>1133.0004737553602</v>
      </c>
      <c r="AQ6" s="10">
        <f>+AP6*1.04</f>
        <v>1178.3204927055747</v>
      </c>
      <c r="AR6" s="10">
        <f>+AQ6*1.03</f>
        <v>1213.6701074867419</v>
      </c>
      <c r="AS6" s="10">
        <f>+AR6*1.03</f>
        <v>1250.0802107113443</v>
      </c>
      <c r="AT6" s="10">
        <f t="shared" ref="AT6:AU6" si="4">+AS6*1.03</f>
        <v>1287.5826170326848</v>
      </c>
      <c r="AU6" s="10">
        <f t="shared" si="4"/>
        <v>1326.2100955436654</v>
      </c>
      <c r="AV6" s="10">
        <f>+AU6*1.02</f>
        <v>1352.7342974545388</v>
      </c>
      <c r="AW6" s="10">
        <f t="shared" ref="AW6:BB6" si="5">+AV6*1.02</f>
        <v>1379.7889834036296</v>
      </c>
      <c r="AX6" s="10">
        <f t="shared" si="5"/>
        <v>1407.3847630717021</v>
      </c>
      <c r="AY6" s="10">
        <f t="shared" si="5"/>
        <v>1435.5324583331362</v>
      </c>
      <c r="AZ6" s="10">
        <f t="shared" si="5"/>
        <v>1464.243107499799</v>
      </c>
      <c r="BA6" s="10">
        <f t="shared" si="5"/>
        <v>1493.5279696497951</v>
      </c>
      <c r="BB6" s="10">
        <f t="shared" si="5"/>
        <v>1523.3985290427911</v>
      </c>
    </row>
    <row r="7" spans="1:54" s="10" customFormat="1" x14ac:dyDescent="0.2">
      <c r="B7" s="2"/>
    </row>
    <row r="8" spans="1:54" s="10" customFormat="1" x14ac:dyDescent="0.2">
      <c r="B8" s="2" t="s">
        <v>35</v>
      </c>
      <c r="C8" s="10">
        <v>6895</v>
      </c>
      <c r="D8" s="10">
        <v>5848</v>
      </c>
      <c r="E8" s="10">
        <v>5330</v>
      </c>
      <c r="F8" s="10">
        <f>25484-E8-D8-C8</f>
        <v>7411</v>
      </c>
      <c r="K8" s="10">
        <v>7160</v>
      </c>
      <c r="L8" s="10">
        <v>5351</v>
      </c>
      <c r="M8" s="10">
        <v>7079</v>
      </c>
      <c r="N8" s="10">
        <v>9032</v>
      </c>
      <c r="O8" s="10">
        <v>8675</v>
      </c>
      <c r="P8" s="10">
        <v>9102</v>
      </c>
      <c r="Q8" s="10">
        <v>8235</v>
      </c>
      <c r="R8" s="10">
        <v>9178</v>
      </c>
      <c r="S8" s="10">
        <v>10852</v>
      </c>
      <c r="T8" s="10">
        <v>10435</v>
      </c>
      <c r="U8" s="10">
        <v>7382</v>
      </c>
      <c r="V8" s="10">
        <f>+R8*0.95</f>
        <v>8719.1</v>
      </c>
      <c r="AD8" s="10">
        <v>22831</v>
      </c>
      <c r="AE8" s="10">
        <v>25850</v>
      </c>
      <c r="AF8" s="10">
        <v>25198</v>
      </c>
      <c r="AG8" s="10">
        <v>25740</v>
      </c>
      <c r="AH8" s="10">
        <f t="shared" ref="AH8:AH9" si="6">SUM(K8:N8)</f>
        <v>28622</v>
      </c>
      <c r="AI8" s="10">
        <f t="shared" ref="AI8:AI9" si="7">SUM(O8:R8)</f>
        <v>35190</v>
      </c>
      <c r="AJ8" s="10">
        <f t="shared" ref="AJ8:AJ9" si="8">SUM(S8:V8)</f>
        <v>37388.1</v>
      </c>
      <c r="AK8" s="10">
        <f>+AJ8*1.07</f>
        <v>40005.267</v>
      </c>
      <c r="AL8" s="10">
        <f t="shared" ref="AL8:AQ8" si="9">+AK8*1.07</f>
        <v>42805.635690000003</v>
      </c>
      <c r="AM8" s="10">
        <f t="shared" si="9"/>
        <v>45802.030188300007</v>
      </c>
      <c r="AN8" s="10">
        <f t="shared" si="9"/>
        <v>49008.172301481012</v>
      </c>
      <c r="AO8" s="10">
        <f t="shared" si="9"/>
        <v>52438.744362584686</v>
      </c>
      <c r="AP8" s="10">
        <f t="shared" si="9"/>
        <v>56109.456467965618</v>
      </c>
      <c r="AQ8" s="10">
        <f t="shared" si="9"/>
        <v>60037.118420723215</v>
      </c>
      <c r="AR8" s="10">
        <f>+AQ8*1.06</f>
        <v>63639.345525966608</v>
      </c>
      <c r="AS8" s="10">
        <f t="shared" ref="AS8:AV8" si="10">+AR8*1.06</f>
        <v>67457.706257524609</v>
      </c>
      <c r="AT8" s="10">
        <f t="shared" si="10"/>
        <v>71505.168632976085</v>
      </c>
      <c r="AU8" s="10">
        <f t="shared" si="10"/>
        <v>75795.478750954659</v>
      </c>
      <c r="AV8" s="10">
        <f t="shared" si="10"/>
        <v>80343.207476011943</v>
      </c>
      <c r="AW8" s="10">
        <f>+AV8*1.05</f>
        <v>84360.367849812537</v>
      </c>
      <c r="AX8" s="10">
        <f t="shared" ref="AX8:BB8" si="11">+AW8*1.05</f>
        <v>88578.386242303168</v>
      </c>
      <c r="AY8" s="10">
        <f t="shared" si="11"/>
        <v>93007.30555441833</v>
      </c>
      <c r="AZ8" s="10">
        <f t="shared" si="11"/>
        <v>97657.670832139251</v>
      </c>
      <c r="BA8" s="10">
        <f t="shared" si="11"/>
        <v>102540.55437374621</v>
      </c>
      <c r="BB8" s="10">
        <f t="shared" si="11"/>
        <v>107667.58209243353</v>
      </c>
    </row>
    <row r="9" spans="1:54" s="10" customFormat="1" x14ac:dyDescent="0.2">
      <c r="B9" s="2" t="s">
        <v>36</v>
      </c>
      <c r="C9" s="10">
        <v>5862</v>
      </c>
      <c r="D9" s="10">
        <v>4113</v>
      </c>
      <c r="E9" s="10">
        <v>4741</v>
      </c>
      <c r="F9" s="10">
        <f>18805-E9-D9-C9</f>
        <v>4089</v>
      </c>
      <c r="K9" s="10">
        <v>5977</v>
      </c>
      <c r="L9" s="10">
        <v>4368</v>
      </c>
      <c r="M9" s="10">
        <v>6582</v>
      </c>
      <c r="N9" s="10">
        <v>6797</v>
      </c>
      <c r="O9" s="10">
        <v>8435</v>
      </c>
      <c r="P9" s="10">
        <v>7807</v>
      </c>
      <c r="Q9" s="10">
        <v>7368</v>
      </c>
      <c r="R9" s="10">
        <v>8252</v>
      </c>
      <c r="S9" s="10">
        <v>7248</v>
      </c>
      <c r="T9" s="10">
        <v>7646</v>
      </c>
      <c r="U9" s="10">
        <v>7224</v>
      </c>
      <c r="V9" s="10">
        <f>+R9*0.95</f>
        <v>7839.4</v>
      </c>
      <c r="AD9" s="10">
        <v>20628</v>
      </c>
      <c r="AE9" s="10">
        <v>19222</v>
      </c>
      <c r="AF9" s="10">
        <v>18380</v>
      </c>
      <c r="AG9" s="10">
        <v>21280</v>
      </c>
      <c r="AH9" s="10">
        <f t="shared" si="6"/>
        <v>23724</v>
      </c>
      <c r="AI9" s="10">
        <f t="shared" si="7"/>
        <v>31862</v>
      </c>
      <c r="AJ9" s="10">
        <f t="shared" si="8"/>
        <v>29957.4</v>
      </c>
      <c r="AK9" s="10">
        <f>+AJ9*1.04</f>
        <v>31155.696000000004</v>
      </c>
      <c r="AL9" s="10">
        <f t="shared" ref="AL9:BB9" si="12">+AK9*1.04</f>
        <v>32401.923840000003</v>
      </c>
      <c r="AM9" s="10">
        <f t="shared" si="12"/>
        <v>33698.000793600004</v>
      </c>
      <c r="AN9" s="10">
        <f t="shared" si="12"/>
        <v>35045.920825344008</v>
      </c>
      <c r="AO9" s="10">
        <f t="shared" si="12"/>
        <v>36447.757658357768</v>
      </c>
      <c r="AP9" s="10">
        <f t="shared" si="12"/>
        <v>37905.667964692082</v>
      </c>
      <c r="AQ9" s="10">
        <f t="shared" si="12"/>
        <v>39421.894683279766</v>
      </c>
      <c r="AR9" s="10">
        <f t="shared" si="12"/>
        <v>40998.770470610958</v>
      </c>
      <c r="AS9" s="10">
        <f t="shared" si="12"/>
        <v>42638.721289435394</v>
      </c>
      <c r="AT9" s="10">
        <f t="shared" si="12"/>
        <v>44344.270141012814</v>
      </c>
      <c r="AU9" s="10">
        <f t="shared" si="12"/>
        <v>46118.040946653331</v>
      </c>
      <c r="AV9" s="10">
        <f t="shared" si="12"/>
        <v>47962.762584519463</v>
      </c>
      <c r="AW9" s="10">
        <f t="shared" si="12"/>
        <v>49881.273087900241</v>
      </c>
      <c r="AX9" s="10">
        <f t="shared" si="12"/>
        <v>51876.524011416252</v>
      </c>
      <c r="AY9" s="10">
        <f t="shared" si="12"/>
        <v>53951.5849718729</v>
      </c>
      <c r="AZ9" s="10">
        <f t="shared" si="12"/>
        <v>56109.648370747818</v>
      </c>
      <c r="BA9" s="10">
        <f t="shared" si="12"/>
        <v>58354.034305577734</v>
      </c>
      <c r="BB9" s="10">
        <f t="shared" si="12"/>
        <v>60688.195677800846</v>
      </c>
    </row>
    <row r="10" spans="1:54" s="10" customFormat="1" x14ac:dyDescent="0.2">
      <c r="B10" s="2" t="s">
        <v>37</v>
      </c>
      <c r="C10" s="10">
        <v>5489</v>
      </c>
      <c r="D10" s="10">
        <v>3954</v>
      </c>
      <c r="E10" s="10">
        <v>3740</v>
      </c>
      <c r="F10" s="10">
        <f>17417-E10-D10-C10</f>
        <v>4234</v>
      </c>
      <c r="K10" s="10">
        <v>10010</v>
      </c>
      <c r="L10" s="10">
        <v>6284</v>
      </c>
      <c r="M10" s="10">
        <v>6450</v>
      </c>
      <c r="N10" s="10">
        <v>7876</v>
      </c>
      <c r="O10" s="10">
        <v>12971</v>
      </c>
      <c r="P10" s="10">
        <v>7836</v>
      </c>
      <c r="Q10" s="10">
        <v>8775</v>
      </c>
      <c r="R10" s="10">
        <v>8785</v>
      </c>
      <c r="S10" s="10">
        <v>14701</v>
      </c>
      <c r="T10" s="10">
        <v>8806</v>
      </c>
      <c r="U10" s="10">
        <v>8084</v>
      </c>
      <c r="V10" s="10">
        <f>+R10*0.95</f>
        <v>8345.75</v>
      </c>
      <c r="AD10" s="10">
        <v>11132</v>
      </c>
      <c r="AE10" s="10">
        <v>12863</v>
      </c>
      <c r="AF10" s="10">
        <v>17381</v>
      </c>
      <c r="AG10" s="10">
        <v>24482</v>
      </c>
      <c r="AH10" s="10">
        <f t="shared" ref="AH10" si="13">SUM(K10:N10)</f>
        <v>30620</v>
      </c>
      <c r="AI10" s="10">
        <f t="shared" ref="AI10" si="14">SUM(O10:R10)</f>
        <v>38367</v>
      </c>
      <c r="AJ10" s="10">
        <f t="shared" ref="AJ10" si="15">SUM(S10:V10)</f>
        <v>39936.75</v>
      </c>
      <c r="AK10" s="10">
        <f>+AJ10*1.04</f>
        <v>41534.22</v>
      </c>
      <c r="AL10" s="10">
        <f t="shared" ref="AL10:BB10" si="16">+AK10*1.04</f>
        <v>43195.588800000005</v>
      </c>
      <c r="AM10" s="10">
        <f t="shared" si="16"/>
        <v>44923.412352000007</v>
      </c>
      <c r="AN10" s="10">
        <f t="shared" si="16"/>
        <v>46720.348846080007</v>
      </c>
      <c r="AO10" s="10">
        <f t="shared" si="16"/>
        <v>48589.162799923208</v>
      </c>
      <c r="AP10" s="10">
        <f t="shared" si="16"/>
        <v>50532.729311920135</v>
      </c>
      <c r="AQ10" s="10">
        <f t="shared" si="16"/>
        <v>52554.038484396944</v>
      </c>
      <c r="AR10" s="10">
        <f t="shared" si="16"/>
        <v>54656.200023772821</v>
      </c>
      <c r="AS10" s="10">
        <f t="shared" si="16"/>
        <v>56842.448024723737</v>
      </c>
      <c r="AT10" s="10">
        <f t="shared" si="16"/>
        <v>59116.145945712691</v>
      </c>
      <c r="AU10" s="10">
        <f t="shared" si="16"/>
        <v>61480.791783541201</v>
      </c>
      <c r="AV10" s="10">
        <f t="shared" si="16"/>
        <v>63940.023454882852</v>
      </c>
      <c r="AW10" s="10">
        <f t="shared" si="16"/>
        <v>66497.624393078164</v>
      </c>
      <c r="AX10" s="10">
        <f t="shared" si="16"/>
        <v>69157.52936880129</v>
      </c>
      <c r="AY10" s="10">
        <f t="shared" si="16"/>
        <v>71923.83054355334</v>
      </c>
      <c r="AZ10" s="10">
        <f t="shared" si="16"/>
        <v>74800.783765295477</v>
      </c>
      <c r="BA10" s="10">
        <f t="shared" si="16"/>
        <v>77792.815115907302</v>
      </c>
      <c r="BB10" s="10">
        <f t="shared" si="16"/>
        <v>80904.5277205436</v>
      </c>
    </row>
    <row r="11" spans="1:54" s="10" customFormat="1" x14ac:dyDescent="0.2">
      <c r="B11" s="2"/>
    </row>
    <row r="12" spans="1:54" s="2" customFormat="1" x14ac:dyDescent="0.2">
      <c r="B12" s="2" t="s">
        <v>96</v>
      </c>
      <c r="C12" s="2">
        <f>SUM(C8:C10)+C4</f>
        <v>79822</v>
      </c>
      <c r="D12" s="2">
        <f>SUM(D8:D10)+D4</f>
        <v>51947</v>
      </c>
      <c r="E12" s="2">
        <f>SUM(E8:E10)+E4</f>
        <v>43717</v>
      </c>
      <c r="F12" s="2">
        <f>SUM(F8:F10)+F4</f>
        <v>52919</v>
      </c>
      <c r="K12" s="2">
        <f t="shared" ref="K12:V12" si="17">SUM(K8:K10)+K4</f>
        <v>79104</v>
      </c>
      <c r="L12" s="2">
        <f t="shared" si="17"/>
        <v>44965</v>
      </c>
      <c r="M12" s="2">
        <f t="shared" si="17"/>
        <v>46529</v>
      </c>
      <c r="N12" s="2">
        <f t="shared" si="17"/>
        <v>50149</v>
      </c>
      <c r="O12" s="2">
        <f t="shared" si="17"/>
        <v>95678</v>
      </c>
      <c r="P12" s="2">
        <f t="shared" si="17"/>
        <v>72683</v>
      </c>
      <c r="Q12" s="2">
        <f t="shared" si="17"/>
        <v>63948</v>
      </c>
      <c r="R12" s="2">
        <f t="shared" si="17"/>
        <v>65083</v>
      </c>
      <c r="S12" s="2">
        <f t="shared" si="17"/>
        <v>104429</v>
      </c>
      <c r="T12" s="2">
        <f t="shared" si="17"/>
        <v>77457</v>
      </c>
      <c r="U12" s="2">
        <f t="shared" si="17"/>
        <v>63355</v>
      </c>
      <c r="V12" s="2">
        <f t="shared" si="17"/>
        <v>63675.08</v>
      </c>
      <c r="AD12" s="2">
        <f t="shared" ref="AD12:AJ12" si="18">SUM(AD8:AD10)+AD4</f>
        <v>191291</v>
      </c>
      <c r="AE12" s="2">
        <f t="shared" si="18"/>
        <v>199254</v>
      </c>
      <c r="AF12" s="2">
        <f t="shared" si="18"/>
        <v>225847</v>
      </c>
      <c r="AG12" s="2">
        <f t="shared" si="18"/>
        <v>213883</v>
      </c>
      <c r="AH12" s="2">
        <f t="shared" si="18"/>
        <v>220747</v>
      </c>
      <c r="AI12" s="2">
        <f t="shared" si="18"/>
        <v>297392</v>
      </c>
      <c r="AJ12" s="2">
        <f t="shared" si="18"/>
        <v>308916.08</v>
      </c>
      <c r="AK12" s="2">
        <f t="shared" ref="AK12:BB12" si="19">SUM(AK8:AK10)+AK4</f>
        <v>326527.85971500003</v>
      </c>
      <c r="AL12" s="2">
        <f t="shared" si="19"/>
        <v>345172.70198625757</v>
      </c>
      <c r="AM12" s="2">
        <f t="shared" si="19"/>
        <v>364912.55498636118</v>
      </c>
      <c r="AN12" s="2">
        <f t="shared" si="19"/>
        <v>383384.20485265029</v>
      </c>
      <c r="AO12" s="2">
        <f t="shared" si="19"/>
        <v>402816.95974975004</v>
      </c>
      <c r="AP12" s="2">
        <f t="shared" si="19"/>
        <v>423262.34993787803</v>
      </c>
      <c r="AQ12" s="2">
        <f t="shared" si="19"/>
        <v>444774.75838984246</v>
      </c>
      <c r="AR12" s="2">
        <f t="shared" si="19"/>
        <v>463854.31960589107</v>
      </c>
      <c r="AS12" s="2">
        <f t="shared" si="19"/>
        <v>483772.64730172179</v>
      </c>
      <c r="AT12" s="2">
        <f t="shared" si="19"/>
        <v>504567.75745046022</v>
      </c>
      <c r="AU12" s="2">
        <f t="shared" si="19"/>
        <v>526279.45177295734</v>
      </c>
      <c r="AV12" s="2">
        <f t="shared" si="19"/>
        <v>545486.26504403516</v>
      </c>
      <c r="AW12" s="2">
        <f t="shared" si="19"/>
        <v>564647.39305957616</v>
      </c>
      <c r="AX12" s="2">
        <f t="shared" si="19"/>
        <v>584510.5928087153</v>
      </c>
      <c r="AY12" s="2">
        <f t="shared" si="19"/>
        <v>605102.79848226206</v>
      </c>
      <c r="AZ12" s="2">
        <f t="shared" si="19"/>
        <v>626452.02671845513</v>
      </c>
      <c r="BA12" s="2">
        <f t="shared" si="19"/>
        <v>648587.42204276205</v>
      </c>
      <c r="BB12" s="2">
        <f t="shared" si="19"/>
        <v>671539.30428938428</v>
      </c>
    </row>
    <row r="13" spans="1:54" s="2" customFormat="1" x14ac:dyDescent="0.2">
      <c r="B13" s="2" t="s">
        <v>98</v>
      </c>
      <c r="C13" s="2">
        <v>8471</v>
      </c>
      <c r="D13" s="2">
        <v>9190</v>
      </c>
      <c r="E13" s="2">
        <v>9548</v>
      </c>
      <c r="F13" s="2">
        <f>37190-E13-D13-C13</f>
        <v>9981</v>
      </c>
      <c r="K13" s="2">
        <v>12715</v>
      </c>
      <c r="L13" s="2">
        <v>13348</v>
      </c>
      <c r="M13" s="2">
        <v>13156</v>
      </c>
      <c r="N13" s="2">
        <v>14549</v>
      </c>
      <c r="O13" s="2">
        <v>15761</v>
      </c>
      <c r="P13" s="2">
        <v>16901</v>
      </c>
      <c r="Q13" s="2">
        <v>17486</v>
      </c>
      <c r="R13" s="2">
        <v>18277</v>
      </c>
      <c r="S13" s="2">
        <v>19516</v>
      </c>
      <c r="T13" s="2">
        <v>19821</v>
      </c>
      <c r="U13" s="2">
        <v>19604</v>
      </c>
      <c r="V13" s="2">
        <f>+R13*1.1</f>
        <v>20104.7</v>
      </c>
      <c r="AD13" s="2">
        <v>24348</v>
      </c>
      <c r="AE13" s="2">
        <v>29980</v>
      </c>
      <c r="AF13" s="10">
        <v>39748</v>
      </c>
      <c r="AG13" s="10">
        <v>46291</v>
      </c>
      <c r="AH13" s="10">
        <f>SUM(K13:N13)</f>
        <v>53768</v>
      </c>
      <c r="AI13" s="10">
        <f t="shared" ref="AI13" si="20">SUM(O13:R13)</f>
        <v>68425</v>
      </c>
      <c r="AJ13" s="10">
        <f t="shared" ref="AJ13" si="21">SUM(S13:V13)</f>
        <v>79045.7</v>
      </c>
      <c r="AK13" s="10">
        <f>+AJ13*1.15</f>
        <v>90902.554999999993</v>
      </c>
      <c r="AL13" s="10">
        <f>+AK13*1.15</f>
        <v>104537.93824999998</v>
      </c>
      <c r="AM13" s="10">
        <f>+AL13*1.15</f>
        <v>120218.62898749996</v>
      </c>
      <c r="AN13" s="10">
        <f>+AM13*1.1</f>
        <v>132240.49188624998</v>
      </c>
      <c r="AO13" s="10">
        <f>+AN13*1.1</f>
        <v>145464.54107487499</v>
      </c>
      <c r="AP13" s="10">
        <f>+AO13*1.1</f>
        <v>160010.9951823625</v>
      </c>
      <c r="AQ13" s="10">
        <f>+AP13*1.05</f>
        <v>168011.54494148062</v>
      </c>
      <c r="AR13" s="10">
        <f t="shared" ref="AR13:BB13" si="22">+AQ13*1.05</f>
        <v>176412.12218855467</v>
      </c>
      <c r="AS13" s="10">
        <f t="shared" si="22"/>
        <v>185232.72829798242</v>
      </c>
      <c r="AT13" s="10">
        <f t="shared" si="22"/>
        <v>194494.36471288156</v>
      </c>
      <c r="AU13" s="10">
        <f t="shared" si="22"/>
        <v>204219.08294852564</v>
      </c>
      <c r="AV13" s="10">
        <f t="shared" si="22"/>
        <v>214430.03709595194</v>
      </c>
      <c r="AW13" s="10">
        <f t="shared" si="22"/>
        <v>225151.53895074953</v>
      </c>
      <c r="AX13" s="10">
        <f t="shared" si="22"/>
        <v>236409.11589828701</v>
      </c>
      <c r="AY13" s="10">
        <f t="shared" si="22"/>
        <v>248229.57169320137</v>
      </c>
      <c r="AZ13" s="10">
        <f t="shared" si="22"/>
        <v>260641.05027786145</v>
      </c>
      <c r="BA13" s="10">
        <f t="shared" si="22"/>
        <v>273673.10279175453</v>
      </c>
      <c r="BB13" s="10">
        <f t="shared" si="22"/>
        <v>287356.75793134229</v>
      </c>
    </row>
    <row r="14" spans="1:54" s="12" customFormat="1" x14ac:dyDescent="0.2">
      <c r="B14" s="12" t="s">
        <v>8</v>
      </c>
      <c r="C14" s="12">
        <f t="shared" ref="C14:F14" si="23">+C12+C13</f>
        <v>88293</v>
      </c>
      <c r="D14" s="12">
        <f t="shared" si="23"/>
        <v>61137</v>
      </c>
      <c r="E14" s="12">
        <f t="shared" si="23"/>
        <v>53265</v>
      </c>
      <c r="F14" s="12">
        <f t="shared" si="23"/>
        <v>62900</v>
      </c>
      <c r="K14" s="12">
        <f t="shared" ref="K14:N14" si="24">+K12+K13</f>
        <v>91819</v>
      </c>
      <c r="L14" s="12">
        <f t="shared" si="24"/>
        <v>58313</v>
      </c>
      <c r="M14" s="12">
        <f t="shared" si="24"/>
        <v>59685</v>
      </c>
      <c r="N14" s="12">
        <f t="shared" si="24"/>
        <v>64698</v>
      </c>
      <c r="O14" s="12">
        <f>+O12+O13</f>
        <v>111439</v>
      </c>
      <c r="P14" s="12">
        <f>+P12+P13</f>
        <v>89584</v>
      </c>
      <c r="Q14" s="12">
        <f>+Q12+Q13</f>
        <v>81434</v>
      </c>
      <c r="R14" s="12">
        <f t="shared" ref="R14" si="25">+R12+R13</f>
        <v>83360</v>
      </c>
      <c r="S14" s="12">
        <f t="shared" ref="S14" si="26">+S12+S13</f>
        <v>123945</v>
      </c>
      <c r="T14" s="12">
        <f>+T12+T13</f>
        <v>97278</v>
      </c>
      <c r="U14" s="12">
        <f t="shared" ref="U14:V14" si="27">+U12+U13</f>
        <v>82959</v>
      </c>
      <c r="V14" s="12">
        <f t="shared" si="27"/>
        <v>83779.78</v>
      </c>
      <c r="AB14" s="12">
        <v>182795</v>
      </c>
      <c r="AC14" s="12">
        <v>233715</v>
      </c>
      <c r="AD14" s="12">
        <f t="shared" ref="AD14:AG14" si="28">+AD12+AD13</f>
        <v>215639</v>
      </c>
      <c r="AE14" s="12">
        <f t="shared" si="28"/>
        <v>229234</v>
      </c>
      <c r="AF14" s="12">
        <f t="shared" si="28"/>
        <v>265595</v>
      </c>
      <c r="AG14" s="12">
        <f t="shared" si="28"/>
        <v>260174</v>
      </c>
      <c r="AH14" s="12">
        <f>+AH12+AH13</f>
        <v>274515</v>
      </c>
      <c r="AI14" s="12">
        <f>+AI12+AI13</f>
        <v>365817</v>
      </c>
      <c r="AJ14" s="12">
        <f>+AJ12+AJ13</f>
        <v>387961.78</v>
      </c>
      <c r="AK14" s="12">
        <f t="shared" ref="AK14:BB14" si="29">+AK12+AK13</f>
        <v>417430.41471500002</v>
      </c>
      <c r="AL14" s="12">
        <f t="shared" si="29"/>
        <v>449710.64023625758</v>
      </c>
      <c r="AM14" s="12">
        <f t="shared" si="29"/>
        <v>485131.18397386116</v>
      </c>
      <c r="AN14" s="12">
        <f t="shared" si="29"/>
        <v>515624.69673890027</v>
      </c>
      <c r="AO14" s="12">
        <f t="shared" si="29"/>
        <v>548281.50082462502</v>
      </c>
      <c r="AP14" s="12">
        <f t="shared" si="29"/>
        <v>583273.34512024047</v>
      </c>
      <c r="AQ14" s="12">
        <f t="shared" si="29"/>
        <v>612786.30333132308</v>
      </c>
      <c r="AR14" s="12">
        <f t="shared" si="29"/>
        <v>640266.44179444574</v>
      </c>
      <c r="AS14" s="12">
        <f t="shared" si="29"/>
        <v>669005.37559970422</v>
      </c>
      <c r="AT14" s="12">
        <f t="shared" si="29"/>
        <v>699062.12216334185</v>
      </c>
      <c r="AU14" s="12">
        <f t="shared" si="29"/>
        <v>730498.53472148301</v>
      </c>
      <c r="AV14" s="12">
        <f t="shared" si="29"/>
        <v>759916.30213998712</v>
      </c>
      <c r="AW14" s="12">
        <f t="shared" si="29"/>
        <v>789798.93201032572</v>
      </c>
      <c r="AX14" s="12">
        <f t="shared" si="29"/>
        <v>820919.70870700234</v>
      </c>
      <c r="AY14" s="12">
        <f t="shared" si="29"/>
        <v>853332.37017546338</v>
      </c>
      <c r="AZ14" s="12">
        <f t="shared" si="29"/>
        <v>887093.07699631655</v>
      </c>
      <c r="BA14" s="12">
        <f t="shared" si="29"/>
        <v>922260.52483451657</v>
      </c>
      <c r="BB14" s="12">
        <f t="shared" si="29"/>
        <v>958896.06222072663</v>
      </c>
    </row>
    <row r="15" spans="1:54" s="2" customFormat="1" x14ac:dyDescent="0.2">
      <c r="B15" s="2" t="s">
        <v>95</v>
      </c>
      <c r="K15" s="2">
        <v>52075</v>
      </c>
      <c r="L15" s="2">
        <v>31321</v>
      </c>
      <c r="M15" s="2">
        <v>32693</v>
      </c>
      <c r="N15" s="2">
        <v>35197</v>
      </c>
      <c r="O15" s="2">
        <v>62130</v>
      </c>
      <c r="P15" s="2">
        <v>46447</v>
      </c>
      <c r="Q15" s="2">
        <v>40899</v>
      </c>
      <c r="R15" s="2">
        <v>42790</v>
      </c>
      <c r="S15" s="2">
        <v>64309</v>
      </c>
      <c r="T15" s="2">
        <v>49290</v>
      </c>
      <c r="U15" s="2">
        <v>41485</v>
      </c>
      <c r="V15" s="2">
        <f>+V12*0.65</f>
        <v>41388.802000000003</v>
      </c>
      <c r="AF15" s="10">
        <v>148164</v>
      </c>
      <c r="AG15" s="10">
        <v>144996</v>
      </c>
      <c r="AH15" s="10">
        <f>SUM(K15:N15)</f>
        <v>151286</v>
      </c>
      <c r="AI15" s="10">
        <f t="shared" ref="AI15:AI16" si="30">SUM(O15:R15)</f>
        <v>192266</v>
      </c>
      <c r="AJ15" s="10">
        <f t="shared" ref="AJ15:AJ16" si="31">SUM(S15:V15)</f>
        <v>196472.802</v>
      </c>
      <c r="AK15" s="2">
        <f>+AK12*0.64</f>
        <v>208977.83021760001</v>
      </c>
      <c r="AL15" s="2">
        <f t="shared" ref="AL15:BB15" si="32">+AL12*0.64</f>
        <v>220910.52927120484</v>
      </c>
      <c r="AM15" s="2">
        <f t="shared" si="32"/>
        <v>233544.03519127116</v>
      </c>
      <c r="AN15" s="2">
        <f t="shared" si="32"/>
        <v>245365.89110569618</v>
      </c>
      <c r="AO15" s="2">
        <f t="shared" si="32"/>
        <v>257802.85423984003</v>
      </c>
      <c r="AP15" s="2">
        <f t="shared" si="32"/>
        <v>270887.90396024194</v>
      </c>
      <c r="AQ15" s="2">
        <f t="shared" si="32"/>
        <v>284655.84536949918</v>
      </c>
      <c r="AR15" s="2">
        <f t="shared" si="32"/>
        <v>296866.76454777032</v>
      </c>
      <c r="AS15" s="2">
        <f t="shared" si="32"/>
        <v>309614.49427310197</v>
      </c>
      <c r="AT15" s="2">
        <f t="shared" si="32"/>
        <v>322923.36476829456</v>
      </c>
      <c r="AU15" s="2">
        <f t="shared" si="32"/>
        <v>336818.84913469269</v>
      </c>
      <c r="AV15" s="2">
        <f t="shared" si="32"/>
        <v>349111.20962818252</v>
      </c>
      <c r="AW15" s="2">
        <f t="shared" si="32"/>
        <v>361374.33155812876</v>
      </c>
      <c r="AX15" s="2">
        <f t="shared" si="32"/>
        <v>374086.7793975778</v>
      </c>
      <c r="AY15" s="2">
        <f t="shared" si="32"/>
        <v>387265.79102864774</v>
      </c>
      <c r="AZ15" s="2">
        <f t="shared" si="32"/>
        <v>400929.29709981132</v>
      </c>
      <c r="BA15" s="2">
        <f t="shared" si="32"/>
        <v>415095.95010736771</v>
      </c>
      <c r="BB15" s="2">
        <f t="shared" si="32"/>
        <v>429785.15474520595</v>
      </c>
    </row>
    <row r="16" spans="1:54" s="2" customFormat="1" x14ac:dyDescent="0.2">
      <c r="B16" s="2" t="s">
        <v>97</v>
      </c>
      <c r="K16" s="2">
        <v>4527</v>
      </c>
      <c r="L16" s="2">
        <v>4622</v>
      </c>
      <c r="M16" s="2">
        <v>4312</v>
      </c>
      <c r="N16" s="2">
        <v>4812</v>
      </c>
      <c r="O16" s="2">
        <v>4981</v>
      </c>
      <c r="P16" s="2">
        <v>5058</v>
      </c>
      <c r="Q16" s="2">
        <v>5280</v>
      </c>
      <c r="R16" s="2">
        <v>5396</v>
      </c>
      <c r="S16" s="2">
        <v>5393</v>
      </c>
      <c r="T16" s="2">
        <v>5429</v>
      </c>
      <c r="U16" s="2">
        <v>5589</v>
      </c>
      <c r="V16" s="2">
        <f>+V13*0.3</f>
        <v>6031.41</v>
      </c>
      <c r="AF16" s="10">
        <v>15592</v>
      </c>
      <c r="AG16" s="10">
        <v>16786</v>
      </c>
      <c r="AH16" s="10">
        <f>SUM(K16:N16)</f>
        <v>18273</v>
      </c>
      <c r="AI16" s="10">
        <f t="shared" si="30"/>
        <v>20715</v>
      </c>
      <c r="AJ16" s="10">
        <f t="shared" si="31"/>
        <v>22442.41</v>
      </c>
      <c r="AK16" s="2">
        <f>+AK13*0.27</f>
        <v>24543.689849999999</v>
      </c>
      <c r="AL16" s="2">
        <f t="shared" ref="AL16:BB16" si="33">+AL13*0.27</f>
        <v>28225.243327499997</v>
      </c>
      <c r="AM16" s="2">
        <f t="shared" si="33"/>
        <v>32459.029826624992</v>
      </c>
      <c r="AN16" s="2">
        <f t="shared" si="33"/>
        <v>35704.932809287493</v>
      </c>
      <c r="AO16" s="2">
        <f t="shared" si="33"/>
        <v>39275.42609021625</v>
      </c>
      <c r="AP16" s="2">
        <f t="shared" si="33"/>
        <v>43202.968699237877</v>
      </c>
      <c r="AQ16" s="2">
        <f t="shared" si="33"/>
        <v>45363.117134199769</v>
      </c>
      <c r="AR16" s="2">
        <f t="shared" si="33"/>
        <v>47631.272990909762</v>
      </c>
      <c r="AS16" s="2">
        <f t="shared" si="33"/>
        <v>50012.836640455258</v>
      </c>
      <c r="AT16" s="2">
        <f t="shared" si="33"/>
        <v>52513.478472478026</v>
      </c>
      <c r="AU16" s="2">
        <f t="shared" si="33"/>
        <v>55139.152396101927</v>
      </c>
      <c r="AV16" s="2">
        <f t="shared" si="33"/>
        <v>57896.110015907027</v>
      </c>
      <c r="AW16" s="2">
        <f t="shared" si="33"/>
        <v>60790.915516702378</v>
      </c>
      <c r="AX16" s="2">
        <f t="shared" si="33"/>
        <v>63830.461292537497</v>
      </c>
      <c r="AY16" s="2">
        <f t="shared" si="33"/>
        <v>67021.984357164372</v>
      </c>
      <c r="AZ16" s="2">
        <f t="shared" si="33"/>
        <v>70373.083575022596</v>
      </c>
      <c r="BA16" s="2">
        <f t="shared" si="33"/>
        <v>73891.737753773734</v>
      </c>
      <c r="BB16" s="2">
        <f t="shared" si="33"/>
        <v>77586.32464146243</v>
      </c>
    </row>
    <row r="17" spans="2:54" s="2" customFormat="1" x14ac:dyDescent="0.2">
      <c r="B17" s="2" t="s">
        <v>22</v>
      </c>
      <c r="C17" s="2">
        <v>54381</v>
      </c>
      <c r="D17" s="2">
        <v>37715</v>
      </c>
      <c r="E17" s="2">
        <v>32844</v>
      </c>
      <c r="F17" s="2">
        <f>163756-E17-D17-C17</f>
        <v>38816</v>
      </c>
      <c r="K17" s="2">
        <f t="shared" ref="K17:N17" si="34">+K15+K16</f>
        <v>56602</v>
      </c>
      <c r="L17" s="2">
        <f t="shared" si="34"/>
        <v>35943</v>
      </c>
      <c r="M17" s="2">
        <f t="shared" si="34"/>
        <v>37005</v>
      </c>
      <c r="N17" s="2">
        <f t="shared" si="34"/>
        <v>40009</v>
      </c>
      <c r="O17" s="2">
        <f>+O15+O16</f>
        <v>67111</v>
      </c>
      <c r="P17" s="2">
        <f>+P15+P16</f>
        <v>51505</v>
      </c>
      <c r="Q17" s="2">
        <f>+Q15+Q16</f>
        <v>46179</v>
      </c>
      <c r="R17" s="2">
        <f t="shared" ref="R17" si="35">+R15+R16</f>
        <v>48186</v>
      </c>
      <c r="S17" s="2">
        <f t="shared" ref="S17" si="36">+S15+S16</f>
        <v>69702</v>
      </c>
      <c r="T17" s="2">
        <f>+T15+T16</f>
        <v>54719</v>
      </c>
      <c r="U17" s="2">
        <f t="shared" ref="U17" si="37">+U15+U16</f>
        <v>47074</v>
      </c>
      <c r="V17" s="2">
        <f t="shared" ref="V17" si="38">+V15+V16</f>
        <v>47420.212</v>
      </c>
      <c r="AF17" s="2">
        <f t="shared" ref="AF17:AG17" si="39">+AF15+AF16</f>
        <v>163756</v>
      </c>
      <c r="AG17" s="2">
        <f t="shared" si="39"/>
        <v>161782</v>
      </c>
      <c r="AH17" s="2">
        <f>+AH15+AH16</f>
        <v>169559</v>
      </c>
      <c r="AI17" s="2">
        <f>+AI15+AI16</f>
        <v>212981</v>
      </c>
      <c r="AJ17" s="2">
        <f>+AJ15+AJ16</f>
        <v>218915.212</v>
      </c>
      <c r="AK17" s="2">
        <f t="shared" ref="AK17:BB17" si="40">+AK15+AK16</f>
        <v>233521.52006760001</v>
      </c>
      <c r="AL17" s="2">
        <f t="shared" si="40"/>
        <v>249135.77259870485</v>
      </c>
      <c r="AM17" s="2">
        <f t="shared" si="40"/>
        <v>266003.06501789618</v>
      </c>
      <c r="AN17" s="2">
        <f t="shared" si="40"/>
        <v>281070.82391498366</v>
      </c>
      <c r="AO17" s="2">
        <f t="shared" si="40"/>
        <v>297078.28033005627</v>
      </c>
      <c r="AP17" s="2">
        <f t="shared" si="40"/>
        <v>314090.87265947979</v>
      </c>
      <c r="AQ17" s="2">
        <f t="shared" si="40"/>
        <v>330018.96250369895</v>
      </c>
      <c r="AR17" s="2">
        <f t="shared" si="40"/>
        <v>344498.03753868007</v>
      </c>
      <c r="AS17" s="2">
        <f t="shared" si="40"/>
        <v>359627.33091355721</v>
      </c>
      <c r="AT17" s="2">
        <f t="shared" si="40"/>
        <v>375436.84324077261</v>
      </c>
      <c r="AU17" s="2">
        <f t="shared" si="40"/>
        <v>391958.0015307946</v>
      </c>
      <c r="AV17" s="2">
        <f t="shared" si="40"/>
        <v>407007.31964408956</v>
      </c>
      <c r="AW17" s="2">
        <f t="shared" si="40"/>
        <v>422165.24707483116</v>
      </c>
      <c r="AX17" s="2">
        <f t="shared" si="40"/>
        <v>437917.24069011532</v>
      </c>
      <c r="AY17" s="2">
        <f t="shared" si="40"/>
        <v>454287.7753858121</v>
      </c>
      <c r="AZ17" s="2">
        <f t="shared" si="40"/>
        <v>471302.3806748339</v>
      </c>
      <c r="BA17" s="2">
        <f t="shared" si="40"/>
        <v>488987.68786114146</v>
      </c>
      <c r="BB17" s="2">
        <f t="shared" si="40"/>
        <v>507371.47938666836</v>
      </c>
    </row>
    <row r="18" spans="2:54" s="2" customFormat="1" x14ac:dyDescent="0.2">
      <c r="B18" s="2" t="s">
        <v>21</v>
      </c>
      <c r="C18" s="2">
        <f t="shared" ref="C18" si="41">+C14-C17</f>
        <v>33912</v>
      </c>
      <c r="D18" s="2">
        <f t="shared" ref="D18:F18" si="42">+D14-D17</f>
        <v>23422</v>
      </c>
      <c r="E18" s="2">
        <f t="shared" si="42"/>
        <v>20421</v>
      </c>
      <c r="F18" s="2">
        <f t="shared" si="42"/>
        <v>24084</v>
      </c>
      <c r="K18" s="2">
        <f t="shared" ref="K18:N18" si="43">+K14-K17</f>
        <v>35217</v>
      </c>
      <c r="L18" s="2">
        <f t="shared" si="43"/>
        <v>22370</v>
      </c>
      <c r="M18" s="2">
        <f t="shared" si="43"/>
        <v>22680</v>
      </c>
      <c r="N18" s="2">
        <f t="shared" si="43"/>
        <v>24689</v>
      </c>
      <c r="O18" s="2">
        <f>+O14-O17</f>
        <v>44328</v>
      </c>
      <c r="P18" s="2">
        <f>+P14-P17</f>
        <v>38079</v>
      </c>
      <c r="Q18" s="2">
        <f>+Q14-Q17</f>
        <v>35255</v>
      </c>
      <c r="R18" s="2">
        <f t="shared" ref="R18" si="44">+R14-R17</f>
        <v>35174</v>
      </c>
      <c r="S18" s="2">
        <f t="shared" ref="S18" si="45">+S14-S17</f>
        <v>54243</v>
      </c>
      <c r="T18" s="2">
        <f>+T14-T17</f>
        <v>42559</v>
      </c>
      <c r="U18" s="2">
        <f t="shared" ref="U18" si="46">+U14-U17</f>
        <v>35885</v>
      </c>
      <c r="V18" s="2">
        <f t="shared" ref="V18" si="47">+V14-V17</f>
        <v>36359.567999999999</v>
      </c>
      <c r="AF18" s="2">
        <f t="shared" ref="AF18:AG18" si="48">+AF14-AF17</f>
        <v>101839</v>
      </c>
      <c r="AG18" s="2">
        <f t="shared" si="48"/>
        <v>98392</v>
      </c>
      <c r="AH18" s="2">
        <f>+AH14-AH17</f>
        <v>104956</v>
      </c>
      <c r="AI18" s="2">
        <f>+AI14-AI17</f>
        <v>152836</v>
      </c>
      <c r="AJ18" s="2">
        <f>+AJ14-AJ17</f>
        <v>169046.56800000003</v>
      </c>
      <c r="AK18" s="2">
        <f t="shared" ref="AK18:BB18" si="49">+AK14-AK17</f>
        <v>183908.89464740001</v>
      </c>
      <c r="AL18" s="2">
        <f t="shared" si="49"/>
        <v>200574.86763755273</v>
      </c>
      <c r="AM18" s="2">
        <f t="shared" si="49"/>
        <v>219128.11895596498</v>
      </c>
      <c r="AN18" s="2">
        <f t="shared" si="49"/>
        <v>234553.87282391661</v>
      </c>
      <c r="AO18" s="2">
        <f t="shared" si="49"/>
        <v>251203.22049456876</v>
      </c>
      <c r="AP18" s="2">
        <f t="shared" si="49"/>
        <v>269182.47246076068</v>
      </c>
      <c r="AQ18" s="2">
        <f t="shared" si="49"/>
        <v>282767.34082762414</v>
      </c>
      <c r="AR18" s="2">
        <f t="shared" si="49"/>
        <v>295768.40425576566</v>
      </c>
      <c r="AS18" s="2">
        <f t="shared" si="49"/>
        <v>309378.04468614701</v>
      </c>
      <c r="AT18" s="2">
        <f t="shared" si="49"/>
        <v>323625.27892256924</v>
      </c>
      <c r="AU18" s="2">
        <f t="shared" si="49"/>
        <v>338540.53319068841</v>
      </c>
      <c r="AV18" s="2">
        <f t="shared" si="49"/>
        <v>352908.98249589757</v>
      </c>
      <c r="AW18" s="2">
        <f t="shared" si="49"/>
        <v>367633.68493549456</v>
      </c>
      <c r="AX18" s="2">
        <f t="shared" si="49"/>
        <v>383002.46801688703</v>
      </c>
      <c r="AY18" s="2">
        <f t="shared" si="49"/>
        <v>399044.59478965128</v>
      </c>
      <c r="AZ18" s="2">
        <f t="shared" si="49"/>
        <v>415790.69632148265</v>
      </c>
      <c r="BA18" s="2">
        <f t="shared" si="49"/>
        <v>433272.83697337512</v>
      </c>
      <c r="BB18" s="2">
        <f t="shared" si="49"/>
        <v>451524.58283405827</v>
      </c>
    </row>
    <row r="19" spans="2:54" s="2" customFormat="1" x14ac:dyDescent="0.2">
      <c r="B19" s="2" t="s">
        <v>23</v>
      </c>
      <c r="C19" s="2">
        <v>3407</v>
      </c>
      <c r="D19" s="2">
        <v>3378</v>
      </c>
      <c r="E19" s="2">
        <v>3701</v>
      </c>
      <c r="F19" s="2">
        <f>14236-E19-D19-C19</f>
        <v>3750</v>
      </c>
      <c r="K19" s="2">
        <v>4451</v>
      </c>
      <c r="L19" s="2">
        <v>4565</v>
      </c>
      <c r="M19" s="2">
        <v>4758</v>
      </c>
      <c r="N19" s="2">
        <v>4978</v>
      </c>
      <c r="O19" s="2">
        <v>5163</v>
      </c>
      <c r="P19" s="2">
        <v>5262</v>
      </c>
      <c r="Q19" s="2">
        <v>5717</v>
      </c>
      <c r="R19" s="2">
        <v>5772</v>
      </c>
      <c r="S19" s="2">
        <v>6306</v>
      </c>
      <c r="T19" s="2">
        <v>6387</v>
      </c>
      <c r="U19" s="2">
        <v>6797</v>
      </c>
      <c r="V19" s="2">
        <f>+R19*1.1</f>
        <v>6349.2000000000007</v>
      </c>
      <c r="AF19" s="10">
        <v>14236</v>
      </c>
      <c r="AG19" s="10">
        <v>16217</v>
      </c>
      <c r="AH19" s="10">
        <f>SUM(K19:N19)</f>
        <v>18752</v>
      </c>
      <c r="AI19" s="10">
        <f t="shared" ref="AI19:AI20" si="50">SUM(O19:R19)</f>
        <v>21914</v>
      </c>
      <c r="AJ19" s="10">
        <f t="shared" ref="AJ19:AJ20" si="51">SUM(S19:V19)</f>
        <v>25839.200000000001</v>
      </c>
      <c r="AK19" s="2">
        <f>+AJ19*1.03</f>
        <v>26614.376</v>
      </c>
      <c r="AL19" s="2">
        <f t="shared" ref="AL19:BB19" si="52">+AK19*1.03</f>
        <v>27412.807280000001</v>
      </c>
      <c r="AM19" s="2">
        <f t="shared" si="52"/>
        <v>28235.191498400003</v>
      </c>
      <c r="AN19" s="2">
        <f t="shared" si="52"/>
        <v>29082.247243352005</v>
      </c>
      <c r="AO19" s="2">
        <f t="shared" si="52"/>
        <v>29954.714660652568</v>
      </c>
      <c r="AP19" s="2">
        <f t="shared" si="52"/>
        <v>30853.356100472145</v>
      </c>
      <c r="AQ19" s="2">
        <f t="shared" si="52"/>
        <v>31778.956783486312</v>
      </c>
      <c r="AR19" s="2">
        <f t="shared" si="52"/>
        <v>32732.325486990903</v>
      </c>
      <c r="AS19" s="2">
        <f t="shared" si="52"/>
        <v>33714.295251600633</v>
      </c>
      <c r="AT19" s="2">
        <f t="shared" si="52"/>
        <v>34725.72410914865</v>
      </c>
      <c r="AU19" s="2">
        <f t="shared" si="52"/>
        <v>35767.495832423112</v>
      </c>
      <c r="AV19" s="2">
        <f t="shared" si="52"/>
        <v>36840.520707395808</v>
      </c>
      <c r="AW19" s="2">
        <f t="shared" si="52"/>
        <v>37945.736328617684</v>
      </c>
      <c r="AX19" s="2">
        <f t="shared" si="52"/>
        <v>39084.108418476215</v>
      </c>
      <c r="AY19" s="2">
        <f t="shared" si="52"/>
        <v>40256.631671030504</v>
      </c>
      <c r="AZ19" s="2">
        <f t="shared" si="52"/>
        <v>41464.330621161418</v>
      </c>
      <c r="BA19" s="2">
        <f t="shared" si="52"/>
        <v>42708.260539796262</v>
      </c>
      <c r="BB19" s="2">
        <f t="shared" si="52"/>
        <v>43989.508355990154</v>
      </c>
    </row>
    <row r="20" spans="2:54" s="2" customFormat="1" x14ac:dyDescent="0.2">
      <c r="B20" s="2" t="s">
        <v>24</v>
      </c>
      <c r="C20" s="2">
        <v>4231</v>
      </c>
      <c r="D20" s="2">
        <v>4150</v>
      </c>
      <c r="E20" s="2">
        <v>4108</v>
      </c>
      <c r="F20" s="2">
        <f>16705-E20-D20-C20</f>
        <v>4216</v>
      </c>
      <c r="K20" s="2">
        <v>5197</v>
      </c>
      <c r="L20" s="2">
        <v>4952</v>
      </c>
      <c r="M20" s="2">
        <v>4831</v>
      </c>
      <c r="N20" s="2">
        <v>4936</v>
      </c>
      <c r="O20" s="2">
        <v>5631</v>
      </c>
      <c r="P20" s="2">
        <v>5314</v>
      </c>
      <c r="Q20" s="2">
        <v>5412</v>
      </c>
      <c r="R20" s="2">
        <v>5616</v>
      </c>
      <c r="S20" s="2">
        <v>6449</v>
      </c>
      <c r="T20" s="2">
        <v>6193</v>
      </c>
      <c r="U20" s="2">
        <v>6012</v>
      </c>
      <c r="V20" s="2">
        <f>+R20*1.1</f>
        <v>6177.6</v>
      </c>
      <c r="AF20" s="10">
        <v>16705</v>
      </c>
      <c r="AG20" s="10">
        <v>18245</v>
      </c>
      <c r="AH20" s="10">
        <f>SUM(K20:N20)</f>
        <v>19916</v>
      </c>
      <c r="AI20" s="10">
        <f t="shared" si="50"/>
        <v>21973</v>
      </c>
      <c r="AJ20" s="10">
        <f t="shared" si="51"/>
        <v>24831.599999999999</v>
      </c>
      <c r="AK20" s="2">
        <f t="shared" ref="AK20:BB20" si="53">+AJ20*1.03</f>
        <v>25576.547999999999</v>
      </c>
      <c r="AL20" s="2">
        <f t="shared" si="53"/>
        <v>26343.844440000001</v>
      </c>
      <c r="AM20" s="2">
        <f t="shared" si="53"/>
        <v>27134.159773200001</v>
      </c>
      <c r="AN20" s="2">
        <f t="shared" si="53"/>
        <v>27948.184566396001</v>
      </c>
      <c r="AO20" s="2">
        <f t="shared" si="53"/>
        <v>28786.630103387881</v>
      </c>
      <c r="AP20" s="2">
        <f t="shared" si="53"/>
        <v>29650.229006489517</v>
      </c>
      <c r="AQ20" s="2">
        <f t="shared" si="53"/>
        <v>30539.735876684204</v>
      </c>
      <c r="AR20" s="2">
        <f t="shared" si="53"/>
        <v>31455.92795298473</v>
      </c>
      <c r="AS20" s="2">
        <f t="shared" si="53"/>
        <v>32399.605791574271</v>
      </c>
      <c r="AT20" s="2">
        <f t="shared" si="53"/>
        <v>33371.593965321503</v>
      </c>
      <c r="AU20" s="2">
        <f t="shared" si="53"/>
        <v>34372.741784281148</v>
      </c>
      <c r="AV20" s="2">
        <f t="shared" si="53"/>
        <v>35403.924037809586</v>
      </c>
      <c r="AW20" s="2">
        <f t="shared" si="53"/>
        <v>36466.041758943873</v>
      </c>
      <c r="AX20" s="2">
        <f t="shared" si="53"/>
        <v>37560.02301171219</v>
      </c>
      <c r="AY20" s="2">
        <f t="shared" si="53"/>
        <v>38686.823702063557</v>
      </c>
      <c r="AZ20" s="2">
        <f t="shared" si="53"/>
        <v>39847.428413125468</v>
      </c>
      <c r="BA20" s="2">
        <f t="shared" si="53"/>
        <v>41042.851265519232</v>
      </c>
      <c r="BB20" s="2">
        <f t="shared" si="53"/>
        <v>42274.136803484813</v>
      </c>
    </row>
    <row r="21" spans="2:54" s="2" customFormat="1" x14ac:dyDescent="0.2">
      <c r="B21" s="2" t="s">
        <v>25</v>
      </c>
      <c r="C21" s="2">
        <f t="shared" ref="C21" si="54">+C19+C20</f>
        <v>7638</v>
      </c>
      <c r="D21" s="2">
        <f t="shared" ref="D21:F21" si="55">+D19+D20</f>
        <v>7528</v>
      </c>
      <c r="E21" s="2">
        <f t="shared" si="55"/>
        <v>7809</v>
      </c>
      <c r="F21" s="2">
        <f t="shared" si="55"/>
        <v>7966</v>
      </c>
      <c r="K21" s="2">
        <f t="shared" ref="K21:N21" si="56">+K19+K20</f>
        <v>9648</v>
      </c>
      <c r="L21" s="2">
        <f t="shared" si="56"/>
        <v>9517</v>
      </c>
      <c r="M21" s="2">
        <f t="shared" si="56"/>
        <v>9589</v>
      </c>
      <c r="N21" s="2">
        <f t="shared" si="56"/>
        <v>9914</v>
      </c>
      <c r="O21" s="2">
        <f>+O19+O20</f>
        <v>10794</v>
      </c>
      <c r="P21" s="2">
        <f>+P19+P20</f>
        <v>10576</v>
      </c>
      <c r="Q21" s="2">
        <f>+Q19+Q20</f>
        <v>11129</v>
      </c>
      <c r="R21" s="2">
        <f t="shared" ref="R21" si="57">+R19+R20</f>
        <v>11388</v>
      </c>
      <c r="S21" s="2">
        <f t="shared" ref="S21" si="58">+S19+S20</f>
        <v>12755</v>
      </c>
      <c r="T21" s="2">
        <f>+T19+T20</f>
        <v>12580</v>
      </c>
      <c r="U21" s="2">
        <f t="shared" ref="U21" si="59">+U19+U20</f>
        <v>12809</v>
      </c>
      <c r="V21" s="2">
        <f t="shared" ref="V21" si="60">+V19+V20</f>
        <v>12526.800000000001</v>
      </c>
      <c r="AF21" s="2">
        <f t="shared" ref="AF21:AG21" si="61">+AF19+AF20</f>
        <v>30941</v>
      </c>
      <c r="AG21" s="2">
        <f t="shared" si="61"/>
        <v>34462</v>
      </c>
      <c r="AH21" s="2">
        <f>+AH19+AH20</f>
        <v>38668</v>
      </c>
      <c r="AI21" s="2">
        <f>+AI19+AI20</f>
        <v>43887</v>
      </c>
      <c r="AJ21" s="2">
        <f>+AJ19+AJ20</f>
        <v>50670.8</v>
      </c>
      <c r="AK21" s="2">
        <f t="shared" ref="AK21:BB21" si="62">+AK19+AK20</f>
        <v>52190.923999999999</v>
      </c>
      <c r="AL21" s="2">
        <f t="shared" si="62"/>
        <v>53756.651720000002</v>
      </c>
      <c r="AM21" s="2">
        <f t="shared" si="62"/>
        <v>55369.351271600004</v>
      </c>
      <c r="AN21" s="2">
        <f t="shared" si="62"/>
        <v>57030.431809748006</v>
      </c>
      <c r="AO21" s="2">
        <f t="shared" si="62"/>
        <v>58741.344764040448</v>
      </c>
      <c r="AP21" s="2">
        <f t="shared" si="62"/>
        <v>60503.585106961662</v>
      </c>
      <c r="AQ21" s="2">
        <f t="shared" si="62"/>
        <v>62318.69266017052</v>
      </c>
      <c r="AR21" s="2">
        <f t="shared" si="62"/>
        <v>64188.253439975633</v>
      </c>
      <c r="AS21" s="2">
        <f t="shared" si="62"/>
        <v>66113.901043174905</v>
      </c>
      <c r="AT21" s="2">
        <f t="shared" si="62"/>
        <v>68097.318074470153</v>
      </c>
      <c r="AU21" s="2">
        <f t="shared" si="62"/>
        <v>70140.237616704253</v>
      </c>
      <c r="AV21" s="2">
        <f t="shared" si="62"/>
        <v>72244.444745205401</v>
      </c>
      <c r="AW21" s="2">
        <f t="shared" si="62"/>
        <v>74411.778087561557</v>
      </c>
      <c r="AX21" s="2">
        <f t="shared" si="62"/>
        <v>76644.131430188398</v>
      </c>
      <c r="AY21" s="2">
        <f t="shared" si="62"/>
        <v>78943.455373094068</v>
      </c>
      <c r="AZ21" s="2">
        <f t="shared" si="62"/>
        <v>81311.759034286893</v>
      </c>
      <c r="BA21" s="2">
        <f t="shared" si="62"/>
        <v>83751.111805315493</v>
      </c>
      <c r="BB21" s="2">
        <f t="shared" si="62"/>
        <v>86263.645159474967</v>
      </c>
    </row>
    <row r="22" spans="2:54" s="2" customFormat="1" x14ac:dyDescent="0.2">
      <c r="B22" s="2" t="s">
        <v>26</v>
      </c>
      <c r="C22" s="2">
        <f t="shared" ref="C22" si="63">+C18-C21</f>
        <v>26274</v>
      </c>
      <c r="D22" s="2">
        <f t="shared" ref="D22:F22" si="64">+D18-D21</f>
        <v>15894</v>
      </c>
      <c r="E22" s="2">
        <f t="shared" si="64"/>
        <v>12612</v>
      </c>
      <c r="F22" s="2">
        <f t="shared" si="64"/>
        <v>16118</v>
      </c>
      <c r="K22" s="2">
        <f t="shared" ref="K22:N22" si="65">+K18-K21</f>
        <v>25569</v>
      </c>
      <c r="L22" s="2">
        <f t="shared" si="65"/>
        <v>12853</v>
      </c>
      <c r="M22" s="2">
        <f t="shared" si="65"/>
        <v>13091</v>
      </c>
      <c r="N22" s="2">
        <f t="shared" si="65"/>
        <v>14775</v>
      </c>
      <c r="O22" s="2">
        <f>+O18-O21</f>
        <v>33534</v>
      </c>
      <c r="P22" s="2">
        <f>+P18-P21</f>
        <v>27503</v>
      </c>
      <c r="Q22" s="2">
        <f>+Q18-Q21</f>
        <v>24126</v>
      </c>
      <c r="R22" s="2">
        <f t="shared" ref="R22" si="66">+R18-R21</f>
        <v>23786</v>
      </c>
      <c r="S22" s="2">
        <f t="shared" ref="S22" si="67">+S18-S21</f>
        <v>41488</v>
      </c>
      <c r="T22" s="2">
        <f>+T18-T21</f>
        <v>29979</v>
      </c>
      <c r="U22" s="2">
        <f t="shared" ref="U22" si="68">+U18-U21</f>
        <v>23076</v>
      </c>
      <c r="V22" s="2">
        <f t="shared" ref="V22" si="69">+V18-V21</f>
        <v>23832.767999999996</v>
      </c>
      <c r="AF22" s="2">
        <f t="shared" ref="AF22:AG22" si="70">+AF18-AF21</f>
        <v>70898</v>
      </c>
      <c r="AG22" s="2">
        <f t="shared" si="70"/>
        <v>63930</v>
      </c>
      <c r="AH22" s="2">
        <f>+AH18-AH21</f>
        <v>66288</v>
      </c>
      <c r="AI22" s="2">
        <f>+AI18-AI21</f>
        <v>108949</v>
      </c>
      <c r="AJ22" s="2">
        <f>+AJ18-AJ21</f>
        <v>118375.76800000003</v>
      </c>
      <c r="AK22" s="2">
        <f t="shared" ref="AK22:BB22" si="71">+AK18-AK21</f>
        <v>131717.97064740001</v>
      </c>
      <c r="AL22" s="2">
        <f t="shared" si="71"/>
        <v>146818.21591755273</v>
      </c>
      <c r="AM22" s="2">
        <f t="shared" si="71"/>
        <v>163758.76768436498</v>
      </c>
      <c r="AN22" s="2">
        <f t="shared" si="71"/>
        <v>177523.44101416861</v>
      </c>
      <c r="AO22" s="2">
        <f t="shared" si="71"/>
        <v>192461.87573052832</v>
      </c>
      <c r="AP22" s="2">
        <f t="shared" si="71"/>
        <v>208678.88735379901</v>
      </c>
      <c r="AQ22" s="2">
        <f t="shared" si="71"/>
        <v>220448.64816745362</v>
      </c>
      <c r="AR22" s="2">
        <f t="shared" si="71"/>
        <v>231580.15081579002</v>
      </c>
      <c r="AS22" s="2">
        <f t="shared" si="71"/>
        <v>243264.14364297211</v>
      </c>
      <c r="AT22" s="2">
        <f t="shared" si="71"/>
        <v>255527.96084809909</v>
      </c>
      <c r="AU22" s="2">
        <f t="shared" si="71"/>
        <v>268400.29557398416</v>
      </c>
      <c r="AV22" s="2">
        <f t="shared" si="71"/>
        <v>280664.53775069216</v>
      </c>
      <c r="AW22" s="2">
        <f t="shared" si="71"/>
        <v>293221.90684793302</v>
      </c>
      <c r="AX22" s="2">
        <f t="shared" si="71"/>
        <v>306358.33658669866</v>
      </c>
      <c r="AY22" s="2">
        <f t="shared" si="71"/>
        <v>320101.13941655721</v>
      </c>
      <c r="AZ22" s="2">
        <f t="shared" si="71"/>
        <v>334478.93728719576</v>
      </c>
      <c r="BA22" s="2">
        <f t="shared" si="71"/>
        <v>349521.72516805964</v>
      </c>
      <c r="BB22" s="2">
        <f t="shared" si="71"/>
        <v>365260.93767458329</v>
      </c>
    </row>
    <row r="23" spans="2:54" s="2" customFormat="1" x14ac:dyDescent="0.2">
      <c r="B23" s="2" t="s">
        <v>32</v>
      </c>
      <c r="C23" s="2">
        <v>756</v>
      </c>
      <c r="D23" s="2">
        <v>274</v>
      </c>
      <c r="E23" s="2">
        <v>672</v>
      </c>
      <c r="F23" s="2">
        <f>2005-E23-D23-C23</f>
        <v>303</v>
      </c>
      <c r="K23" s="2">
        <v>349</v>
      </c>
      <c r="L23" s="2">
        <v>282</v>
      </c>
      <c r="M23" s="2">
        <v>46</v>
      </c>
      <c r="N23" s="2">
        <v>126</v>
      </c>
      <c r="O23" s="2">
        <v>45</v>
      </c>
      <c r="P23" s="2">
        <v>508</v>
      </c>
      <c r="Q23" s="2">
        <v>243</v>
      </c>
      <c r="R23" s="2">
        <v>-538</v>
      </c>
      <c r="S23" s="2">
        <v>-247</v>
      </c>
      <c r="T23" s="2">
        <v>160</v>
      </c>
      <c r="U23" s="2">
        <v>-10</v>
      </c>
      <c r="V23" s="2">
        <v>0</v>
      </c>
      <c r="AF23" s="10">
        <v>2005</v>
      </c>
      <c r="AG23" s="10">
        <v>1807</v>
      </c>
      <c r="AH23" s="10">
        <f>SUM(K23:N23)</f>
        <v>803</v>
      </c>
      <c r="AI23" s="10">
        <f t="shared" ref="AI23" si="72">SUM(O23:R23)</f>
        <v>258</v>
      </c>
      <c r="AJ23" s="10">
        <f t="shared" ref="AJ23" si="73">SUM(S23:V23)</f>
        <v>-97</v>
      </c>
    </row>
    <row r="24" spans="2:54" s="2" customFormat="1" x14ac:dyDescent="0.2">
      <c r="B24" s="2" t="s">
        <v>31</v>
      </c>
      <c r="C24" s="2">
        <f t="shared" ref="C24" si="74">+C22+C23</f>
        <v>27030</v>
      </c>
      <c r="D24" s="2">
        <f t="shared" ref="D24:F24" si="75">+D22+D23</f>
        <v>16168</v>
      </c>
      <c r="E24" s="2">
        <f t="shared" si="75"/>
        <v>13284</v>
      </c>
      <c r="F24" s="2">
        <f t="shared" si="75"/>
        <v>16421</v>
      </c>
      <c r="K24" s="2">
        <f t="shared" ref="K24:N24" si="76">+K22+K23</f>
        <v>25918</v>
      </c>
      <c r="L24" s="2">
        <f t="shared" si="76"/>
        <v>13135</v>
      </c>
      <c r="M24" s="2">
        <f t="shared" si="76"/>
        <v>13137</v>
      </c>
      <c r="N24" s="2">
        <f t="shared" si="76"/>
        <v>14901</v>
      </c>
      <c r="O24" s="2">
        <f>+O22+O23</f>
        <v>33579</v>
      </c>
      <c r="P24" s="2">
        <f>+P22+P23</f>
        <v>28011</v>
      </c>
      <c r="Q24" s="2">
        <f>+Q22+Q23</f>
        <v>24369</v>
      </c>
      <c r="R24" s="2">
        <f t="shared" ref="R24" si="77">+R22+R23</f>
        <v>23248</v>
      </c>
      <c r="S24" s="2">
        <f t="shared" ref="S24" si="78">+S22+S23</f>
        <v>41241</v>
      </c>
      <c r="T24" s="2">
        <f>+T22+T23</f>
        <v>30139</v>
      </c>
      <c r="U24" s="2">
        <f t="shared" ref="U24:V24" si="79">+U22+U23</f>
        <v>23066</v>
      </c>
      <c r="V24" s="2">
        <f t="shared" si="79"/>
        <v>23832.767999999996</v>
      </c>
      <c r="AF24" s="2">
        <f t="shared" ref="AF24:AG24" si="80">+AF22+AF23</f>
        <v>72903</v>
      </c>
      <c r="AG24" s="2">
        <f t="shared" si="80"/>
        <v>65737</v>
      </c>
      <c r="AH24" s="2">
        <f>+AH22+AH23</f>
        <v>67091</v>
      </c>
      <c r="AI24" s="2">
        <f>+AI22+AI23</f>
        <v>109207</v>
      </c>
      <c r="AJ24" s="2">
        <f>+AJ22+AJ23</f>
        <v>118278.76800000003</v>
      </c>
      <c r="AK24" s="2">
        <f t="shared" ref="AK24:BB24" si="81">+AK22+AK23</f>
        <v>131717.97064740001</v>
      </c>
      <c r="AL24" s="2">
        <f t="shared" si="81"/>
        <v>146818.21591755273</v>
      </c>
      <c r="AM24" s="2">
        <f t="shared" si="81"/>
        <v>163758.76768436498</v>
      </c>
      <c r="AN24" s="2">
        <f t="shared" si="81"/>
        <v>177523.44101416861</v>
      </c>
      <c r="AO24" s="2">
        <f t="shared" si="81"/>
        <v>192461.87573052832</v>
      </c>
      <c r="AP24" s="2">
        <f t="shared" si="81"/>
        <v>208678.88735379901</v>
      </c>
      <c r="AQ24" s="2">
        <f t="shared" si="81"/>
        <v>220448.64816745362</v>
      </c>
      <c r="AR24" s="2">
        <f t="shared" si="81"/>
        <v>231580.15081579002</v>
      </c>
      <c r="AS24" s="2">
        <f t="shared" si="81"/>
        <v>243264.14364297211</v>
      </c>
      <c r="AT24" s="2">
        <f t="shared" si="81"/>
        <v>255527.96084809909</v>
      </c>
      <c r="AU24" s="2">
        <f t="shared" si="81"/>
        <v>268400.29557398416</v>
      </c>
      <c r="AV24" s="2">
        <f t="shared" si="81"/>
        <v>280664.53775069216</v>
      </c>
      <c r="AW24" s="2">
        <f t="shared" si="81"/>
        <v>293221.90684793302</v>
      </c>
      <c r="AX24" s="2">
        <f t="shared" si="81"/>
        <v>306358.33658669866</v>
      </c>
      <c r="AY24" s="2">
        <f t="shared" si="81"/>
        <v>320101.13941655721</v>
      </c>
      <c r="AZ24" s="2">
        <f t="shared" si="81"/>
        <v>334478.93728719576</v>
      </c>
      <c r="BA24" s="2">
        <f t="shared" si="81"/>
        <v>349521.72516805964</v>
      </c>
      <c r="BB24" s="2">
        <f t="shared" si="81"/>
        <v>365260.93767458329</v>
      </c>
    </row>
    <row r="25" spans="2:54" s="2" customFormat="1" x14ac:dyDescent="0.2">
      <c r="B25" s="2" t="s">
        <v>30</v>
      </c>
      <c r="C25" s="2">
        <v>6965</v>
      </c>
      <c r="D25" s="2">
        <v>2346</v>
      </c>
      <c r="E25" s="2">
        <v>1765</v>
      </c>
      <c r="F25" s="2">
        <f>13372-E25-D25-C25</f>
        <v>2296</v>
      </c>
      <c r="K25" s="2">
        <v>3682</v>
      </c>
      <c r="L25" s="2">
        <v>1886</v>
      </c>
      <c r="M25" s="2">
        <v>1884</v>
      </c>
      <c r="N25" s="2">
        <v>2228</v>
      </c>
      <c r="O25" s="2">
        <v>4824</v>
      </c>
      <c r="P25" s="2">
        <v>4381</v>
      </c>
      <c r="Q25" s="2">
        <v>2625</v>
      </c>
      <c r="R25" s="2">
        <v>2697</v>
      </c>
      <c r="S25" s="2">
        <v>6611</v>
      </c>
      <c r="T25" s="2">
        <v>5129</v>
      </c>
      <c r="U25" s="2">
        <v>3624</v>
      </c>
      <c r="V25" s="2">
        <f>+V24*0.15</f>
        <v>3574.9151999999995</v>
      </c>
      <c r="AF25" s="10">
        <v>13372</v>
      </c>
      <c r="AG25" s="10">
        <v>10481</v>
      </c>
      <c r="AH25" s="10">
        <f>SUM(K25:N25)</f>
        <v>9680</v>
      </c>
      <c r="AI25" s="10">
        <f t="shared" ref="AI25" si="82">SUM(O25:R25)</f>
        <v>14527</v>
      </c>
      <c r="AJ25" s="10">
        <f t="shared" ref="AJ25" si="83">SUM(S25:V25)</f>
        <v>18938.915199999999</v>
      </c>
      <c r="AK25" s="2">
        <f>+AK24*0.2</f>
        <v>26343.594129480003</v>
      </c>
      <c r="AL25" s="2">
        <f t="shared" ref="AL25:BB25" si="84">+AL24*0.2</f>
        <v>29363.643183510547</v>
      </c>
      <c r="AM25" s="2">
        <f t="shared" si="84"/>
        <v>32751.753536872999</v>
      </c>
      <c r="AN25" s="2">
        <f t="shared" si="84"/>
        <v>35504.68820283372</v>
      </c>
      <c r="AO25" s="2">
        <f t="shared" si="84"/>
        <v>38492.375146105667</v>
      </c>
      <c r="AP25" s="2">
        <f t="shared" si="84"/>
        <v>41735.777470759807</v>
      </c>
      <c r="AQ25" s="2">
        <f t="shared" si="84"/>
        <v>44089.72963349073</v>
      </c>
      <c r="AR25" s="2">
        <f t="shared" si="84"/>
        <v>46316.030163158008</v>
      </c>
      <c r="AS25" s="2">
        <f t="shared" si="84"/>
        <v>48652.828728594424</v>
      </c>
      <c r="AT25" s="2">
        <f t="shared" si="84"/>
        <v>51105.59216961982</v>
      </c>
      <c r="AU25" s="2">
        <f t="shared" si="84"/>
        <v>53680.059114796837</v>
      </c>
      <c r="AV25" s="2">
        <f t="shared" si="84"/>
        <v>56132.907550138436</v>
      </c>
      <c r="AW25" s="2">
        <f t="shared" si="84"/>
        <v>58644.381369586605</v>
      </c>
      <c r="AX25" s="2">
        <f t="shared" si="84"/>
        <v>61271.667317339736</v>
      </c>
      <c r="AY25" s="2">
        <f t="shared" si="84"/>
        <v>64020.227883311447</v>
      </c>
      <c r="AZ25" s="2">
        <f t="shared" si="84"/>
        <v>66895.787457439161</v>
      </c>
      <c r="BA25" s="2">
        <f t="shared" si="84"/>
        <v>69904.345033611928</v>
      </c>
      <c r="BB25" s="2">
        <f t="shared" si="84"/>
        <v>73052.187534916666</v>
      </c>
    </row>
    <row r="26" spans="2:54" s="2" customFormat="1" x14ac:dyDescent="0.2">
      <c r="B26" s="2" t="s">
        <v>29</v>
      </c>
      <c r="C26" s="2">
        <f t="shared" ref="C26" si="85">+C24-C25</f>
        <v>20065</v>
      </c>
      <c r="D26" s="2">
        <f t="shared" ref="D26:F26" si="86">+D24-D25</f>
        <v>13822</v>
      </c>
      <c r="E26" s="2">
        <f t="shared" si="86"/>
        <v>11519</v>
      </c>
      <c r="F26" s="2">
        <f t="shared" si="86"/>
        <v>14125</v>
      </c>
      <c r="K26" s="2">
        <f t="shared" ref="K26:N26" si="87">+K24-K25</f>
        <v>22236</v>
      </c>
      <c r="L26" s="2">
        <f t="shared" si="87"/>
        <v>11249</v>
      </c>
      <c r="M26" s="2">
        <f t="shared" si="87"/>
        <v>11253</v>
      </c>
      <c r="N26" s="2">
        <f t="shared" si="87"/>
        <v>12673</v>
      </c>
      <c r="O26" s="2">
        <f>+O24-O25</f>
        <v>28755</v>
      </c>
      <c r="P26" s="2">
        <f>+P24-P25</f>
        <v>23630</v>
      </c>
      <c r="Q26" s="2">
        <f>+Q24-Q25</f>
        <v>21744</v>
      </c>
      <c r="R26" s="2">
        <f t="shared" ref="R26" si="88">+R24-R25</f>
        <v>20551</v>
      </c>
      <c r="S26" s="2">
        <f t="shared" ref="S26" si="89">+S24-S25</f>
        <v>34630</v>
      </c>
      <c r="T26" s="2">
        <f>+T24-T25</f>
        <v>25010</v>
      </c>
      <c r="U26" s="2">
        <f t="shared" ref="U26:V26" si="90">+U24-U25</f>
        <v>19442</v>
      </c>
      <c r="V26" s="2">
        <f t="shared" si="90"/>
        <v>20257.852799999997</v>
      </c>
      <c r="AF26" s="2">
        <f t="shared" ref="AF26:AG26" si="91">+AF24-AF25</f>
        <v>59531</v>
      </c>
      <c r="AG26" s="2">
        <f t="shared" si="91"/>
        <v>55256</v>
      </c>
      <c r="AH26" s="2">
        <f>+AH24-AH25</f>
        <v>57411</v>
      </c>
      <c r="AI26" s="2">
        <f>+AI24-AI25</f>
        <v>94680</v>
      </c>
      <c r="AJ26" s="2">
        <f>+AJ24-AJ25</f>
        <v>99339.852800000022</v>
      </c>
      <c r="AK26" s="2">
        <f>+AK24-AK25</f>
        <v>105374.37651792001</v>
      </c>
      <c r="AL26" s="2">
        <f t="shared" ref="AL26:BB26" si="92">+AL24-AL25</f>
        <v>117454.57273404219</v>
      </c>
      <c r="AM26" s="2">
        <f t="shared" si="92"/>
        <v>131007.01414749198</v>
      </c>
      <c r="AN26" s="2">
        <f t="shared" si="92"/>
        <v>142018.75281133488</v>
      </c>
      <c r="AO26" s="2">
        <f t="shared" si="92"/>
        <v>153969.50058442267</v>
      </c>
      <c r="AP26" s="2">
        <f t="shared" si="92"/>
        <v>166943.1098830392</v>
      </c>
      <c r="AQ26" s="2">
        <f t="shared" si="92"/>
        <v>176358.91853396289</v>
      </c>
      <c r="AR26" s="2">
        <f t="shared" si="92"/>
        <v>185264.12065263203</v>
      </c>
      <c r="AS26" s="2">
        <f t="shared" si="92"/>
        <v>194611.3149143777</v>
      </c>
      <c r="AT26" s="2">
        <f t="shared" si="92"/>
        <v>204422.36867847928</v>
      </c>
      <c r="AU26" s="2">
        <f t="shared" si="92"/>
        <v>214720.23645918732</v>
      </c>
      <c r="AV26" s="2">
        <f t="shared" si="92"/>
        <v>224531.63020055374</v>
      </c>
      <c r="AW26" s="2">
        <f t="shared" si="92"/>
        <v>234577.52547834642</v>
      </c>
      <c r="AX26" s="2">
        <f t="shared" si="92"/>
        <v>245086.66926935891</v>
      </c>
      <c r="AY26" s="2">
        <f t="shared" si="92"/>
        <v>256080.91153324576</v>
      </c>
      <c r="AZ26" s="2">
        <f t="shared" si="92"/>
        <v>267583.14982975658</v>
      </c>
      <c r="BA26" s="2">
        <f t="shared" si="92"/>
        <v>279617.38013444771</v>
      </c>
      <c r="BB26" s="2">
        <f t="shared" si="92"/>
        <v>292208.7501396666</v>
      </c>
    </row>
    <row r="27" spans="2:54" s="13" customFormat="1" x14ac:dyDescent="0.2">
      <c r="B27" s="13" t="s">
        <v>33</v>
      </c>
      <c r="C27" s="14">
        <f t="shared" ref="C27" si="93">+C26/C28</f>
        <v>0.97255857987156114</v>
      </c>
      <c r="D27" s="14">
        <f t="shared" ref="D27:F27" si="94">+D26/D28</f>
        <v>0.68176083107937602</v>
      </c>
      <c r="E27" s="14">
        <f t="shared" si="94"/>
        <v>0.58452984598534197</v>
      </c>
      <c r="F27" s="14">
        <f t="shared" si="94"/>
        <v>0.70623460408563088</v>
      </c>
      <c r="G27" s="14"/>
      <c r="H27" s="14"/>
      <c r="I27" s="14"/>
      <c r="J27" s="14"/>
      <c r="K27" s="14">
        <f t="shared" ref="K27:N27" si="95">+K26/K28</f>
        <v>1.2479223042091785</v>
      </c>
      <c r="L27" s="14">
        <f t="shared" si="95"/>
        <v>0.63846699811252383</v>
      </c>
      <c r="M27" s="14">
        <f t="shared" si="95"/>
        <v>0.64601300384622584</v>
      </c>
      <c r="N27" s="14">
        <f t="shared" si="95"/>
        <v>0.73438904632051849</v>
      </c>
      <c r="O27" s="14">
        <f>+O26/O28</f>
        <v>1.6802339741147556</v>
      </c>
      <c r="P27" s="14">
        <f>+P26/P28</f>
        <v>1.3958166966021994</v>
      </c>
      <c r="Q27" s="14">
        <f>+Q26/Q28</f>
        <v>1.2956943963183782</v>
      </c>
      <c r="R27" s="14">
        <f t="shared" ref="R27" si="96">+R26/R28</f>
        <v>1.2354000701047909</v>
      </c>
      <c r="S27" s="14">
        <f t="shared" ref="S27" si="97">+S26/S28</f>
        <v>2.0963369432743812</v>
      </c>
      <c r="T27" s="14">
        <f>+T26/T28</f>
        <v>1.5246917147727936</v>
      </c>
      <c r="U27" s="14">
        <f t="shared" ref="U27:V27" si="98">+U26/U28</f>
        <v>1.1955329791418789</v>
      </c>
      <c r="V27" s="14">
        <f t="shared" si="98"/>
        <v>1.2495434951067415</v>
      </c>
      <c r="AF27" s="14">
        <f t="shared" ref="AF27:AG27" si="99">+AF26/AF28</f>
        <v>2.9764851126245446</v>
      </c>
      <c r="AG27" s="14">
        <f t="shared" si="99"/>
        <v>2.9714474637107351</v>
      </c>
      <c r="AH27" s="14">
        <f>+AH26/AH28</f>
        <v>3.2753479151477172</v>
      </c>
      <c r="AI27" s="14">
        <f>+AI26/AI28</f>
        <v>5.6140203576723327</v>
      </c>
      <c r="AJ27" s="14">
        <f>+AJ26/AJ28</f>
        <v>6.0761094883645539</v>
      </c>
      <c r="AK27" s="14">
        <f>+AK26/AK28</f>
        <v>6.4452103656734296</v>
      </c>
      <c r="AL27" s="14">
        <f t="shared" ref="AL27:BB27" si="100">+AL26/AL28</f>
        <v>7.184094034022146</v>
      </c>
      <c r="AM27" s="14">
        <f t="shared" si="100"/>
        <v>8.0130273930090343</v>
      </c>
      <c r="AN27" s="14">
        <f t="shared" si="100"/>
        <v>8.6865589907805028</v>
      </c>
      <c r="AO27" s="14">
        <f t="shared" si="100"/>
        <v>9.417524961540531</v>
      </c>
      <c r="AP27" s="14">
        <f t="shared" si="100"/>
        <v>10.211054127688627</v>
      </c>
      <c r="AQ27" s="14">
        <f t="shared" si="100"/>
        <v>10.786970868774258</v>
      </c>
      <c r="AR27" s="14">
        <f t="shared" si="100"/>
        <v>11.33165642612038</v>
      </c>
      <c r="AS27" s="14">
        <f t="shared" si="100"/>
        <v>11.903376376800431</v>
      </c>
      <c r="AT27" s="14">
        <f t="shared" si="100"/>
        <v>12.503468235069345</v>
      </c>
      <c r="AU27" s="14">
        <f t="shared" si="100"/>
        <v>13.133336010877885</v>
      </c>
      <c r="AV27" s="14">
        <f t="shared" si="100"/>
        <v>13.733448663813054</v>
      </c>
      <c r="AW27" s="14">
        <f t="shared" si="100"/>
        <v>14.347904573460957</v>
      </c>
      <c r="AX27" s="14">
        <f t="shared" si="100"/>
        <v>14.990695019624757</v>
      </c>
      <c r="AY27" s="14">
        <f t="shared" si="100"/>
        <v>15.663156452313547</v>
      </c>
      <c r="AZ27" s="14">
        <f t="shared" si="100"/>
        <v>16.366689397863269</v>
      </c>
      <c r="BA27" s="14">
        <f t="shared" si="100"/>
        <v>17.102761567073266</v>
      </c>
      <c r="BB27" s="14">
        <f t="shared" si="100"/>
        <v>17.872911115354249</v>
      </c>
    </row>
    <row r="28" spans="2:54" s="2" customFormat="1" x14ac:dyDescent="0.2">
      <c r="B28" s="2" t="s">
        <v>1</v>
      </c>
      <c r="C28" s="2">
        <f>5157.787*4</f>
        <v>20631.148000000001</v>
      </c>
      <c r="D28" s="2">
        <f>5068.493*4</f>
        <v>20273.972000000002</v>
      </c>
      <c r="E28" s="2">
        <f>4926.609*4</f>
        <v>19706.436000000002</v>
      </c>
      <c r="F28" s="2">
        <f>5000.109*4</f>
        <v>20000.436000000002</v>
      </c>
      <c r="K28" s="2">
        <v>17818.417000000001</v>
      </c>
      <c r="L28" s="2">
        <v>17618.764999999999</v>
      </c>
      <c r="M28" s="2">
        <v>17419.153999999999</v>
      </c>
      <c r="N28" s="2">
        <v>17256.521000000001</v>
      </c>
      <c r="O28" s="2">
        <v>17113.687999999998</v>
      </c>
      <c r="P28" s="2">
        <v>16929.156999999999</v>
      </c>
      <c r="Q28" s="2">
        <v>16781.735000000001</v>
      </c>
      <c r="R28" s="2">
        <v>16635.097000000002</v>
      </c>
      <c r="S28" s="2">
        <v>16519.291000000001</v>
      </c>
      <c r="T28" s="2">
        <v>16403.315999999999</v>
      </c>
      <c r="U28" s="2">
        <v>16262.203</v>
      </c>
      <c r="V28" s="2">
        <f>+U28-50</f>
        <v>16212.203</v>
      </c>
      <c r="AF28" s="2">
        <f>5000.109*4</f>
        <v>20000.436000000002</v>
      </c>
      <c r="AG28" s="2">
        <v>18595.651000000002</v>
      </c>
      <c r="AH28" s="2">
        <f>AVERAGE(K28:N28)</f>
        <v>17528.214249999997</v>
      </c>
      <c r="AI28" s="2">
        <f>AVERAGE(O28:R28)</f>
        <v>16864.919249999999</v>
      </c>
      <c r="AJ28" s="2">
        <f>AVERAGE(S28:V28)</f>
        <v>16349.253250000002</v>
      </c>
      <c r="AK28" s="2">
        <f>+AJ28</f>
        <v>16349.253250000002</v>
      </c>
      <c r="AL28" s="2">
        <f t="shared" ref="AL28:BB28" si="101">+AK28</f>
        <v>16349.253250000002</v>
      </c>
      <c r="AM28" s="2">
        <f t="shared" si="101"/>
        <v>16349.253250000002</v>
      </c>
      <c r="AN28" s="2">
        <f t="shared" si="101"/>
        <v>16349.253250000002</v>
      </c>
      <c r="AO28" s="2">
        <f t="shared" si="101"/>
        <v>16349.253250000002</v>
      </c>
      <c r="AP28" s="2">
        <f t="shared" si="101"/>
        <v>16349.253250000002</v>
      </c>
      <c r="AQ28" s="2">
        <f t="shared" si="101"/>
        <v>16349.253250000002</v>
      </c>
      <c r="AR28" s="2">
        <f t="shared" si="101"/>
        <v>16349.253250000002</v>
      </c>
      <c r="AS28" s="2">
        <f t="shared" si="101"/>
        <v>16349.253250000002</v>
      </c>
      <c r="AT28" s="2">
        <f t="shared" si="101"/>
        <v>16349.253250000002</v>
      </c>
      <c r="AU28" s="2">
        <f t="shared" si="101"/>
        <v>16349.253250000002</v>
      </c>
      <c r="AV28" s="2">
        <f t="shared" si="101"/>
        <v>16349.253250000002</v>
      </c>
      <c r="AW28" s="2">
        <f t="shared" si="101"/>
        <v>16349.253250000002</v>
      </c>
      <c r="AX28" s="2">
        <f t="shared" si="101"/>
        <v>16349.253250000002</v>
      </c>
      <c r="AY28" s="2">
        <f t="shared" si="101"/>
        <v>16349.253250000002</v>
      </c>
      <c r="AZ28" s="2">
        <f t="shared" si="101"/>
        <v>16349.253250000002</v>
      </c>
      <c r="BA28" s="2">
        <f t="shared" si="101"/>
        <v>16349.253250000002</v>
      </c>
      <c r="BB28" s="2">
        <f t="shared" si="101"/>
        <v>16349.253250000002</v>
      </c>
    </row>
    <row r="30" spans="2:54" s="13" customFormat="1" x14ac:dyDescent="0.2">
      <c r="B30" s="12" t="s">
        <v>38</v>
      </c>
      <c r="L30" s="15"/>
      <c r="M30" s="15"/>
      <c r="N30" s="15"/>
      <c r="O30" s="15">
        <f>O14/K14-1</f>
        <v>0.21368126422635836</v>
      </c>
      <c r="P30" s="15">
        <f t="shared" ref="P30" si="102">P14/L14-1</f>
        <v>0.53626121105070901</v>
      </c>
      <c r="Q30" s="15">
        <f t="shared" ref="Q30" si="103">Q14/M14-1</f>
        <v>0.36439641450950822</v>
      </c>
      <c r="R30" s="15">
        <f t="shared" ref="R30" si="104">R14/N14-1</f>
        <v>0.28844786546724777</v>
      </c>
      <c r="S30" s="15">
        <f>S14/O14-1</f>
        <v>0.11222283042740866</v>
      </c>
      <c r="T30" s="15">
        <f>T14/P14-1</f>
        <v>8.5885872477228009E-2</v>
      </c>
      <c r="U30" s="15">
        <f>U14/Q14-1</f>
        <v>1.8726821720657316E-2</v>
      </c>
      <c r="V30" s="15">
        <f>V14/R14-1</f>
        <v>5.0357485604606289E-3</v>
      </c>
      <c r="AC30" s="15">
        <f t="shared" ref="AC30:AF30" si="105">+AC14/AB14-1</f>
        <v>0.27856341803659834</v>
      </c>
      <c r="AD30" s="15">
        <f t="shared" si="105"/>
        <v>-7.7342061913013738E-2</v>
      </c>
      <c r="AE30" s="15">
        <f t="shared" si="105"/>
        <v>6.304518199398057E-2</v>
      </c>
      <c r="AF30" s="15">
        <f t="shared" si="105"/>
        <v>0.15861957650261305</v>
      </c>
      <c r="AG30" s="15">
        <f>+AG14/AF14-1</f>
        <v>-2.04107758052674E-2</v>
      </c>
      <c r="AH30" s="15">
        <f>+AH14/AG14-1</f>
        <v>5.5120803769784787E-2</v>
      </c>
      <c r="AI30" s="15">
        <f t="shared" ref="AI30:BB30" si="106">+AI14/AH14-1</f>
        <v>0.33259384733074704</v>
      </c>
      <c r="AJ30" s="15">
        <f t="shared" si="106"/>
        <v>6.0535130953454974E-2</v>
      </c>
      <c r="AK30" s="15">
        <f t="shared" si="106"/>
        <v>7.5957571683994196E-2</v>
      </c>
      <c r="AL30" s="15">
        <f t="shared" si="106"/>
        <v>7.7330794267343572E-2</v>
      </c>
      <c r="AM30" s="15">
        <f t="shared" si="106"/>
        <v>7.8762965712786404E-2</v>
      </c>
      <c r="AN30" s="15">
        <f t="shared" si="106"/>
        <v>6.2856220693250808E-2</v>
      </c>
      <c r="AO30" s="15">
        <f t="shared" si="106"/>
        <v>6.3334445173523823E-2</v>
      </c>
      <c r="AP30" s="15">
        <f t="shared" si="106"/>
        <v>6.3820946435338533E-2</v>
      </c>
      <c r="AQ30" s="15">
        <f t="shared" si="106"/>
        <v>5.0598846077902992E-2</v>
      </c>
      <c r="AR30" s="15">
        <f t="shared" si="106"/>
        <v>4.4844570307350118E-2</v>
      </c>
      <c r="AS30" s="15">
        <f t="shared" si="106"/>
        <v>4.4885897384709272E-2</v>
      </c>
      <c r="AT30" s="15">
        <f t="shared" si="106"/>
        <v>4.492751128747563E-2</v>
      </c>
      <c r="AU30" s="15">
        <f t="shared" si="106"/>
        <v>4.4969411961353289E-2</v>
      </c>
      <c r="AV30" s="15">
        <f t="shared" si="106"/>
        <v>4.0270809618694559E-2</v>
      </c>
      <c r="AW30" s="15">
        <f t="shared" si="106"/>
        <v>3.9323580486675391E-2</v>
      </c>
      <c r="AX30" s="15">
        <f t="shared" si="106"/>
        <v>3.9403417041173894E-2</v>
      </c>
      <c r="AY30" s="15">
        <f t="shared" si="106"/>
        <v>3.948335156858751E-2</v>
      </c>
      <c r="AZ30" s="15">
        <f t="shared" si="106"/>
        <v>3.9563372960891297E-2</v>
      </c>
      <c r="BA30" s="15">
        <f t="shared" si="106"/>
        <v>3.9643470059845809E-2</v>
      </c>
      <c r="BB30" s="15">
        <f t="shared" si="106"/>
        <v>3.9723631663388881E-2</v>
      </c>
    </row>
    <row r="31" spans="2:54" s="13" customFormat="1" x14ac:dyDescent="0.2">
      <c r="B31" s="12" t="s">
        <v>39</v>
      </c>
      <c r="L31" s="15"/>
      <c r="M31" s="15"/>
      <c r="N31" s="15"/>
      <c r="O31" s="15">
        <f t="shared" ref="O31:V31" si="107">+O4/K4-1</f>
        <v>0.1722751398395197</v>
      </c>
      <c r="P31" s="15">
        <f t="shared" si="107"/>
        <v>0.65520336993301576</v>
      </c>
      <c r="Q31" s="15">
        <f t="shared" si="107"/>
        <v>0.49784238019532134</v>
      </c>
      <c r="R31" s="15">
        <f t="shared" si="107"/>
        <v>0.46982302223566785</v>
      </c>
      <c r="S31" s="15">
        <f t="shared" si="107"/>
        <v>9.1940180191167231E-2</v>
      </c>
      <c r="T31" s="15">
        <f t="shared" si="107"/>
        <v>5.4904251324627618E-2</v>
      </c>
      <c r="U31" s="15">
        <f t="shared" si="107"/>
        <v>2.7672479150871787E-2</v>
      </c>
      <c r="V31" s="15">
        <f t="shared" si="107"/>
        <v>-2.4999999999999467E-3</v>
      </c>
      <c r="AD31" s="15"/>
      <c r="AE31" s="15">
        <f t="shared" ref="AE31:AJ31" si="108">+AE4/AD4-1</f>
        <v>3.3789319678127372E-2</v>
      </c>
      <c r="AF31" s="15">
        <f t="shared" si="108"/>
        <v>0.16677870633106662</v>
      </c>
      <c r="AG31" s="15">
        <f t="shared" si="108"/>
        <v>-0.13649871427878313</v>
      </c>
      <c r="AH31" s="15">
        <f t="shared" si="108"/>
        <v>-3.2307681502447672E-2</v>
      </c>
      <c r="AI31" s="15">
        <f t="shared" si="108"/>
        <v>0.39331983364905176</v>
      </c>
      <c r="AJ31" s="15">
        <f t="shared" si="108"/>
        <v>5.0323899715064124E-2</v>
      </c>
      <c r="AK31" s="15">
        <f t="shared" ref="AK31:BB31" si="109">+AK4/AJ4-1</f>
        <v>6.0499999999999998E-2</v>
      </c>
      <c r="AL31" s="15">
        <f t="shared" si="109"/>
        <v>6.0499999999999998E-2</v>
      </c>
      <c r="AM31" s="15">
        <f t="shared" si="109"/>
        <v>6.0499999999999998E-2</v>
      </c>
      <c r="AN31" s="15">
        <f t="shared" si="109"/>
        <v>5.0400000000000222E-2</v>
      </c>
      <c r="AO31" s="15">
        <f t="shared" si="109"/>
        <v>5.04E-2</v>
      </c>
      <c r="AP31" s="15">
        <f t="shared" si="109"/>
        <v>5.0400000000000222E-2</v>
      </c>
      <c r="AQ31" s="15">
        <f t="shared" si="109"/>
        <v>5.0400000000000222E-2</v>
      </c>
      <c r="AR31" s="15">
        <f t="shared" si="109"/>
        <v>4.0300000000000002E-2</v>
      </c>
      <c r="AS31" s="15">
        <f t="shared" si="109"/>
        <v>4.0300000000000225E-2</v>
      </c>
      <c r="AT31" s="15">
        <f t="shared" si="109"/>
        <v>4.0300000000000002E-2</v>
      </c>
      <c r="AU31" s="15">
        <f t="shared" si="109"/>
        <v>4.0300000000000002E-2</v>
      </c>
      <c r="AV31" s="15">
        <f t="shared" si="109"/>
        <v>3.0200000000000227E-2</v>
      </c>
      <c r="AW31" s="15">
        <f t="shared" si="109"/>
        <v>3.0200000000000005E-2</v>
      </c>
      <c r="AX31" s="15">
        <f t="shared" si="109"/>
        <v>3.0200000000000005E-2</v>
      </c>
      <c r="AY31" s="15">
        <f t="shared" si="109"/>
        <v>3.0199999999999783E-2</v>
      </c>
      <c r="AZ31" s="15">
        <f t="shared" si="109"/>
        <v>3.0200000000000005E-2</v>
      </c>
      <c r="BA31" s="15">
        <f t="shared" si="109"/>
        <v>3.0200000000000005E-2</v>
      </c>
      <c r="BB31" s="15">
        <f t="shared" si="109"/>
        <v>3.0200000000000227E-2</v>
      </c>
    </row>
    <row r="32" spans="2:54" s="13" customFormat="1" x14ac:dyDescent="0.2">
      <c r="B32" s="12" t="s">
        <v>69</v>
      </c>
      <c r="L32" s="15"/>
      <c r="M32" s="15"/>
      <c r="N32" s="15"/>
      <c r="O32" s="15">
        <f>+O13/K13-1</f>
        <v>0.23955957530475813</v>
      </c>
      <c r="P32" s="15">
        <f t="shared" ref="P32:V32" si="110">+P13/L13-1</f>
        <v>0.26618219958046141</v>
      </c>
      <c r="Q32" s="15">
        <f t="shared" si="110"/>
        <v>0.32912739434478566</v>
      </c>
      <c r="R32" s="15">
        <f t="shared" si="110"/>
        <v>0.25623754209911342</v>
      </c>
      <c r="S32" s="15">
        <f t="shared" si="110"/>
        <v>0.23824630416851722</v>
      </c>
      <c r="T32" s="15">
        <f t="shared" si="110"/>
        <v>0.17277084196201398</v>
      </c>
      <c r="U32" s="15">
        <f t="shared" si="110"/>
        <v>0.12112547180601618</v>
      </c>
      <c r="V32" s="15">
        <f t="shared" si="110"/>
        <v>0.10000000000000009</v>
      </c>
      <c r="AG32" s="15">
        <f>+AG13/AF13-1</f>
        <v>0.16461205595250084</v>
      </c>
      <c r="AH32" s="15">
        <f t="shared" ref="AH32:AJ32" si="111">+AH13/AG13-1</f>
        <v>0.16152167807997242</v>
      </c>
      <c r="AI32" s="15">
        <f t="shared" si="111"/>
        <v>0.27259708376729663</v>
      </c>
      <c r="AJ32" s="15">
        <f t="shared" si="111"/>
        <v>0.15521666057727423</v>
      </c>
    </row>
    <row r="33" spans="2:36" x14ac:dyDescent="0.2">
      <c r="B33" s="1" t="s">
        <v>28</v>
      </c>
      <c r="C33" s="6"/>
      <c r="D33" s="6"/>
      <c r="E33" s="6">
        <f t="shared" ref="E33" si="112">+E18/E14</f>
        <v>0.38338496198254013</v>
      </c>
      <c r="K33" s="6">
        <f t="shared" ref="K33" si="113">+K18/K14</f>
        <v>0.38354806739345887</v>
      </c>
      <c r="L33" s="6">
        <f t="shared" ref="L33:N33" si="114">+L18/L14</f>
        <v>0.38361943305952362</v>
      </c>
      <c r="M33" s="6">
        <f t="shared" si="114"/>
        <v>0.37999497361146017</v>
      </c>
      <c r="N33" s="6">
        <f t="shared" si="114"/>
        <v>0.38160375900336951</v>
      </c>
      <c r="O33" s="6">
        <f t="shared" ref="O33:Q33" si="115">+O18/O14</f>
        <v>0.39777815665969724</v>
      </c>
      <c r="P33" s="6">
        <f t="shared" si="115"/>
        <v>0.42506474370423292</v>
      </c>
      <c r="Q33" s="6">
        <f t="shared" si="115"/>
        <v>0.43292727853230839</v>
      </c>
      <c r="R33" s="6">
        <f t="shared" ref="R33" si="116">+R18/R14</f>
        <v>0.42195297504798462</v>
      </c>
      <c r="S33" s="6">
        <f>+S18/S14</f>
        <v>0.43763766186615033</v>
      </c>
      <c r="T33" s="6">
        <f>+T18/T14</f>
        <v>0.43749871502292398</v>
      </c>
      <c r="U33" s="6">
        <f>+U18/U14</f>
        <v>0.43256307332537758</v>
      </c>
      <c r="V33" s="6">
        <f t="shared" ref="V33" si="117">+V18/V14</f>
        <v>0.43398977653080495</v>
      </c>
      <c r="AF33" s="6">
        <f t="shared" ref="AF33:AJ33" si="118">+AF18/AF14</f>
        <v>0.38343718820007905</v>
      </c>
      <c r="AG33" s="6">
        <f t="shared" si="118"/>
        <v>0.37817768109034722</v>
      </c>
      <c r="AH33" s="6">
        <f t="shared" si="118"/>
        <v>0.38233247727810865</v>
      </c>
      <c r="AI33" s="6">
        <f t="shared" si="118"/>
        <v>0.41779359625167778</v>
      </c>
      <c r="AJ33" s="6">
        <f t="shared" si="118"/>
        <v>0.43572995257419433</v>
      </c>
    </row>
    <row r="34" spans="2:36" x14ac:dyDescent="0.2">
      <c r="B34" s="2" t="s">
        <v>70</v>
      </c>
      <c r="C34" s="16"/>
      <c r="D34" s="16"/>
      <c r="E34" s="16" t="s">
        <v>83</v>
      </c>
      <c r="K34" s="6">
        <f>(K13-K16)/K13</f>
        <v>0.64396382225717652</v>
      </c>
      <c r="L34" s="6">
        <f t="shared" ref="L34:U34" si="119">(L13-L16)/L13</f>
        <v>0.65373089601438417</v>
      </c>
      <c r="M34" s="6">
        <f t="shared" si="119"/>
        <v>0.67224080267558528</v>
      </c>
      <c r="N34" s="6">
        <f t="shared" si="119"/>
        <v>0.66925561894288266</v>
      </c>
      <c r="O34" s="6">
        <f t="shared" si="119"/>
        <v>0.6839667533785927</v>
      </c>
      <c r="P34" s="6">
        <f t="shared" si="119"/>
        <v>0.70072776758771671</v>
      </c>
      <c r="Q34" s="6">
        <f t="shared" si="119"/>
        <v>0.69804414960539862</v>
      </c>
      <c r="R34" s="6">
        <f t="shared" si="119"/>
        <v>0.704765552333534</v>
      </c>
      <c r="S34" s="6">
        <f t="shared" si="119"/>
        <v>0.72366263578602175</v>
      </c>
      <c r="T34" s="6">
        <f t="shared" si="119"/>
        <v>0.72609858231168967</v>
      </c>
      <c r="U34" s="6">
        <f t="shared" si="119"/>
        <v>0.71490512140379514</v>
      </c>
      <c r="V34" s="6">
        <f t="shared" ref="V34" si="120">(V13-V16)/V13</f>
        <v>0.70000000000000007</v>
      </c>
      <c r="AF34" s="6">
        <f t="shared" ref="AF34:AJ34" si="121">(AF13-AF16)/AF13</f>
        <v>0.60772869075173597</v>
      </c>
      <c r="AG34" s="6">
        <f t="shared" si="121"/>
        <v>0.63738091637683347</v>
      </c>
      <c r="AH34" s="6">
        <f t="shared" si="121"/>
        <v>0.66015101919357233</v>
      </c>
      <c r="AI34" s="6">
        <f t="shared" si="121"/>
        <v>0.69725977347460721</v>
      </c>
      <c r="AJ34" s="6">
        <f t="shared" si="121"/>
        <v>0.71608310129456754</v>
      </c>
    </row>
    <row r="35" spans="2:36" x14ac:dyDescent="0.2">
      <c r="B35" s="2" t="s">
        <v>71</v>
      </c>
      <c r="C35" s="16"/>
      <c r="D35" s="16"/>
      <c r="E35" s="16" t="s">
        <v>83</v>
      </c>
      <c r="K35" s="6">
        <f>(K12-K15)/K12</f>
        <v>0.3416894215210356</v>
      </c>
      <c r="L35" s="6">
        <f t="shared" ref="L35:V35" si="122">(L12-L15)/L12</f>
        <v>0.30343600578227509</v>
      </c>
      <c r="M35" s="6">
        <f t="shared" si="122"/>
        <v>0.29736293494379851</v>
      </c>
      <c r="N35" s="6">
        <f t="shared" si="122"/>
        <v>0.2981515085046561</v>
      </c>
      <c r="O35" s="6">
        <f t="shared" si="122"/>
        <v>0.35063441961579467</v>
      </c>
      <c r="P35" s="6">
        <f t="shared" si="122"/>
        <v>0.3609647372838215</v>
      </c>
      <c r="Q35" s="6">
        <f t="shared" si="122"/>
        <v>0.36043347720022517</v>
      </c>
      <c r="R35" s="6">
        <f t="shared" si="122"/>
        <v>0.34253184395310604</v>
      </c>
      <c r="S35" s="6">
        <f t="shared" si="122"/>
        <v>0.38418446983117716</v>
      </c>
      <c r="T35" s="6">
        <f t="shared" si="122"/>
        <v>0.36364692668190091</v>
      </c>
      <c r="U35" s="6">
        <f t="shared" si="122"/>
        <v>0.34519769552521506</v>
      </c>
      <c r="V35" s="6">
        <f t="shared" si="122"/>
        <v>0.35</v>
      </c>
      <c r="AF35" s="6">
        <f t="shared" ref="AF35:AJ35" si="123">(AF12-AF15)/AF12</f>
        <v>0.34396294836770025</v>
      </c>
      <c r="AG35" s="6">
        <f t="shared" si="123"/>
        <v>0.32207795851002652</v>
      </c>
      <c r="AH35" s="6">
        <f t="shared" si="123"/>
        <v>0.31466339293399231</v>
      </c>
      <c r="AI35" s="6">
        <f t="shared" si="123"/>
        <v>0.35349303276483562</v>
      </c>
      <c r="AJ35" s="6">
        <f t="shared" si="123"/>
        <v>0.3639929588644269</v>
      </c>
    </row>
    <row r="36" spans="2:36" x14ac:dyDescent="0.2">
      <c r="B36" s="1" t="s">
        <v>27</v>
      </c>
      <c r="C36" s="6"/>
      <c r="D36" s="6"/>
      <c r="E36" s="6">
        <f t="shared" ref="E36" si="124">+E22/E14</f>
        <v>0.23677837228949591</v>
      </c>
      <c r="K36" s="6">
        <f t="shared" ref="K36" si="125">+K22/K14</f>
        <v>0.2784717759940753</v>
      </c>
      <c r="L36" s="6">
        <f t="shared" ref="L36:N36" si="126">+L22/L14</f>
        <v>0.22041397287054346</v>
      </c>
      <c r="M36" s="6">
        <f t="shared" si="126"/>
        <v>0.21933484124989527</v>
      </c>
      <c r="N36" s="6">
        <f t="shared" si="126"/>
        <v>0.2283687285542057</v>
      </c>
      <c r="O36" s="6">
        <f t="shared" ref="O36:Q36" si="127">+O22/O14</f>
        <v>0.30091799100853384</v>
      </c>
      <c r="P36" s="6">
        <f t="shared" si="127"/>
        <v>0.30700794784782998</v>
      </c>
      <c r="Q36" s="6">
        <f t="shared" si="127"/>
        <v>0.29626445956234498</v>
      </c>
      <c r="R36" s="6">
        <f t="shared" ref="R36" si="128">+R22/R14</f>
        <v>0.28534069097888676</v>
      </c>
      <c r="S36" s="6">
        <f>+S22/S14</f>
        <v>0.33472911371979508</v>
      </c>
      <c r="T36" s="6">
        <f>+T22/T14</f>
        <v>0.30817862209338187</v>
      </c>
      <c r="U36" s="6">
        <f>+U22/U14</f>
        <v>0.27816150146457891</v>
      </c>
      <c r="V36" s="6">
        <f t="shared" ref="V36" si="129">+V22/V14</f>
        <v>0.28446921202228026</v>
      </c>
      <c r="AF36" s="6">
        <f t="shared" ref="AF36:AJ36" si="130">+AF22/AF14</f>
        <v>0.26694026619477024</v>
      </c>
      <c r="AG36" s="6">
        <f t="shared" si="130"/>
        <v>0.24572017188496928</v>
      </c>
      <c r="AH36" s="6">
        <f t="shared" si="130"/>
        <v>0.24147314354406862</v>
      </c>
      <c r="AI36" s="6">
        <f t="shared" si="130"/>
        <v>0.29782377527561593</v>
      </c>
      <c r="AJ36" s="6">
        <f t="shared" si="130"/>
        <v>0.30512224168061097</v>
      </c>
    </row>
    <row r="37" spans="2:36" x14ac:dyDescent="0.2">
      <c r="B37" s="1" t="s">
        <v>67</v>
      </c>
      <c r="C37" s="6"/>
      <c r="D37" s="6"/>
      <c r="E37" s="6">
        <f>E25/E24</f>
        <v>0.13286660644384221</v>
      </c>
      <c r="K37" s="6">
        <f>K25/K24</f>
        <v>0.14206343082027933</v>
      </c>
      <c r="L37" s="6">
        <f t="shared" ref="L37:U37" si="131">L25/L24</f>
        <v>0.14358583936048724</v>
      </c>
      <c r="M37" s="6">
        <f t="shared" si="131"/>
        <v>0.14341173783968944</v>
      </c>
      <c r="N37" s="6">
        <f t="shared" si="131"/>
        <v>0.14952016643178309</v>
      </c>
      <c r="O37" s="6">
        <f t="shared" si="131"/>
        <v>0.14366121683194855</v>
      </c>
      <c r="P37" s="6">
        <f t="shared" si="131"/>
        <v>0.1564028417407447</v>
      </c>
      <c r="Q37" s="6">
        <f t="shared" si="131"/>
        <v>0.10771882309491568</v>
      </c>
      <c r="R37" s="6">
        <f t="shared" si="131"/>
        <v>0.11600997935306263</v>
      </c>
      <c r="S37" s="6">
        <f t="shared" si="131"/>
        <v>0.16030164157028201</v>
      </c>
      <c r="T37" s="6">
        <f t="shared" si="131"/>
        <v>0.17017817445834302</v>
      </c>
      <c r="U37" s="6">
        <f t="shared" si="131"/>
        <v>0.15711436746726784</v>
      </c>
      <c r="V37" s="6">
        <f t="shared" ref="V37" si="132">V25/V24</f>
        <v>0.15</v>
      </c>
      <c r="AF37" s="6">
        <f t="shared" ref="AF37:AJ37" si="133">AF25/AF24</f>
        <v>0.18342180705869443</v>
      </c>
      <c r="AG37" s="6">
        <f t="shared" si="133"/>
        <v>0.15943836804235059</v>
      </c>
      <c r="AH37" s="6">
        <f t="shared" si="133"/>
        <v>0.14428164731484103</v>
      </c>
      <c r="AI37" s="6">
        <f t="shared" si="133"/>
        <v>0.13302260844085087</v>
      </c>
      <c r="AJ37" s="6">
        <f t="shared" si="133"/>
        <v>0.16012100498036971</v>
      </c>
    </row>
  </sheetData>
  <phoneticPr fontId="2" type="noConversion"/>
  <hyperlinks>
    <hyperlink ref="A1" location="Main!A1" display="Main" xr:uid="{8359FE81-84D5-48DA-AAE3-BF56C6A2A8A2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FC72-5FC6-1E48-8D7F-2ECB98C2F88B}">
  <dimension ref="A1"/>
  <sheetViews>
    <sheetView workbookViewId="0">
      <selection sqref="A1:XFD1048576"/>
    </sheetView>
  </sheetViews>
  <sheetFormatPr baseColWidth="10" defaultRowHeight="14" x14ac:dyDescent="0.2"/>
  <cols>
    <col min="1" max="16384" width="10.832031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M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4" sqref="J4"/>
    </sheetView>
  </sheetViews>
  <sheetFormatPr baseColWidth="10" defaultColWidth="8.83203125" defaultRowHeight="13" x14ac:dyDescent="0.15"/>
  <sheetData>
    <row r="1" spans="1:13" x14ac:dyDescent="0.15">
      <c r="A1" t="s">
        <v>7</v>
      </c>
    </row>
    <row r="2" spans="1:13" x14ac:dyDescent="0.15">
      <c r="B2" t="s">
        <v>73</v>
      </c>
      <c r="C2" t="s">
        <v>34</v>
      </c>
      <c r="I2" t="s">
        <v>101</v>
      </c>
      <c r="M2" t="s">
        <v>35</v>
      </c>
    </row>
    <row r="3" spans="1:13" x14ac:dyDescent="0.15">
      <c r="B3" t="s">
        <v>74</v>
      </c>
      <c r="C3" t="s">
        <v>99</v>
      </c>
      <c r="I3" s="17">
        <v>45200</v>
      </c>
      <c r="J3" t="s">
        <v>102</v>
      </c>
    </row>
    <row r="4" spans="1:13" x14ac:dyDescent="0.15">
      <c r="C4" t="s">
        <v>100</v>
      </c>
    </row>
    <row r="5" spans="1:13" x14ac:dyDescent="0.15">
      <c r="C5" t="s">
        <v>75</v>
      </c>
    </row>
    <row r="6" spans="1:13" x14ac:dyDescent="0.15">
      <c r="C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Valuation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2022-08-26T02:02:45Z</dcterms:created>
  <dcterms:modified xsi:type="dcterms:W3CDTF">2023-11-04T17:54:47Z</dcterms:modified>
</cp:coreProperties>
</file>