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/Documents/GitHub/Models/"/>
    </mc:Choice>
  </mc:AlternateContent>
  <xr:revisionPtr revIDLastSave="0" documentId="13_ncr:1_{39EB5961-C3A9-9449-AD0E-9EC5EED3D29C}" xr6:coauthVersionLast="47" xr6:coauthVersionMax="47" xr10:uidLastSave="{00000000-0000-0000-0000-000000000000}"/>
  <bookViews>
    <workbookView xWindow="32160" yWindow="1200" windowWidth="28040" windowHeight="18820" xr2:uid="{704F00E0-DE4F-E045-A0AE-86EE075BA335}"/>
  </bookViews>
  <sheets>
    <sheet name="Main" sheetId="2" r:id="rId1"/>
    <sheet name="Model" sheetId="1" r:id="rId2"/>
    <sheet name="Valu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2" i="2" l="1"/>
  <c r="AC16" i="2"/>
  <c r="AD16" i="2" s="1"/>
  <c r="AA16" i="2"/>
  <c r="Z16" i="2" s="1"/>
  <c r="Y18" i="2"/>
  <c r="Y19" i="2" s="1"/>
  <c r="Y20" i="2" s="1"/>
  <c r="Y21" i="2" s="1"/>
  <c r="Y22" i="2" s="1"/>
  <c r="Y23" i="2" s="1"/>
  <c r="Y24" i="2" s="1"/>
  <c r="Y25" i="2" s="1"/>
  <c r="Y26" i="2" s="1"/>
  <c r="Y27" i="2" s="1"/>
  <c r="L25" i="2"/>
  <c r="K25" i="2" s="1"/>
  <c r="J25" i="2" s="1"/>
  <c r="I27" i="2"/>
  <c r="I26" i="2" s="1"/>
  <c r="I29" i="2"/>
  <c r="I30" i="2" s="1"/>
  <c r="AQ46" i="1"/>
  <c r="AR46" i="1"/>
  <c r="AS46" i="1" s="1"/>
  <c r="AT46" i="1" s="1"/>
  <c r="AU46" i="1" s="1"/>
  <c r="AV46" i="1" s="1"/>
  <c r="AP46" i="1"/>
  <c r="AJ46" i="1"/>
  <c r="AK46" i="1" s="1"/>
  <c r="AL46" i="1" s="1"/>
  <c r="AM46" i="1" s="1"/>
  <c r="AN46" i="1" s="1"/>
  <c r="AO46" i="1" s="1"/>
  <c r="AI46" i="1"/>
  <c r="AV47" i="1"/>
  <c r="AV48" i="1"/>
  <c r="AV49" i="1"/>
  <c r="AV50" i="1"/>
  <c r="AJ47" i="1"/>
  <c r="AK47" i="1" s="1"/>
  <c r="AL47" i="1" s="1"/>
  <c r="AM47" i="1" s="1"/>
  <c r="AN47" i="1" s="1"/>
  <c r="AO47" i="1" s="1"/>
  <c r="AP47" i="1" s="1"/>
  <c r="AQ47" i="1" s="1"/>
  <c r="AR47" i="1" s="1"/>
  <c r="AS47" i="1" s="1"/>
  <c r="AT47" i="1" s="1"/>
  <c r="AU47" i="1" s="1"/>
  <c r="AJ48" i="1"/>
  <c r="AK48" i="1"/>
  <c r="AL48" i="1" s="1"/>
  <c r="AM48" i="1" s="1"/>
  <c r="AN48" i="1" s="1"/>
  <c r="AO48" i="1" s="1"/>
  <c r="AP48" i="1" s="1"/>
  <c r="AQ48" i="1" s="1"/>
  <c r="AR48" i="1" s="1"/>
  <c r="AS48" i="1" s="1"/>
  <c r="AT48" i="1" s="1"/>
  <c r="AU48" i="1" s="1"/>
  <c r="AJ49" i="1"/>
  <c r="AK49" i="1" s="1"/>
  <c r="AL49" i="1" s="1"/>
  <c r="AM49" i="1" s="1"/>
  <c r="AN49" i="1" s="1"/>
  <c r="AO49" i="1" s="1"/>
  <c r="AP49" i="1" s="1"/>
  <c r="AQ49" i="1" s="1"/>
  <c r="AR49" i="1" s="1"/>
  <c r="AS49" i="1" s="1"/>
  <c r="AT49" i="1" s="1"/>
  <c r="AU49" i="1" s="1"/>
  <c r="AJ50" i="1"/>
  <c r="AK50" i="1"/>
  <c r="AL50" i="1" s="1"/>
  <c r="AM50" i="1" s="1"/>
  <c r="AN50" i="1" s="1"/>
  <c r="AO50" i="1" s="1"/>
  <c r="AP50" i="1" s="1"/>
  <c r="AQ50" i="1" s="1"/>
  <c r="AR50" i="1" s="1"/>
  <c r="AS50" i="1" s="1"/>
  <c r="AT50" i="1" s="1"/>
  <c r="AU50" i="1" s="1"/>
  <c r="Y46" i="1"/>
  <c r="X46" i="1"/>
  <c r="U46" i="1"/>
  <c r="V46" i="1"/>
  <c r="W46" i="1"/>
  <c r="T46" i="1"/>
  <c r="AI47" i="1"/>
  <c r="AI48" i="1"/>
  <c r="AI49" i="1"/>
  <c r="AI50" i="1"/>
  <c r="AI54" i="1"/>
  <c r="AJ54" i="1"/>
  <c r="AK54" i="1"/>
  <c r="AL54" i="1" s="1"/>
  <c r="AM54" i="1" s="1"/>
  <c r="AN54" i="1" s="1"/>
  <c r="AO54" i="1" s="1"/>
  <c r="AP54" i="1" s="1"/>
  <c r="AQ54" i="1" s="1"/>
  <c r="AR54" i="1" s="1"/>
  <c r="AS54" i="1" s="1"/>
  <c r="AT54" i="1" s="1"/>
  <c r="AU54" i="1" s="1"/>
  <c r="AV54" i="1" s="1"/>
  <c r="AI55" i="1"/>
  <c r="AJ55" i="1"/>
  <c r="AK55" i="1" s="1"/>
  <c r="AL55" i="1" s="1"/>
  <c r="AM55" i="1" s="1"/>
  <c r="AN55" i="1" s="1"/>
  <c r="AO55" i="1" s="1"/>
  <c r="AP55" i="1" s="1"/>
  <c r="AQ55" i="1" s="1"/>
  <c r="AR55" i="1" s="1"/>
  <c r="AS55" i="1" s="1"/>
  <c r="AT55" i="1" s="1"/>
  <c r="AU55" i="1" s="1"/>
  <c r="AV55" i="1" s="1"/>
  <c r="AI56" i="1"/>
  <c r="AJ56" i="1" s="1"/>
  <c r="AK56" i="1" s="1"/>
  <c r="AL56" i="1" s="1"/>
  <c r="AM56" i="1" s="1"/>
  <c r="AN56" i="1" s="1"/>
  <c r="AO56" i="1" s="1"/>
  <c r="AP56" i="1" s="1"/>
  <c r="AQ56" i="1" s="1"/>
  <c r="AR56" i="1" s="1"/>
  <c r="AS56" i="1" s="1"/>
  <c r="AT56" i="1" s="1"/>
  <c r="AU56" i="1" s="1"/>
  <c r="AV56" i="1" s="1"/>
  <c r="AI57" i="1"/>
  <c r="AJ57" i="1" s="1"/>
  <c r="AK57" i="1" s="1"/>
  <c r="AL57" i="1" s="1"/>
  <c r="AM57" i="1" s="1"/>
  <c r="AN57" i="1" s="1"/>
  <c r="AO57" i="1" s="1"/>
  <c r="AP57" i="1" s="1"/>
  <c r="AQ57" i="1" s="1"/>
  <c r="AR57" i="1" s="1"/>
  <c r="AS57" i="1" s="1"/>
  <c r="AT57" i="1" s="1"/>
  <c r="AU57" i="1" s="1"/>
  <c r="AV57" i="1" s="1"/>
  <c r="AI58" i="1"/>
  <c r="AJ58" i="1" s="1"/>
  <c r="AK58" i="1" s="1"/>
  <c r="AL58" i="1" s="1"/>
  <c r="AM58" i="1" s="1"/>
  <c r="AN58" i="1" s="1"/>
  <c r="AO58" i="1" s="1"/>
  <c r="AP58" i="1" s="1"/>
  <c r="AQ58" i="1" s="1"/>
  <c r="AR58" i="1" s="1"/>
  <c r="AS58" i="1" s="1"/>
  <c r="AT58" i="1" s="1"/>
  <c r="AU58" i="1" s="1"/>
  <c r="AV58" i="1" s="1"/>
  <c r="AJ53" i="1"/>
  <c r="AK53" i="1"/>
  <c r="AL53" i="1"/>
  <c r="AM53" i="1" s="1"/>
  <c r="AN53" i="1" s="1"/>
  <c r="AO53" i="1" s="1"/>
  <c r="AP53" i="1" s="1"/>
  <c r="AQ53" i="1" s="1"/>
  <c r="AR53" i="1" s="1"/>
  <c r="AS53" i="1" s="1"/>
  <c r="AT53" i="1" s="1"/>
  <c r="AU53" i="1" s="1"/>
  <c r="AV53" i="1" s="1"/>
  <c r="AI53" i="1"/>
  <c r="U61" i="1"/>
  <c r="T59" i="1"/>
  <c r="U59" i="1"/>
  <c r="V59" i="1"/>
  <c r="W59" i="1"/>
  <c r="X59" i="1"/>
  <c r="Y59" i="1"/>
  <c r="T68" i="1"/>
  <c r="U68" i="1"/>
  <c r="V68" i="1"/>
  <c r="G16" i="3" s="1"/>
  <c r="W68" i="1"/>
  <c r="H16" i="3" s="1"/>
  <c r="X68" i="1"/>
  <c r="I16" i="3" s="1"/>
  <c r="Y68" i="1"/>
  <c r="T50" i="1"/>
  <c r="T49" i="1"/>
  <c r="U49" i="1"/>
  <c r="V49" i="1"/>
  <c r="W49" i="1"/>
  <c r="X49" i="1"/>
  <c r="Y49" i="1"/>
  <c r="T51" i="1"/>
  <c r="T61" i="1" s="1"/>
  <c r="U50" i="1"/>
  <c r="U51" i="1" s="1"/>
  <c r="V50" i="1"/>
  <c r="W50" i="1"/>
  <c r="W48" i="1"/>
  <c r="W51" i="1" s="1"/>
  <c r="W61" i="1" s="1"/>
  <c r="V48" i="1"/>
  <c r="U48" i="1"/>
  <c r="Y48" i="1" s="1"/>
  <c r="T48" i="1"/>
  <c r="X48" i="1" s="1"/>
  <c r="U55" i="1"/>
  <c r="V55" i="1"/>
  <c r="W55" i="1"/>
  <c r="X55" i="1"/>
  <c r="Y55" i="1"/>
  <c r="U56" i="1"/>
  <c r="Y56" i="1" s="1"/>
  <c r="V56" i="1"/>
  <c r="W56" i="1"/>
  <c r="X56" i="1"/>
  <c r="U57" i="1"/>
  <c r="V57" i="1"/>
  <c r="W57" i="1"/>
  <c r="X57" i="1"/>
  <c r="Y57" i="1"/>
  <c r="U58" i="1"/>
  <c r="Y58" i="1" s="1"/>
  <c r="V58" i="1"/>
  <c r="W58" i="1"/>
  <c r="X58" i="1"/>
  <c r="T56" i="1"/>
  <c r="T57" i="1"/>
  <c r="T58" i="1"/>
  <c r="T55" i="1"/>
  <c r="Y47" i="1"/>
  <c r="U47" i="1"/>
  <c r="V47" i="1"/>
  <c r="W47" i="1"/>
  <c r="X47" i="1"/>
  <c r="T47" i="1"/>
  <c r="U53" i="1"/>
  <c r="V53" i="1"/>
  <c r="W53" i="1"/>
  <c r="X53" i="1"/>
  <c r="Y53" i="1"/>
  <c r="T53" i="1"/>
  <c r="T54" i="1"/>
  <c r="V54" i="1"/>
  <c r="W54" i="1"/>
  <c r="X54" i="1"/>
  <c r="Y54" i="1"/>
  <c r="U54" i="1"/>
  <c r="AG34" i="1"/>
  <c r="AL25" i="1"/>
  <c r="AM25" i="1"/>
  <c r="AN25" i="1"/>
  <c r="AO25" i="1"/>
  <c r="AP25" i="1"/>
  <c r="AQ25" i="1"/>
  <c r="AR25" i="1"/>
  <c r="AS25" i="1"/>
  <c r="AT25" i="1"/>
  <c r="AU25" i="1"/>
  <c r="AV25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K25" i="1"/>
  <c r="AN22" i="1"/>
  <c r="AM22" i="1"/>
  <c r="AL22" i="1"/>
  <c r="AK22" i="1"/>
  <c r="S50" i="2"/>
  <c r="S51" i="2" s="1"/>
  <c r="S53" i="2" s="1"/>
  <c r="S43" i="2"/>
  <c r="S45" i="2" s="1"/>
  <c r="AG21" i="1" s="1"/>
  <c r="AH21" i="1" s="1"/>
  <c r="AI21" i="1" s="1"/>
  <c r="AJ21" i="1" s="1"/>
  <c r="AK21" i="1" s="1"/>
  <c r="N33" i="2"/>
  <c r="L33" i="2"/>
  <c r="K33" i="2" s="1"/>
  <c r="J33" i="2" s="1"/>
  <c r="I35" i="2"/>
  <c r="I34" i="2" s="1"/>
  <c r="I37" i="2"/>
  <c r="I38" i="2" s="1"/>
  <c r="N25" i="2"/>
  <c r="C16" i="3"/>
  <c r="C17" i="3"/>
  <c r="C27" i="3" s="1"/>
  <c r="C20" i="3"/>
  <c r="C14" i="3"/>
  <c r="G14" i="3"/>
  <c r="H14" i="3"/>
  <c r="I14" i="3"/>
  <c r="J14" i="3"/>
  <c r="J16" i="3"/>
  <c r="F14" i="3"/>
  <c r="F16" i="3"/>
  <c r="V51" i="1" l="1"/>
  <c r="V61" i="1" s="1"/>
  <c r="Y50" i="1"/>
  <c r="X50" i="1"/>
  <c r="X51" i="1"/>
  <c r="X61" i="1" s="1"/>
  <c r="Y51" i="1"/>
  <c r="Y61" i="1" s="1"/>
  <c r="AL21" i="1"/>
  <c r="AK23" i="1"/>
  <c r="AK26" i="1" s="1"/>
  <c r="C18" i="3"/>
  <c r="AM21" i="1" l="1"/>
  <c r="AL23" i="1"/>
  <c r="AL26" i="1" s="1"/>
  <c r="Q107" i="1"/>
  <c r="Q103" i="1"/>
  <c r="Q96" i="1"/>
  <c r="Q92" i="1"/>
  <c r="Q97" i="1" s="1"/>
  <c r="Q115" i="1"/>
  <c r="S115" i="1"/>
  <c r="S96" i="1"/>
  <c r="S107" i="1"/>
  <c r="S103" i="1"/>
  <c r="S92" i="1"/>
  <c r="S97" i="1" s="1"/>
  <c r="AI68" i="1"/>
  <c r="K16" i="3" s="1"/>
  <c r="AJ51" i="1"/>
  <c r="L13" i="3" s="1"/>
  <c r="AK51" i="1"/>
  <c r="M13" i="3" s="1"/>
  <c r="AL51" i="1"/>
  <c r="N13" i="3" s="1"/>
  <c r="AM51" i="1"/>
  <c r="O13" i="3" s="1"/>
  <c r="AN51" i="1"/>
  <c r="P13" i="3" s="1"/>
  <c r="AO51" i="1"/>
  <c r="Q13" i="3" s="1"/>
  <c r="AP51" i="1"/>
  <c r="R13" i="3" s="1"/>
  <c r="AQ51" i="1"/>
  <c r="S13" i="3" s="1"/>
  <c r="AR51" i="1"/>
  <c r="T13" i="3" s="1"/>
  <c r="AS51" i="1"/>
  <c r="U13" i="3" s="1"/>
  <c r="AT51" i="1"/>
  <c r="V13" i="3" s="1"/>
  <c r="AU51" i="1"/>
  <c r="W13" i="3" s="1"/>
  <c r="AV51" i="1"/>
  <c r="X13" i="3" s="1"/>
  <c r="F13" i="3"/>
  <c r="G13" i="3"/>
  <c r="H13" i="3"/>
  <c r="I13" i="3"/>
  <c r="J13" i="3"/>
  <c r="AI59" i="1"/>
  <c r="K14" i="3" s="1"/>
  <c r="AJ59" i="1"/>
  <c r="L14" i="3" s="1"/>
  <c r="AK59" i="1"/>
  <c r="M14" i="3" s="1"/>
  <c r="AL59" i="1"/>
  <c r="N14" i="3" s="1"/>
  <c r="AM59" i="1"/>
  <c r="O14" i="3" s="1"/>
  <c r="AN59" i="1"/>
  <c r="P14" i="3" s="1"/>
  <c r="AO59" i="1"/>
  <c r="Q14" i="3" s="1"/>
  <c r="AP59" i="1"/>
  <c r="R14" i="3" s="1"/>
  <c r="AQ59" i="1"/>
  <c r="S14" i="3" s="1"/>
  <c r="AR59" i="1"/>
  <c r="T14" i="3" s="1"/>
  <c r="AS59" i="1"/>
  <c r="U14" i="3" s="1"/>
  <c r="AT59" i="1"/>
  <c r="V14" i="3" s="1"/>
  <c r="AU59" i="1"/>
  <c r="W14" i="3" s="1"/>
  <c r="AV59" i="1"/>
  <c r="X14" i="3" s="1"/>
  <c r="AJ68" i="1"/>
  <c r="L16" i="3" s="1"/>
  <c r="AK68" i="1"/>
  <c r="M16" i="3" s="1"/>
  <c r="AL68" i="1"/>
  <c r="N16" i="3" s="1"/>
  <c r="AM68" i="1"/>
  <c r="O16" i="3" s="1"/>
  <c r="AN68" i="1"/>
  <c r="P16" i="3" s="1"/>
  <c r="AO68" i="1"/>
  <c r="Q16" i="3" s="1"/>
  <c r="AP68" i="1"/>
  <c r="R16" i="3" s="1"/>
  <c r="AQ68" i="1"/>
  <c r="S16" i="3" s="1"/>
  <c r="AR68" i="1"/>
  <c r="T16" i="3" s="1"/>
  <c r="AS68" i="1"/>
  <c r="U16" i="3" s="1"/>
  <c r="AT68" i="1"/>
  <c r="V16" i="3" s="1"/>
  <c r="AU68" i="1"/>
  <c r="W16" i="3" s="1"/>
  <c r="AV68" i="1"/>
  <c r="X16" i="3" s="1"/>
  <c r="AG66" i="1"/>
  <c r="AH66" i="1"/>
  <c r="AG67" i="1"/>
  <c r="AH67" i="1"/>
  <c r="AH65" i="1"/>
  <c r="AG65" i="1"/>
  <c r="AG54" i="1"/>
  <c r="AH54" i="1"/>
  <c r="AG55" i="1"/>
  <c r="AH55" i="1"/>
  <c r="AG56" i="1"/>
  <c r="AH56" i="1"/>
  <c r="AG57" i="1"/>
  <c r="AH57" i="1"/>
  <c r="AG58" i="1"/>
  <c r="AH58" i="1"/>
  <c r="AH53" i="1"/>
  <c r="AG53" i="1"/>
  <c r="AG47" i="1"/>
  <c r="AH47" i="1"/>
  <c r="AG48" i="1"/>
  <c r="AH48" i="1"/>
  <c r="AG49" i="1"/>
  <c r="AH49" i="1"/>
  <c r="AG50" i="1"/>
  <c r="AH50" i="1"/>
  <c r="AH46" i="1"/>
  <c r="AI51" i="1" s="1"/>
  <c r="K13" i="3" s="1"/>
  <c r="AG46" i="1"/>
  <c r="T38" i="1"/>
  <c r="T42" i="1" s="1"/>
  <c r="AK8" i="1"/>
  <c r="AJ8" i="1"/>
  <c r="AI8" i="1"/>
  <c r="V11" i="1"/>
  <c r="W11" i="1"/>
  <c r="X11" i="1"/>
  <c r="Y11" i="1"/>
  <c r="U11" i="1"/>
  <c r="D51" i="2"/>
  <c r="D53" i="2" s="1"/>
  <c r="D43" i="2"/>
  <c r="D45" i="2" s="1"/>
  <c r="AH7" i="1" s="1"/>
  <c r="AN21" i="1" l="1"/>
  <c r="AM23" i="1"/>
  <c r="AM26" i="1" s="1"/>
  <c r="S108" i="1"/>
  <c r="S117" i="1" s="1"/>
  <c r="S118" i="1" s="1"/>
  <c r="Q108" i="1"/>
  <c r="Q117" i="1" s="1"/>
  <c r="Q118" i="1" s="1"/>
  <c r="U7" i="1"/>
  <c r="AG7" i="1" s="1"/>
  <c r="AH51" i="1"/>
  <c r="AH68" i="1"/>
  <c r="AH59" i="1"/>
  <c r="AG51" i="1"/>
  <c r="AG59" i="1"/>
  <c r="AG68" i="1"/>
  <c r="D24" i="2"/>
  <c r="K38" i="1"/>
  <c r="K42" i="1" s="1"/>
  <c r="L38" i="1"/>
  <c r="L42" i="1" s="1"/>
  <c r="M38" i="1"/>
  <c r="M42" i="1" s="1"/>
  <c r="N38" i="1"/>
  <c r="N42" i="1" s="1"/>
  <c r="O38" i="1"/>
  <c r="O42" i="1" s="1"/>
  <c r="P38" i="1"/>
  <c r="P42" i="1" s="1"/>
  <c r="Q38" i="1"/>
  <c r="Q42" i="1" s="1"/>
  <c r="R38" i="1"/>
  <c r="S38" i="1"/>
  <c r="S42" i="1" s="1"/>
  <c r="J38" i="1"/>
  <c r="J42" i="1" s="1"/>
  <c r="K68" i="1"/>
  <c r="L68" i="1"/>
  <c r="N68" i="1"/>
  <c r="O68" i="1"/>
  <c r="P68" i="1"/>
  <c r="R68" i="1"/>
  <c r="S68" i="1"/>
  <c r="J68" i="1"/>
  <c r="M78" i="1"/>
  <c r="M74" i="1"/>
  <c r="M67" i="1"/>
  <c r="M65" i="1"/>
  <c r="M53" i="1"/>
  <c r="M54" i="1"/>
  <c r="M55" i="1"/>
  <c r="M56" i="1"/>
  <c r="M57" i="1"/>
  <c r="M58" i="1"/>
  <c r="M46" i="1"/>
  <c r="M47" i="1"/>
  <c r="M48" i="1"/>
  <c r="M49" i="1"/>
  <c r="M50" i="1"/>
  <c r="Q74" i="1"/>
  <c r="Q66" i="1"/>
  <c r="Q67" i="1"/>
  <c r="Q65" i="1"/>
  <c r="Q53" i="1"/>
  <c r="Q54" i="1"/>
  <c r="Q55" i="1"/>
  <c r="Q56" i="1"/>
  <c r="Q57" i="1"/>
  <c r="Q58" i="1"/>
  <c r="Q46" i="1"/>
  <c r="Q47" i="1"/>
  <c r="Q48" i="1"/>
  <c r="Q49" i="1"/>
  <c r="Q50" i="1"/>
  <c r="Q78" i="1"/>
  <c r="J59" i="1"/>
  <c r="J51" i="1"/>
  <c r="K59" i="1"/>
  <c r="K51" i="1"/>
  <c r="L59" i="1"/>
  <c r="L51" i="1"/>
  <c r="N59" i="1"/>
  <c r="N51" i="1"/>
  <c r="P59" i="1"/>
  <c r="R59" i="1"/>
  <c r="O59" i="1"/>
  <c r="S59" i="1"/>
  <c r="P51" i="1"/>
  <c r="R51" i="1"/>
  <c r="S51" i="1"/>
  <c r="O51" i="1"/>
  <c r="AD59" i="1"/>
  <c r="AE59" i="1"/>
  <c r="AF59" i="1"/>
  <c r="AC59" i="1"/>
  <c r="AD51" i="1"/>
  <c r="AE51" i="1"/>
  <c r="AF51" i="1"/>
  <c r="AC51" i="1"/>
  <c r="AD68" i="1"/>
  <c r="AE68" i="1"/>
  <c r="AF68" i="1"/>
  <c r="AC68" i="1"/>
  <c r="U9" i="1" l="1"/>
  <c r="AO21" i="1"/>
  <c r="AN23" i="1"/>
  <c r="AN26" i="1" s="1"/>
  <c r="AG61" i="1"/>
  <c r="AH61" i="1" s="1"/>
  <c r="AI61" i="1" s="1"/>
  <c r="AJ61" i="1" s="1"/>
  <c r="AK61" i="1" s="1"/>
  <c r="AL61" i="1" s="1"/>
  <c r="AM61" i="1" s="1"/>
  <c r="AN61" i="1" s="1"/>
  <c r="AO61" i="1" s="1"/>
  <c r="AP61" i="1" s="1"/>
  <c r="AQ61" i="1" s="1"/>
  <c r="AR61" i="1" s="1"/>
  <c r="AS61" i="1" s="1"/>
  <c r="AT61" i="1" s="1"/>
  <c r="AU61" i="1" s="1"/>
  <c r="AV61" i="1" s="1"/>
  <c r="R42" i="1"/>
  <c r="L61" i="1"/>
  <c r="L63" i="1" s="1"/>
  <c r="L70" i="1" s="1"/>
  <c r="L75" i="1" s="1"/>
  <c r="L76" i="1" s="1"/>
  <c r="AC61" i="1"/>
  <c r="AC63" i="1" s="1"/>
  <c r="AC70" i="1" s="1"/>
  <c r="AC75" i="1" s="1"/>
  <c r="AC76" i="1" s="1"/>
  <c r="N61" i="1"/>
  <c r="N63" i="1" s="1"/>
  <c r="N70" i="1" s="1"/>
  <c r="N75" i="1" s="1"/>
  <c r="N76" i="1" s="1"/>
  <c r="O61" i="1"/>
  <c r="O63" i="1" s="1"/>
  <c r="O70" i="1" s="1"/>
  <c r="O75" i="1" s="1"/>
  <c r="O76" i="1" s="1"/>
  <c r="AF61" i="1"/>
  <c r="AF63" i="1" s="1"/>
  <c r="AF70" i="1" s="1"/>
  <c r="AF75" i="1" s="1"/>
  <c r="AF76" i="1" s="1"/>
  <c r="AE61" i="1"/>
  <c r="AE63" i="1" s="1"/>
  <c r="AE70" i="1" s="1"/>
  <c r="AE75" i="1" s="1"/>
  <c r="AE76" i="1" s="1"/>
  <c r="R61" i="1"/>
  <c r="AD61" i="1"/>
  <c r="AD63" i="1" s="1"/>
  <c r="AD70" i="1" s="1"/>
  <c r="AD75" i="1" s="1"/>
  <c r="AD76" i="1" s="1"/>
  <c r="P61" i="1"/>
  <c r="P63" i="1" s="1"/>
  <c r="P70" i="1" s="1"/>
  <c r="P75" i="1" s="1"/>
  <c r="P76" i="1" s="1"/>
  <c r="S61" i="1"/>
  <c r="K61" i="1"/>
  <c r="K63" i="1" s="1"/>
  <c r="K70" i="1" s="1"/>
  <c r="K75" i="1" s="1"/>
  <c r="K76" i="1" s="1"/>
  <c r="J61" i="1"/>
  <c r="J63" i="1" s="1"/>
  <c r="J70" i="1" s="1"/>
  <c r="J75" i="1" s="1"/>
  <c r="J76" i="1" s="1"/>
  <c r="M68" i="1"/>
  <c r="Q68" i="1"/>
  <c r="M51" i="1"/>
  <c r="Q51" i="1"/>
  <c r="M59" i="1"/>
  <c r="Q59" i="1"/>
  <c r="U12" i="1" l="1"/>
  <c r="AG9" i="1"/>
  <c r="AO23" i="1"/>
  <c r="AO26" i="1" s="1"/>
  <c r="AP21" i="1"/>
  <c r="S63" i="1"/>
  <c r="S70" i="1" s="1"/>
  <c r="S75" i="1" s="1"/>
  <c r="S76" i="1" s="1"/>
  <c r="R63" i="1"/>
  <c r="R70" i="1" s="1"/>
  <c r="R75" i="1" s="1"/>
  <c r="R76" i="1" s="1"/>
  <c r="Q61" i="1"/>
  <c r="Q63" i="1" s="1"/>
  <c r="Q70" i="1" s="1"/>
  <c r="Q75" i="1" s="1"/>
  <c r="Q76" i="1" s="1"/>
  <c r="M61" i="1"/>
  <c r="M63" i="1" s="1"/>
  <c r="M70" i="1" s="1"/>
  <c r="M75" i="1" s="1"/>
  <c r="M76" i="1" s="1"/>
  <c r="U38" i="1" l="1"/>
  <c r="F11" i="3" s="1"/>
  <c r="AG12" i="1"/>
  <c r="AG8" i="1"/>
  <c r="AP23" i="1"/>
  <c r="AP26" i="1" s="1"/>
  <c r="AQ21" i="1"/>
  <c r="T63" i="1"/>
  <c r="T70" i="1" s="1"/>
  <c r="T75" i="1" s="1"/>
  <c r="AG11" i="1" l="1"/>
  <c r="AG38" i="1"/>
  <c r="U40" i="1"/>
  <c r="AR21" i="1"/>
  <c r="AQ23" i="1"/>
  <c r="AQ26" i="1" s="1"/>
  <c r="AG40" i="1" l="1"/>
  <c r="AG42" i="1" s="1"/>
  <c r="U42" i="1"/>
  <c r="AS21" i="1"/>
  <c r="AR23" i="1"/>
  <c r="AR26" i="1" s="1"/>
  <c r="F12" i="3" l="1"/>
  <c r="U63" i="1"/>
  <c r="AG41" i="1"/>
  <c r="AG63" i="1"/>
  <c r="AG70" i="1" s="1"/>
  <c r="AG75" i="1" s="1"/>
  <c r="AT21" i="1"/>
  <c r="AS23" i="1"/>
  <c r="AS26" i="1" s="1"/>
  <c r="U70" i="1" l="1"/>
  <c r="F15" i="3"/>
  <c r="AU21" i="1"/>
  <c r="AT23" i="1"/>
  <c r="AT26" i="1" s="1"/>
  <c r="U75" i="1" l="1"/>
  <c r="F18" i="3" s="1"/>
  <c r="F17" i="3"/>
  <c r="AV21" i="1"/>
  <c r="AV23" i="1" s="1"/>
  <c r="AV26" i="1" s="1"/>
  <c r="AU23" i="1"/>
  <c r="AU26" i="1" s="1"/>
  <c r="W7" i="1" l="1"/>
  <c r="W9" i="1" s="1"/>
  <c r="W12" i="1" s="1"/>
  <c r="W38" i="1" s="1"/>
  <c r="H11" i="3" s="1"/>
  <c r="X7" i="1"/>
  <c r="X9" i="1" s="1"/>
  <c r="X12" i="1" s="1"/>
  <c r="X38" i="1" s="1"/>
  <c r="I11" i="3" s="1"/>
  <c r="Y7" i="1"/>
  <c r="Y9" i="1" s="1"/>
  <c r="Y12" i="1" s="1"/>
  <c r="Y38" i="1" s="1"/>
  <c r="J11" i="3" s="1"/>
  <c r="V7" i="1"/>
  <c r="V9" i="1" s="1"/>
  <c r="AI7" i="1"/>
  <c r="V12" i="1" l="1"/>
  <c r="AH12" i="1" s="1"/>
  <c r="AH38" i="1" s="1"/>
  <c r="AH9" i="1"/>
  <c r="X40" i="1"/>
  <c r="X42" i="1" s="1"/>
  <c r="AJ7" i="1"/>
  <c r="AI9" i="1"/>
  <c r="Y40" i="1"/>
  <c r="Y42" i="1" s="1"/>
  <c r="W40" i="1"/>
  <c r="W42" i="1" s="1"/>
  <c r="AH11" i="1" l="1"/>
  <c r="V38" i="1"/>
  <c r="AH8" i="1"/>
  <c r="J12" i="3"/>
  <c r="Y63" i="1"/>
  <c r="W63" i="1"/>
  <c r="H12" i="3"/>
  <c r="I12" i="3"/>
  <c r="X63" i="1"/>
  <c r="AK7" i="1"/>
  <c r="AJ9" i="1"/>
  <c r="AI12" i="1"/>
  <c r="AI38" i="1" s="1"/>
  <c r="K11" i="3" s="1"/>
  <c r="V40" i="1" l="1"/>
  <c r="AH40" i="1" s="1"/>
  <c r="AH42" i="1" s="1"/>
  <c r="AH63" i="1" s="1"/>
  <c r="AH70" i="1" s="1"/>
  <c r="AH75" i="1" s="1"/>
  <c r="G11" i="3"/>
  <c r="AK9" i="1"/>
  <c r="AL7" i="1"/>
  <c r="X70" i="1"/>
  <c r="I15" i="3"/>
  <c r="AI40" i="1"/>
  <c r="AI42" i="1" s="1"/>
  <c r="W70" i="1"/>
  <c r="H15" i="3"/>
  <c r="J15" i="3"/>
  <c r="Y70" i="1"/>
  <c r="AJ12" i="1"/>
  <c r="AJ38" i="1" s="1"/>
  <c r="L11" i="3" s="1"/>
  <c r="AH41" i="1" l="1"/>
  <c r="V42" i="1"/>
  <c r="AI63" i="1"/>
  <c r="K12" i="3"/>
  <c r="Y75" i="1"/>
  <c r="J18" i="3" s="1"/>
  <c r="J17" i="3"/>
  <c r="AJ40" i="1"/>
  <c r="AJ42" i="1" s="1"/>
  <c r="W75" i="1"/>
  <c r="H18" i="3" s="1"/>
  <c r="H17" i="3"/>
  <c r="I17" i="3"/>
  <c r="X75" i="1"/>
  <c r="I18" i="3" s="1"/>
  <c r="AL9" i="1"/>
  <c r="AM7" i="1"/>
  <c r="AK12" i="1"/>
  <c r="AK38" i="1" s="1"/>
  <c r="M11" i="3" s="1"/>
  <c r="V63" i="1" l="1"/>
  <c r="G12" i="3"/>
  <c r="AJ63" i="1"/>
  <c r="L12" i="3"/>
  <c r="AK40" i="1"/>
  <c r="AK42" i="1" s="1"/>
  <c r="AL12" i="1"/>
  <c r="AL38" i="1" s="1"/>
  <c r="N11" i="3" s="1"/>
  <c r="AM9" i="1"/>
  <c r="AN7" i="1"/>
  <c r="AI70" i="1"/>
  <c r="K15" i="3"/>
  <c r="G15" i="3" l="1"/>
  <c r="V70" i="1"/>
  <c r="M12" i="3"/>
  <c r="AK63" i="1"/>
  <c r="K17" i="3"/>
  <c r="AI75" i="1"/>
  <c r="K18" i="3" s="1"/>
  <c r="AL40" i="1"/>
  <c r="AL42" i="1" s="1"/>
  <c r="AO7" i="1"/>
  <c r="AN9" i="1"/>
  <c r="AM12" i="1"/>
  <c r="AM38" i="1" s="1"/>
  <c r="O11" i="3" s="1"/>
  <c r="L15" i="3"/>
  <c r="AJ70" i="1"/>
  <c r="G17" i="3" l="1"/>
  <c r="V75" i="1"/>
  <c r="G18" i="3" s="1"/>
  <c r="AL63" i="1"/>
  <c r="N12" i="3"/>
  <c r="AO9" i="1"/>
  <c r="AP7" i="1"/>
  <c r="AN12" i="1"/>
  <c r="AN38" i="1" s="1"/>
  <c r="P11" i="3" s="1"/>
  <c r="L17" i="3"/>
  <c r="AJ75" i="1"/>
  <c r="L18" i="3" s="1"/>
  <c r="AM40" i="1"/>
  <c r="AM42" i="1" s="1"/>
  <c r="M15" i="3"/>
  <c r="AK70" i="1"/>
  <c r="AN40" i="1" l="1"/>
  <c r="AN42" i="1" s="1"/>
  <c r="M17" i="3"/>
  <c r="AK75" i="1"/>
  <c r="M18" i="3" s="1"/>
  <c r="AQ7" i="1"/>
  <c r="AP9" i="1"/>
  <c r="AO12" i="1"/>
  <c r="AO38" i="1" s="1"/>
  <c r="Q11" i="3" s="1"/>
  <c r="AM63" i="1"/>
  <c r="O12" i="3"/>
  <c r="AL70" i="1"/>
  <c r="N15" i="3"/>
  <c r="AN63" i="1" l="1"/>
  <c r="P12" i="3"/>
  <c r="AP12" i="1"/>
  <c r="AP38" i="1" s="1"/>
  <c r="R11" i="3" s="1"/>
  <c r="AO40" i="1"/>
  <c r="AO42" i="1" s="1"/>
  <c r="AQ9" i="1"/>
  <c r="AR7" i="1"/>
  <c r="N17" i="3"/>
  <c r="AL75" i="1"/>
  <c r="N18" i="3" s="1"/>
  <c r="O15" i="3"/>
  <c r="AM70" i="1"/>
  <c r="Q12" i="3" l="1"/>
  <c r="AO63" i="1"/>
  <c r="AR9" i="1"/>
  <c r="AS7" i="1"/>
  <c r="AQ12" i="1"/>
  <c r="AQ38" i="1" s="1"/>
  <c r="S11" i="3" s="1"/>
  <c r="AM75" i="1"/>
  <c r="O18" i="3" s="1"/>
  <c r="O17" i="3"/>
  <c r="AP40" i="1"/>
  <c r="AP42" i="1" s="1"/>
  <c r="P15" i="3"/>
  <c r="AN70" i="1"/>
  <c r="AQ40" i="1" l="1"/>
  <c r="AQ42" i="1" s="1"/>
  <c r="AN75" i="1"/>
  <c r="P18" i="3" s="1"/>
  <c r="P17" i="3"/>
  <c r="AS9" i="1"/>
  <c r="AT7" i="1"/>
  <c r="AR12" i="1"/>
  <c r="AR38" i="1" s="1"/>
  <c r="T11" i="3" s="1"/>
  <c r="Q15" i="3"/>
  <c r="AO70" i="1"/>
  <c r="R12" i="3"/>
  <c r="AP63" i="1"/>
  <c r="S12" i="3" l="1"/>
  <c r="AQ63" i="1"/>
  <c r="AR40" i="1"/>
  <c r="AR42" i="1" s="1"/>
  <c r="AT9" i="1"/>
  <c r="AU7" i="1"/>
  <c r="AS12" i="1"/>
  <c r="AS38" i="1" s="1"/>
  <c r="U11" i="3" s="1"/>
  <c r="R15" i="3"/>
  <c r="AP70" i="1"/>
  <c r="AO75" i="1"/>
  <c r="Q18" i="3" s="1"/>
  <c r="Q17" i="3"/>
  <c r="AR63" i="1" l="1"/>
  <c r="T12" i="3"/>
  <c r="AV7" i="1"/>
  <c r="AV9" i="1" s="1"/>
  <c r="AU9" i="1"/>
  <c r="AT12" i="1"/>
  <c r="AT38" i="1" s="1"/>
  <c r="V11" i="3" s="1"/>
  <c r="AS40" i="1"/>
  <c r="AS42" i="1" s="1"/>
  <c r="R17" i="3"/>
  <c r="AP75" i="1"/>
  <c r="R18" i="3" s="1"/>
  <c r="AQ70" i="1"/>
  <c r="S15" i="3"/>
  <c r="U12" i="3" l="1"/>
  <c r="AS63" i="1"/>
  <c r="AU12" i="1"/>
  <c r="AU38" i="1" s="1"/>
  <c r="W11" i="3" s="1"/>
  <c r="AT40" i="1"/>
  <c r="AT42" i="1" s="1"/>
  <c r="S17" i="3"/>
  <c r="AQ75" i="1"/>
  <c r="S18" i="3" s="1"/>
  <c r="AV12" i="1"/>
  <c r="AV38" i="1" s="1"/>
  <c r="X11" i="3" s="1"/>
  <c r="AR70" i="1"/>
  <c r="T15" i="3"/>
  <c r="V12" i="3" l="1"/>
  <c r="AT63" i="1"/>
  <c r="AR75" i="1"/>
  <c r="T18" i="3" s="1"/>
  <c r="T17" i="3"/>
  <c r="AU40" i="1"/>
  <c r="AU42" i="1" s="1"/>
  <c r="AV40" i="1"/>
  <c r="AV42" i="1" s="1"/>
  <c r="AS70" i="1"/>
  <c r="U15" i="3"/>
  <c r="AT70" i="1" l="1"/>
  <c r="V15" i="3"/>
  <c r="U17" i="3"/>
  <c r="AS75" i="1"/>
  <c r="U18" i="3" s="1"/>
  <c r="AV63" i="1"/>
  <c r="X12" i="3"/>
  <c r="AU63" i="1"/>
  <c r="W12" i="3"/>
  <c r="X15" i="3" l="1"/>
  <c r="AV70" i="1"/>
  <c r="AU70" i="1"/>
  <c r="W15" i="3"/>
  <c r="AT75" i="1"/>
  <c r="V18" i="3" s="1"/>
  <c r="V17" i="3"/>
  <c r="AV75" i="1" l="1"/>
  <c r="X18" i="3" s="1"/>
  <c r="X17" i="3"/>
  <c r="AU75" i="1"/>
  <c r="W18" i="3" s="1"/>
  <c r="W17" i="3"/>
  <c r="C26" i="3" l="1"/>
  <c r="C28" i="3" s="1"/>
  <c r="C29" i="3" s="1"/>
  <c r="Y16" i="2" l="1"/>
  <c r="I33" i="2"/>
  <c r="I25" i="2"/>
</calcChain>
</file>

<file path=xl/sharedStrings.xml><?xml version="1.0" encoding="utf-8"?>
<sst xmlns="http://schemas.openxmlformats.org/spreadsheetml/2006/main" count="298" uniqueCount="192">
  <si>
    <t>Research &amp; Development</t>
  </si>
  <si>
    <t xml:space="preserve">General &amp; Administrative </t>
  </si>
  <si>
    <t>Interest Income, Net</t>
  </si>
  <si>
    <t>Other Income</t>
  </si>
  <si>
    <t xml:space="preserve">Net Other Income </t>
  </si>
  <si>
    <t xml:space="preserve"> </t>
  </si>
  <si>
    <t>Net Income</t>
  </si>
  <si>
    <t>Clinical &amp; Preclinical</t>
  </si>
  <si>
    <t xml:space="preserve">Drug Manufacturing &amp; Formulation </t>
  </si>
  <si>
    <t>Personnel Expenses</t>
  </si>
  <si>
    <t>Stock-based Compensation</t>
  </si>
  <si>
    <t>Regulatory &amp; Other</t>
  </si>
  <si>
    <t>Check</t>
  </si>
  <si>
    <t>Change in fair value of warrant liabilities</t>
  </si>
  <si>
    <t>Legal &amp; Professional Fees</t>
  </si>
  <si>
    <t>Commercial Expenses</t>
  </si>
  <si>
    <t>Insurance Expenses</t>
  </si>
  <si>
    <t>Other Expenses</t>
  </si>
  <si>
    <t>2Q2019A</t>
  </si>
  <si>
    <t>1Q2019A</t>
  </si>
  <si>
    <t>3Q2019A</t>
  </si>
  <si>
    <t>4Q2019A</t>
  </si>
  <si>
    <t>1Q2020A</t>
  </si>
  <si>
    <t>2Q202A</t>
  </si>
  <si>
    <t>3Q2020A</t>
  </si>
  <si>
    <t>4Q2020A</t>
  </si>
  <si>
    <t>1Q2021A</t>
  </si>
  <si>
    <t>2Q2021A</t>
  </si>
  <si>
    <t>3Q2021A</t>
  </si>
  <si>
    <t>4Q2021A</t>
  </si>
  <si>
    <t>1Q2022A</t>
  </si>
  <si>
    <t>2Q2022A</t>
  </si>
  <si>
    <t>3Q2022A</t>
  </si>
  <si>
    <t>4Q2022A</t>
  </si>
  <si>
    <t>1Q2023A</t>
  </si>
  <si>
    <t>2Q2023A</t>
  </si>
  <si>
    <t>License Revenue</t>
  </si>
  <si>
    <t>Applied Therapeutics</t>
  </si>
  <si>
    <t>HC Net Income</t>
  </si>
  <si>
    <t>EBT</t>
  </si>
  <si>
    <t>Total Operating Expenses</t>
  </si>
  <si>
    <t>Operating Expenses</t>
  </si>
  <si>
    <t>EBIT</t>
  </si>
  <si>
    <t>Provision for income taxes</t>
  </si>
  <si>
    <t>AT-007</t>
  </si>
  <si>
    <t xml:space="preserve">Galactosemia </t>
  </si>
  <si>
    <t xml:space="preserve">Revenue Build </t>
  </si>
  <si>
    <t>SORD</t>
  </si>
  <si>
    <t>PMM2-CDG</t>
  </si>
  <si>
    <t>AT-001</t>
  </si>
  <si>
    <t>Diabetic Cardiomyopathy</t>
  </si>
  <si>
    <t>Diabetic Peripheral Nueropathy</t>
  </si>
  <si>
    <t>AT-003</t>
  </si>
  <si>
    <t>Diabetic Retinopathy</t>
  </si>
  <si>
    <t>Drivers</t>
  </si>
  <si>
    <t xml:space="preserve">Gross Margin (%) </t>
  </si>
  <si>
    <t>3Q2023E</t>
  </si>
  <si>
    <t>4Q2023E</t>
  </si>
  <si>
    <t>FY2023E</t>
  </si>
  <si>
    <t>FY2024E</t>
  </si>
  <si>
    <t>FY2025E</t>
  </si>
  <si>
    <t>FY2026E</t>
  </si>
  <si>
    <t>FY2027E</t>
  </si>
  <si>
    <t>FY2028E</t>
  </si>
  <si>
    <t>FY2019A</t>
  </si>
  <si>
    <t>FY2020A</t>
  </si>
  <si>
    <t>FY2021A</t>
  </si>
  <si>
    <t>FY2022A</t>
  </si>
  <si>
    <t>Assumptions</t>
  </si>
  <si>
    <t xml:space="preserve">Indication </t>
  </si>
  <si>
    <t xml:space="preserve">Success Probability </t>
  </si>
  <si>
    <t>Timeline</t>
  </si>
  <si>
    <t>Stage</t>
  </si>
  <si>
    <t>NDA</t>
  </si>
  <si>
    <t xml:space="preserve">Market Entry </t>
  </si>
  <si>
    <t>1Q2024E</t>
  </si>
  <si>
    <t>Revenue Build</t>
  </si>
  <si>
    <t xml:space="preserve">Annual Patients </t>
  </si>
  <si>
    <t xml:space="preserve">NDA </t>
  </si>
  <si>
    <t>Patent Duration (Years)</t>
  </si>
  <si>
    <t>Patent Expiry</t>
  </si>
  <si>
    <t>3Q2037E</t>
  </si>
  <si>
    <t xml:space="preserve">Monthly Cost </t>
  </si>
  <si>
    <t>Low</t>
  </si>
  <si>
    <t xml:space="preserve">High </t>
  </si>
  <si>
    <t xml:space="preserve">Total Addressable Market </t>
  </si>
  <si>
    <t>Growth</t>
  </si>
  <si>
    <t>Rollout</t>
  </si>
  <si>
    <t>Year 1</t>
  </si>
  <si>
    <t>Year 2</t>
  </si>
  <si>
    <t>Year 3</t>
  </si>
  <si>
    <t>Year 4</t>
  </si>
  <si>
    <t>Patent Period</t>
  </si>
  <si>
    <t>Customers</t>
  </si>
  <si>
    <t>Price</t>
  </si>
  <si>
    <t>Market Share Target ($)</t>
  </si>
  <si>
    <t>Market Share Target (%)</t>
  </si>
  <si>
    <t>Post Patent Period</t>
  </si>
  <si>
    <t>$/Month</t>
  </si>
  <si>
    <t>$/Month/Patient</t>
  </si>
  <si>
    <t>Patients</t>
  </si>
  <si>
    <t>% of Target</t>
  </si>
  <si>
    <t xml:space="preserve">Risk Adjustment </t>
  </si>
  <si>
    <t>Risk-Adjusted Net Sales</t>
  </si>
  <si>
    <t>Net Sales</t>
  </si>
  <si>
    <t>FY2029E</t>
  </si>
  <si>
    <t>FY2030E</t>
  </si>
  <si>
    <t>FY2031E</t>
  </si>
  <si>
    <t>FY2032E</t>
  </si>
  <si>
    <t>FY2033E</t>
  </si>
  <si>
    <t>FY2034E</t>
  </si>
  <si>
    <t>FY2035E</t>
  </si>
  <si>
    <t>FY2036E</t>
  </si>
  <si>
    <t>FY2037E</t>
  </si>
  <si>
    <t>FY2038E</t>
  </si>
  <si>
    <t xml:space="preserve">Sales Target </t>
  </si>
  <si>
    <t>2Q2024E</t>
  </si>
  <si>
    <t>3Q2024E</t>
  </si>
  <si>
    <t>4Q2024E</t>
  </si>
  <si>
    <t xml:space="preserve">Cost of Goods Sold  </t>
  </si>
  <si>
    <t xml:space="preserve">Gross Margin </t>
  </si>
  <si>
    <t>Balance Sheet</t>
  </si>
  <si>
    <t>Cash &amp; Cash Equivalents</t>
  </si>
  <si>
    <t>Investments</t>
  </si>
  <si>
    <t>Prepaid Expenses &amp; Other Current Assets</t>
  </si>
  <si>
    <t>Clinical Benefit, Safety, PK and PD Study of AT-007 in Pediatric Subjects With Classic Galactosemia</t>
  </si>
  <si>
    <t>Safety and Pharmacokinetics of AT-007 in Healthy Subjects and in Adult Subjects With Classic Galactosemia</t>
  </si>
  <si>
    <t xml:space="preserve">Phase </t>
  </si>
  <si>
    <t>1/2</t>
  </si>
  <si>
    <t>Status</t>
  </si>
  <si>
    <t>Results Posted</t>
  </si>
  <si>
    <t>3</t>
  </si>
  <si>
    <t>Completed; Results Pending</t>
  </si>
  <si>
    <t>Total Current Assets</t>
  </si>
  <si>
    <t>Operating lease right-of-use asset</t>
  </si>
  <si>
    <t>Security deposits &amp; leasehold improvements</t>
  </si>
  <si>
    <t>Total Assets</t>
  </si>
  <si>
    <t>Current portion of operating lease liabilities</t>
  </si>
  <si>
    <t>Accounts payable</t>
  </si>
  <si>
    <t>Accrued expenses &amp; other current liabilities</t>
  </si>
  <si>
    <t>Warrant liability</t>
  </si>
  <si>
    <t>Total Current Liabilities</t>
  </si>
  <si>
    <t>Noncurrent portion of operating lease liabilities</t>
  </si>
  <si>
    <t>Clinical holdback - long-term portion</t>
  </si>
  <si>
    <t>Total noncurrent liabilities</t>
  </si>
  <si>
    <t>Total Liabilities</t>
  </si>
  <si>
    <t>Preferred Stock</t>
  </si>
  <si>
    <t xml:space="preserve">Common Stock </t>
  </si>
  <si>
    <t>Accumulated other comprehensive  gain</t>
  </si>
  <si>
    <t>Accumulated deficit</t>
  </si>
  <si>
    <t>Total stockholders' equity</t>
  </si>
  <si>
    <t>Total liabilties &amp; stockholders' equity</t>
  </si>
  <si>
    <t>Total noncurrent assets</t>
  </si>
  <si>
    <t>Additional paid-in-capital</t>
  </si>
  <si>
    <t>P&amp;L GAAP</t>
  </si>
  <si>
    <t>Total Gross Income</t>
  </si>
  <si>
    <t>Valuation</t>
  </si>
  <si>
    <t>Last Share Price</t>
  </si>
  <si>
    <t>Basic Shares</t>
  </si>
  <si>
    <t>MC</t>
  </si>
  <si>
    <t>NTM Diluted Shares</t>
  </si>
  <si>
    <t>Debt</t>
  </si>
  <si>
    <t>Cash &amp; Equivalents</t>
  </si>
  <si>
    <t>Enterprise Value</t>
  </si>
  <si>
    <t>Discount</t>
  </si>
  <si>
    <t>^TNX</t>
  </si>
  <si>
    <t>ERP</t>
  </si>
  <si>
    <t>Terminal Growth Rate</t>
  </si>
  <si>
    <t>Enterprise Value ($m)</t>
  </si>
  <si>
    <t>Cash ($m)</t>
  </si>
  <si>
    <t>Equity Value ($m)</t>
  </si>
  <si>
    <t>Weighted-average common stock outstanding (m)</t>
  </si>
  <si>
    <t>Sensitivity Analysis</t>
  </si>
  <si>
    <t>rNPV Target</t>
  </si>
  <si>
    <t>Average Sale Price</t>
  </si>
  <si>
    <t>Patent Growth Rate</t>
  </si>
  <si>
    <t>Govorestat (AT-007)</t>
  </si>
  <si>
    <t>??</t>
  </si>
  <si>
    <t>Safety and Efficacy of AT-001 in Patients With Diabetic Cardiomyopathy</t>
  </si>
  <si>
    <t>4Q2026E</t>
  </si>
  <si>
    <t>3Q2031E</t>
  </si>
  <si>
    <t xml:space="preserve">Diabetic Cardiomyopathy </t>
  </si>
  <si>
    <t>Completion</t>
  </si>
  <si>
    <t>4Q2025E</t>
  </si>
  <si>
    <t>1Q2027E</t>
  </si>
  <si>
    <t>Total Risk-Adjusted Revenues</t>
  </si>
  <si>
    <t>Phase 3</t>
  </si>
  <si>
    <t>AT-001 Market Share Target</t>
  </si>
  <si>
    <t>AT-007 Market Share Target</t>
  </si>
  <si>
    <t>Success Probability</t>
  </si>
  <si>
    <t>Ongoing</t>
  </si>
  <si>
    <t>NASDAQGM: APLT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</si>
</sst>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0.0"/>
    <numFmt numFmtId="165" formatCode="0.0%"/>
    <numFmt numFmtId="166" formatCode="_(&quot;$&quot;* #,##0.0_);_(&quot;$&quot;* \(#,##0.0\);_(&quot;$&quot;* &quot;-&quot;??_);_(@_)"/>
  </numFmts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Helvetica Neue"/>
      <family val="2"/>
    </font>
    <font>
      <u/>
      <sz val="12"/>
      <color theme="10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0"/>
      <color theme="1"/>
      <name val="Helvetica"/>
      <family val="2"/>
    </font>
    <font>
      <sz val="10"/>
      <color theme="1"/>
      <name val="Helvetica"/>
      <family val="2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A2B9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68">
    <xf numFmtId="0" fontId="0" fillId="0" borderId="0" xfId="0"/>
    <xf numFmtId="0" fontId="3" fillId="0" borderId="0" xfId="0" applyFont="1"/>
    <xf numFmtId="0" fontId="2" fillId="0" borderId="0" xfId="0" applyFont="1"/>
    <xf numFmtId="9" fontId="0" fillId="0" borderId="0" xfId="0" applyNumberFormat="1"/>
    <xf numFmtId="6" fontId="0" fillId="0" borderId="0" xfId="0" applyNumberFormat="1"/>
    <xf numFmtId="0" fontId="0" fillId="2" borderId="0" xfId="0" applyFill="1"/>
    <xf numFmtId="0" fontId="2" fillId="2" borderId="0" xfId="0" applyFont="1" applyFill="1"/>
    <xf numFmtId="9" fontId="0" fillId="0" borderId="0" xfId="1" applyFont="1"/>
    <xf numFmtId="8" fontId="0" fillId="0" borderId="0" xfId="0" applyNumberFormat="1"/>
    <xf numFmtId="1" fontId="0" fillId="0" borderId="0" xfId="0" applyNumberFormat="1"/>
    <xf numFmtId="0" fontId="4" fillId="3" borderId="0" xfId="0" applyFont="1" applyFill="1"/>
    <xf numFmtId="0" fontId="0" fillId="3" borderId="0" xfId="0" applyFill="1"/>
    <xf numFmtId="0" fontId="5" fillId="3" borderId="0" xfId="0" applyFont="1" applyFill="1"/>
    <xf numFmtId="9" fontId="0" fillId="3" borderId="0" xfId="0" applyNumberFormat="1" applyFill="1"/>
    <xf numFmtId="6" fontId="0" fillId="3" borderId="0" xfId="0" applyNumberFormat="1" applyFill="1"/>
    <xf numFmtId="0" fontId="6" fillId="0" borderId="0" xfId="0" applyFont="1"/>
    <xf numFmtId="0" fontId="2" fillId="3" borderId="0" xfId="0" applyFont="1" applyFill="1"/>
    <xf numFmtId="0" fontId="6" fillId="3" borderId="0" xfId="0" applyFont="1" applyFill="1"/>
    <xf numFmtId="16" fontId="0" fillId="3" borderId="0" xfId="0" quotePrefix="1" applyNumberFormat="1" applyFill="1"/>
    <xf numFmtId="9" fontId="7" fillId="3" borderId="0" xfId="3" applyNumberFormat="1" applyFill="1"/>
    <xf numFmtId="0" fontId="7" fillId="0" borderId="0" xfId="3"/>
    <xf numFmtId="0" fontId="0" fillId="3" borderId="0" xfId="0" quotePrefix="1" applyFill="1"/>
    <xf numFmtId="0" fontId="7" fillId="3" borderId="0" xfId="3" applyFill="1"/>
    <xf numFmtId="0" fontId="8" fillId="2" borderId="0" xfId="0" applyFont="1" applyFill="1"/>
    <xf numFmtId="1" fontId="2" fillId="0" borderId="0" xfId="0" applyNumberFormat="1" applyFont="1"/>
    <xf numFmtId="2" fontId="0" fillId="0" borderId="0" xfId="0" applyNumberFormat="1"/>
    <xf numFmtId="0" fontId="9" fillId="3" borderId="0" xfId="0" applyFont="1" applyFill="1"/>
    <xf numFmtId="0" fontId="10" fillId="3" borderId="0" xfId="0" applyFont="1" applyFill="1"/>
    <xf numFmtId="8" fontId="10" fillId="3" borderId="0" xfId="0" applyNumberFormat="1" applyFont="1" applyFill="1"/>
    <xf numFmtId="164" fontId="10" fillId="3" borderId="0" xfId="0" applyNumberFormat="1" applyFont="1" applyFill="1"/>
    <xf numFmtId="1" fontId="10" fillId="3" borderId="0" xfId="0" applyNumberFormat="1" applyFont="1" applyFill="1"/>
    <xf numFmtId="9" fontId="10" fillId="3" borderId="0" xfId="0" applyNumberFormat="1" applyFont="1" applyFill="1"/>
    <xf numFmtId="0" fontId="10" fillId="3" borderId="0" xfId="0" quotePrefix="1" applyFont="1" applyFill="1"/>
    <xf numFmtId="0" fontId="9" fillId="2" borderId="0" xfId="0" applyFont="1" applyFill="1"/>
    <xf numFmtId="44" fontId="9" fillId="3" borderId="0" xfId="2" applyFont="1" applyFill="1" applyBorder="1"/>
    <xf numFmtId="1" fontId="0" fillId="3" borderId="3" xfId="0" applyNumberFormat="1" applyFill="1" applyBorder="1"/>
    <xf numFmtId="1" fontId="0" fillId="3" borderId="4" xfId="0" applyNumberFormat="1" applyFill="1" applyBorder="1"/>
    <xf numFmtId="1" fontId="0" fillId="3" borderId="0" xfId="0" applyNumberFormat="1" applyFill="1"/>
    <xf numFmtId="44" fontId="0" fillId="3" borderId="0" xfId="0" applyNumberFormat="1" applyFill="1"/>
    <xf numFmtId="165" fontId="0" fillId="3" borderId="0" xfId="0" applyNumberFormat="1" applyFill="1"/>
    <xf numFmtId="44" fontId="2" fillId="3" borderId="0" xfId="0" applyNumberFormat="1" applyFont="1" applyFill="1"/>
    <xf numFmtId="6" fontId="2" fillId="3" borderId="1" xfId="0" applyNumberFormat="1" applyFont="1" applyFill="1" applyBorder="1"/>
    <xf numFmtId="9" fontId="2" fillId="3" borderId="5" xfId="0" applyNumberFormat="1" applyFont="1" applyFill="1" applyBorder="1"/>
    <xf numFmtId="9" fontId="1" fillId="3" borderId="0" xfId="0" applyNumberFormat="1" applyFont="1" applyFill="1"/>
    <xf numFmtId="9" fontId="1" fillId="3" borderId="0" xfId="1" applyFont="1" applyFill="1"/>
    <xf numFmtId="9" fontId="2" fillId="3" borderId="1" xfId="0" applyNumberFormat="1" applyFont="1" applyFill="1" applyBorder="1"/>
    <xf numFmtId="0" fontId="0" fillId="3" borderId="7" xfId="0" applyFill="1" applyBorder="1"/>
    <xf numFmtId="0" fontId="0" fillId="0" borderId="1" xfId="0" applyBorder="1"/>
    <xf numFmtId="166" fontId="0" fillId="3" borderId="0" xfId="2" applyNumberFormat="1" applyFont="1" applyFill="1"/>
    <xf numFmtId="166" fontId="0" fillId="3" borderId="6" xfId="2" applyNumberFormat="1" applyFont="1" applyFill="1" applyBorder="1"/>
    <xf numFmtId="166" fontId="0" fillId="3" borderId="3" xfId="2" applyNumberFormat="1" applyFont="1" applyFill="1" applyBorder="1"/>
    <xf numFmtId="166" fontId="2" fillId="3" borderId="2" xfId="2" applyNumberFormat="1" applyFont="1" applyFill="1" applyBorder="1"/>
    <xf numFmtId="166" fontId="0" fillId="3" borderId="0" xfId="2" applyNumberFormat="1" applyFont="1" applyFill="1" applyBorder="1"/>
    <xf numFmtId="44" fontId="0" fillId="3" borderId="0" xfId="2" applyFont="1" applyFill="1" applyBorder="1"/>
    <xf numFmtId="44" fontId="0" fillId="3" borderId="6" xfId="2" applyFont="1" applyFill="1" applyBorder="1"/>
    <xf numFmtId="44" fontId="0" fillId="3" borderId="0" xfId="2" applyFont="1" applyFill="1"/>
    <xf numFmtId="44" fontId="0" fillId="3" borderId="3" xfId="2" applyFont="1" applyFill="1" applyBorder="1"/>
    <xf numFmtId="44" fontId="2" fillId="3" borderId="2" xfId="2" applyFont="1" applyFill="1" applyBorder="1"/>
    <xf numFmtId="165" fontId="2" fillId="3" borderId="5" xfId="0" applyNumberFormat="1" applyFont="1" applyFill="1" applyBorder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textRotation="90"/>
    </xf>
    <xf numFmtId="0" fontId="0" fillId="2" borderId="0" xfId="0" applyFill="1" applyAlignment="1">
      <alignment horizontal="center"/>
    </xf>
    <xf numFmtId="1" fontId="0" fillId="3" borderId="0" xfId="0" applyNumberFormat="1" applyFont="1" applyFill="1"/>
    <xf numFmtId="0" fontId="10" fillId="3" borderId="1" xfId="0" applyFont="1" applyFill="1" applyBorder="1"/>
    <xf numFmtId="1" fontId="0" fillId="3" borderId="3" xfId="0" applyNumberFormat="1" applyFont="1" applyFill="1" applyBorder="1"/>
    <xf numFmtId="1" fontId="0" fillId="3" borderId="4" xfId="0" applyNumberFormat="1" applyFont="1" applyFill="1" applyBorder="1"/>
    <xf numFmtId="0" fontId="0" fillId="3" borderId="0" xfId="0" applyFont="1" applyFill="1"/>
    <xf numFmtId="0" fontId="11" fillId="0" borderId="0" xfId="0" applyFont="1"/>
  </cellXfs>
  <cellStyles count="4">
    <cellStyle name="Currency" xfId="2" builtinId="4"/>
    <cellStyle name="Hyperlink" xfId="3" builtinId="8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99A2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linicaltrials.gov/study/NCT04083339" TargetMode="External"/><Relationship Id="rId2" Type="http://schemas.openxmlformats.org/officeDocument/2006/relationships/hyperlink" Target="https://classic.clinicaltrials.gov/ct2/show/record/NCT04902781?view=record" TargetMode="External"/><Relationship Id="rId1" Type="http://schemas.openxmlformats.org/officeDocument/2006/relationships/hyperlink" Target="https://classic.clinicaltrials.gov/ct2/history/NCT04117711?V_5&amp;embedded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58847-F4E3-2A4A-A975-92A199F8925A}">
  <dimension ref="B5:AE54"/>
  <sheetViews>
    <sheetView tabSelected="1" topLeftCell="A5" zoomScale="50" zoomScaleNormal="100" workbookViewId="0">
      <pane xSplit="1" ySplit="3" topLeftCell="B8" activePane="bottomRight" state="frozen"/>
      <selection activeCell="A5" sqref="A5"/>
      <selection pane="topRight" activeCell="B5" sqref="B5"/>
      <selection pane="bottomLeft" activeCell="A8" sqref="A8"/>
      <selection pane="bottomRight" activeCell="AD78" sqref="AD78"/>
    </sheetView>
  </sheetViews>
  <sheetFormatPr baseColWidth="10" defaultRowHeight="16" x14ac:dyDescent="0.2"/>
  <cols>
    <col min="1" max="1" width="10.83203125" style="11"/>
    <col min="2" max="2" width="23.6640625" style="11" bestFit="1" customWidth="1"/>
    <col min="3" max="3" width="15" style="11" bestFit="1" customWidth="1"/>
    <col min="4" max="4" width="13" style="11" bestFit="1" customWidth="1"/>
    <col min="5" max="14" width="10.83203125" style="11"/>
    <col min="15" max="15" width="10.83203125" style="46"/>
    <col min="16" max="18" width="10.83203125" style="11"/>
    <col min="19" max="19" width="14.5" style="11" customWidth="1"/>
    <col min="20" max="16384" width="10.83203125" style="11"/>
  </cols>
  <sheetData>
    <row r="5" spans="2:31" ht="31" x14ac:dyDescent="0.35">
      <c r="B5" s="10" t="s">
        <v>68</v>
      </c>
    </row>
    <row r="7" spans="2:31" ht="21" x14ac:dyDescent="0.25">
      <c r="B7" s="12" t="s">
        <v>176</v>
      </c>
      <c r="D7" s="12"/>
      <c r="Q7" s="12" t="s">
        <v>49</v>
      </c>
      <c r="S7" s="12"/>
    </row>
    <row r="8" spans="2:31" x14ac:dyDescent="0.2">
      <c r="B8" s="11" t="s">
        <v>69</v>
      </c>
      <c r="D8" s="11" t="s">
        <v>45</v>
      </c>
      <c r="Q8" s="11" t="s">
        <v>69</v>
      </c>
      <c r="S8" s="11" t="s">
        <v>181</v>
      </c>
    </row>
    <row r="9" spans="2:31" x14ac:dyDescent="0.2">
      <c r="B9" s="11" t="s">
        <v>70</v>
      </c>
      <c r="D9" s="13">
        <v>0.9</v>
      </c>
      <c r="Q9" s="11" t="s">
        <v>70</v>
      </c>
      <c r="S9" s="13">
        <v>0.4</v>
      </c>
    </row>
    <row r="10" spans="2:31" x14ac:dyDescent="0.2">
      <c r="B10" s="11" t="s">
        <v>72</v>
      </c>
      <c r="D10" s="13" t="s">
        <v>73</v>
      </c>
      <c r="Q10" s="11" t="s">
        <v>72</v>
      </c>
      <c r="S10" s="13" t="s">
        <v>186</v>
      </c>
    </row>
    <row r="11" spans="2:31" x14ac:dyDescent="0.2">
      <c r="B11" s="11" t="s">
        <v>5</v>
      </c>
      <c r="D11" s="13"/>
      <c r="S11" s="13"/>
    </row>
    <row r="12" spans="2:31" x14ac:dyDescent="0.2">
      <c r="B12" s="11" t="s">
        <v>127</v>
      </c>
      <c r="C12" s="18" t="s">
        <v>128</v>
      </c>
      <c r="D12" s="13"/>
      <c r="Q12" s="11" t="s">
        <v>127</v>
      </c>
      <c r="R12" s="18" t="s">
        <v>128</v>
      </c>
      <c r="S12" s="13"/>
    </row>
    <row r="13" spans="2:31" x14ac:dyDescent="0.2">
      <c r="B13" s="20" t="s">
        <v>126</v>
      </c>
      <c r="D13" s="19"/>
      <c r="Q13" t="s">
        <v>177</v>
      </c>
      <c r="S13" s="19"/>
    </row>
    <row r="14" spans="2:31" x14ac:dyDescent="0.2">
      <c r="B14" s="11" t="s">
        <v>129</v>
      </c>
      <c r="C14" s="11" t="s">
        <v>130</v>
      </c>
      <c r="D14" s="13"/>
      <c r="Q14" s="11" t="s">
        <v>129</v>
      </c>
      <c r="R14" s="11" t="s">
        <v>130</v>
      </c>
      <c r="S14" s="13"/>
    </row>
    <row r="15" spans="2:31" x14ac:dyDescent="0.2">
      <c r="D15" s="13"/>
      <c r="S15" s="13"/>
      <c r="Y15" s="6" t="s">
        <v>173</v>
      </c>
      <c r="Z15" s="61" t="s">
        <v>187</v>
      </c>
      <c r="AA15" s="61"/>
      <c r="AB15" s="61"/>
      <c r="AC15" s="61"/>
      <c r="AD15" s="61"/>
      <c r="AE15" s="59"/>
    </row>
    <row r="16" spans="2:31" x14ac:dyDescent="0.2">
      <c r="B16" s="11" t="s">
        <v>127</v>
      </c>
      <c r="C16" s="21" t="s">
        <v>131</v>
      </c>
      <c r="D16" s="13"/>
      <c r="Q16" s="11" t="s">
        <v>127</v>
      </c>
      <c r="R16" s="21" t="s">
        <v>131</v>
      </c>
      <c r="S16" s="13"/>
      <c r="Y16" s="40">
        <f>Valuation!$C$29</f>
        <v>2.4715740219688698</v>
      </c>
      <c r="Z16" s="39">
        <f>AA16-0.1</f>
        <v>4.9999999999999989E-2</v>
      </c>
      <c r="AA16" s="39">
        <f>AB16-0.1</f>
        <v>0.15</v>
      </c>
      <c r="AB16" s="58">
        <v>0.25</v>
      </c>
      <c r="AC16" s="13">
        <f>AB16+0.1</f>
        <v>0.35</v>
      </c>
      <c r="AD16" s="13">
        <f>AC16+0.1</f>
        <v>0.44999999999999996</v>
      </c>
      <c r="AE16" s="13"/>
    </row>
    <row r="17" spans="2:31" x14ac:dyDescent="0.2">
      <c r="B17" s="22" t="s">
        <v>125</v>
      </c>
      <c r="D17" s="13"/>
      <c r="Q17" s="22" t="s">
        <v>178</v>
      </c>
      <c r="S17" s="13"/>
      <c r="Y17" s="13">
        <v>0</v>
      </c>
      <c r="Z17" s="52">
        <f t="dataTable" ref="Z17:AD27" dt2D="1" dtr="1" r1="S44" r2="S9"/>
        <v>-8.8573614281767785</v>
      </c>
      <c r="AA17" s="52">
        <v>-8.8573614281767785</v>
      </c>
      <c r="AB17" s="49">
        <v>-8.8573614281767785</v>
      </c>
      <c r="AC17" s="52">
        <v>-8.8573614281767785</v>
      </c>
      <c r="AD17" s="48">
        <v>-8.8573614281767785</v>
      </c>
      <c r="AE17" s="48"/>
    </row>
    <row r="18" spans="2:31" x14ac:dyDescent="0.2">
      <c r="B18" s="17" t="s">
        <v>129</v>
      </c>
      <c r="C18" s="11" t="s">
        <v>132</v>
      </c>
      <c r="D18" s="13"/>
      <c r="Q18" s="17" t="s">
        <v>129</v>
      </c>
      <c r="R18" s="11" t="s">
        <v>190</v>
      </c>
      <c r="S18" s="13"/>
      <c r="Y18" s="13">
        <f>Y17+0.1</f>
        <v>0.1</v>
      </c>
      <c r="Z18" s="52">
        <v>-8.2909146556694946</v>
      </c>
      <c r="AA18" s="52">
        <v>-7.1580211106549312</v>
      </c>
      <c r="AB18" s="49">
        <v>-6.0251275656403669</v>
      </c>
      <c r="AC18" s="52">
        <v>-4.8922340206258008</v>
      </c>
      <c r="AD18" s="48">
        <v>-3.7593404756112356</v>
      </c>
      <c r="AE18" s="48"/>
    </row>
    <row r="19" spans="2:31" x14ac:dyDescent="0.2">
      <c r="B19" s="15"/>
      <c r="D19" s="13"/>
      <c r="Q19" s="15" t="s">
        <v>182</v>
      </c>
      <c r="R19" s="11" t="s">
        <v>183</v>
      </c>
      <c r="S19" s="13"/>
      <c r="Y19" s="13">
        <f t="shared" ref="Y19:Y27" si="0">Y18+0.1</f>
        <v>0.2</v>
      </c>
      <c r="Z19" s="52">
        <v>-7.7244678831622151</v>
      </c>
      <c r="AA19" s="52">
        <v>-5.4586807931330847</v>
      </c>
      <c r="AB19" s="49">
        <v>-3.1928937031039535</v>
      </c>
      <c r="AC19" s="52">
        <v>-0.92710661307482378</v>
      </c>
      <c r="AD19" s="48">
        <v>1.3386804769543053</v>
      </c>
      <c r="AE19" s="48"/>
    </row>
    <row r="20" spans="2:31" ht="16" customHeight="1" x14ac:dyDescent="0.2">
      <c r="X20" s="60" t="s">
        <v>189</v>
      </c>
      <c r="Y20" s="13">
        <f t="shared" si="0"/>
        <v>0.30000000000000004</v>
      </c>
      <c r="Z20" s="52">
        <v>-7.1580211106549312</v>
      </c>
      <c r="AA20" s="52">
        <v>-3.7593404756112347</v>
      </c>
      <c r="AB20" s="49">
        <v>-0.36065984056754147</v>
      </c>
      <c r="AC20" s="52">
        <v>3.0380207944761555</v>
      </c>
      <c r="AD20" s="48">
        <v>6.4367014295198492</v>
      </c>
      <c r="AE20" s="48"/>
    </row>
    <row r="21" spans="2:31" x14ac:dyDescent="0.2">
      <c r="B21" s="6" t="s">
        <v>71</v>
      </c>
      <c r="C21" s="5"/>
      <c r="D21" s="5"/>
      <c r="I21" s="6" t="s">
        <v>172</v>
      </c>
      <c r="J21" s="5"/>
      <c r="K21" s="5"/>
      <c r="Q21" s="6" t="s">
        <v>71</v>
      </c>
      <c r="R21" s="5"/>
      <c r="S21" s="5"/>
      <c r="X21" s="60"/>
      <c r="Y21" s="45">
        <f t="shared" si="0"/>
        <v>0.4</v>
      </c>
      <c r="Z21" s="50">
        <v>-6.591574338147649</v>
      </c>
      <c r="AA21" s="50">
        <v>-2.0600001580893883</v>
      </c>
      <c r="AB21" s="51">
        <v>2.4715740219688698</v>
      </c>
      <c r="AC21" s="48">
        <v>7.0031482020271314</v>
      </c>
      <c r="AD21" s="48">
        <v>11.534722382085388</v>
      </c>
      <c r="AE21" s="48"/>
    </row>
    <row r="22" spans="2:31" x14ac:dyDescent="0.2">
      <c r="B22" s="11" t="s">
        <v>78</v>
      </c>
      <c r="D22" s="11" t="s">
        <v>57</v>
      </c>
      <c r="Q22" s="11" t="s">
        <v>78</v>
      </c>
      <c r="S22" s="11" t="s">
        <v>179</v>
      </c>
      <c r="X22" s="60"/>
      <c r="Y22" s="13">
        <f t="shared" si="0"/>
        <v>0.5</v>
      </c>
      <c r="Z22" s="48">
        <v>-6.0251275656403669</v>
      </c>
      <c r="AA22" s="48">
        <v>-0.36065984056754191</v>
      </c>
      <c r="AB22" s="48">
        <v>5.3038078845052805</v>
      </c>
      <c r="AC22" s="48">
        <v>10.968275609578107</v>
      </c>
      <c r="AD22" s="48">
        <v>16.632743334650929</v>
      </c>
      <c r="AE22" s="48"/>
    </row>
    <row r="23" spans="2:31" x14ac:dyDescent="0.2">
      <c r="B23" s="11" t="s">
        <v>74</v>
      </c>
      <c r="D23" s="11" t="s">
        <v>75</v>
      </c>
      <c r="Q23" s="11" t="s">
        <v>74</v>
      </c>
      <c r="S23" s="11" t="s">
        <v>184</v>
      </c>
      <c r="X23" s="60"/>
      <c r="Y23" s="13">
        <f t="shared" si="0"/>
        <v>0.6</v>
      </c>
      <c r="Z23" s="48">
        <v>-5.4586807931330856</v>
      </c>
      <c r="AA23" s="48">
        <v>1.3386804769543057</v>
      </c>
      <c r="AB23" s="48">
        <v>8.136041747041693</v>
      </c>
      <c r="AC23" s="48">
        <v>14.933403017129086</v>
      </c>
      <c r="AD23" s="48">
        <v>21.73076428721647</v>
      </c>
      <c r="AE23" s="48"/>
    </row>
    <row r="24" spans="2:31" x14ac:dyDescent="0.2">
      <c r="B24" s="11" t="s">
        <v>79</v>
      </c>
      <c r="D24" s="11">
        <f>2037-2023</f>
        <v>14</v>
      </c>
      <c r="I24" s="6" t="s">
        <v>173</v>
      </c>
      <c r="J24" s="61" t="s">
        <v>188</v>
      </c>
      <c r="K24" s="61"/>
      <c r="L24" s="61"/>
      <c r="M24" s="61"/>
      <c r="N24" s="61"/>
      <c r="Q24" s="11" t="s">
        <v>79</v>
      </c>
      <c r="S24" s="11">
        <v>4</v>
      </c>
      <c r="X24" s="60"/>
      <c r="Y24" s="13">
        <f t="shared" si="0"/>
        <v>0.7</v>
      </c>
      <c r="Z24" s="48">
        <v>-4.8922340206258035</v>
      </c>
      <c r="AA24" s="48">
        <v>3.0380207944761528</v>
      </c>
      <c r="AB24" s="48">
        <v>10.968275609578104</v>
      </c>
      <c r="AC24" s="48">
        <v>18.898530424680057</v>
      </c>
      <c r="AD24" s="48">
        <v>26.828785239782015</v>
      </c>
      <c r="AE24" s="48"/>
    </row>
    <row r="25" spans="2:31" ht="16" customHeight="1" x14ac:dyDescent="0.2">
      <c r="B25" s="11" t="s">
        <v>80</v>
      </c>
      <c r="D25" s="11" t="s">
        <v>81</v>
      </c>
      <c r="H25" s="60" t="s">
        <v>174</v>
      </c>
      <c r="I25" s="40">
        <f>Valuation!$C$29</f>
        <v>2.4715740219688698</v>
      </c>
      <c r="J25" s="39">
        <f>K25-0.1</f>
        <v>0.20000000000000004</v>
      </c>
      <c r="K25" s="39">
        <f>L25-0.1</f>
        <v>0.30000000000000004</v>
      </c>
      <c r="L25" s="39">
        <f>M25-0.1</f>
        <v>0.4</v>
      </c>
      <c r="M25" s="42">
        <v>0.5</v>
      </c>
      <c r="N25" s="13">
        <f>M25+0.1</f>
        <v>0.6</v>
      </c>
      <c r="Q25" s="11" t="s">
        <v>80</v>
      </c>
      <c r="S25" s="11" t="s">
        <v>180</v>
      </c>
      <c r="X25" s="60"/>
      <c r="Y25" s="13">
        <f t="shared" si="0"/>
        <v>0.79999999999999993</v>
      </c>
      <c r="Z25" s="48">
        <v>-4.3257872481185204</v>
      </c>
      <c r="AA25" s="48">
        <v>4.7373611119979993</v>
      </c>
      <c r="AB25" s="48">
        <v>13.800509472114513</v>
      </c>
      <c r="AC25" s="48">
        <v>22.863657832231041</v>
      </c>
      <c r="AD25" s="48">
        <v>31.926806192347552</v>
      </c>
      <c r="AE25" s="48"/>
    </row>
    <row r="26" spans="2:31" x14ac:dyDescent="0.2">
      <c r="H26" s="60"/>
      <c r="I26" s="14">
        <f>I27-500</f>
        <v>1000</v>
      </c>
      <c r="J26" s="53">
        <f t="dataTable" ref="J26:N30" dt2D="1" dtr="1" r1="D44" r2="D42" ca="1"/>
        <v>0.27107854734194714</v>
      </c>
      <c r="K26" s="53">
        <v>0.51011075457351773</v>
      </c>
      <c r="L26" s="53">
        <v>0.74914296180508888</v>
      </c>
      <c r="M26" s="54">
        <v>0.98817516903666036</v>
      </c>
      <c r="N26" s="55">
        <v>1.227207376268231</v>
      </c>
      <c r="Y26" s="13">
        <f t="shared" si="0"/>
        <v>0.89999999999999991</v>
      </c>
      <c r="Z26" s="48">
        <v>-3.7593404756112365</v>
      </c>
      <c r="AA26" s="48">
        <v>6.4367014295198457</v>
      </c>
      <c r="AB26" s="48">
        <v>16.632743334650929</v>
      </c>
      <c r="AC26" s="48">
        <v>26.828785239782015</v>
      </c>
      <c r="AD26" s="48">
        <v>37.02482714491309</v>
      </c>
      <c r="AE26" s="48"/>
    </row>
    <row r="27" spans="2:31" x14ac:dyDescent="0.2">
      <c r="B27" s="6" t="s">
        <v>76</v>
      </c>
      <c r="C27" s="5"/>
      <c r="D27" s="5"/>
      <c r="H27" s="60"/>
      <c r="I27" s="14">
        <f>I28-500</f>
        <v>1500</v>
      </c>
      <c r="J27" s="53">
        <v>0.65422966296069585</v>
      </c>
      <c r="K27" s="53">
        <v>1.0127779738080531</v>
      </c>
      <c r="L27" s="53">
        <v>1.371326284655408</v>
      </c>
      <c r="M27" s="54">
        <v>1.7298745955027646</v>
      </c>
      <c r="N27" s="55">
        <v>2.0884229063501207</v>
      </c>
      <c r="Q27" s="6" t="s">
        <v>76</v>
      </c>
      <c r="R27" s="5"/>
      <c r="S27" s="5"/>
      <c r="Y27" s="13">
        <f t="shared" si="0"/>
        <v>0.99999999999999989</v>
      </c>
      <c r="Z27" s="48">
        <v>-3.1928937031039561</v>
      </c>
      <c r="AA27" s="48">
        <v>8.136041747041693</v>
      </c>
      <c r="AB27" s="48">
        <v>19.464977197187334</v>
      </c>
      <c r="AC27" s="48">
        <v>30.793912647332988</v>
      </c>
      <c r="AD27" s="48">
        <v>42.122848097478631</v>
      </c>
      <c r="AE27" s="48"/>
    </row>
    <row r="28" spans="2:31" x14ac:dyDescent="0.2">
      <c r="B28" s="11" t="s">
        <v>77</v>
      </c>
      <c r="D28" s="11">
        <v>3000</v>
      </c>
      <c r="H28" s="60"/>
      <c r="I28" s="41">
        <v>2000</v>
      </c>
      <c r="J28" s="56">
        <v>1.0373807785794447</v>
      </c>
      <c r="K28" s="56">
        <v>1.5154451930425867</v>
      </c>
      <c r="L28" s="56">
        <v>1.9935096075057281</v>
      </c>
      <c r="M28" s="57">
        <v>2.4715740219688698</v>
      </c>
      <c r="N28" s="55">
        <v>2.9496384364320116</v>
      </c>
      <c r="Q28" s="11" t="s">
        <v>77</v>
      </c>
      <c r="S28" s="11">
        <v>3000</v>
      </c>
    </row>
    <row r="29" spans="2:31" x14ac:dyDescent="0.2">
      <c r="B29" s="11" t="s">
        <v>82</v>
      </c>
      <c r="H29" s="60"/>
      <c r="I29" s="14">
        <f>I28+500</f>
        <v>2500</v>
      </c>
      <c r="J29" s="53">
        <v>1.4205318941981933</v>
      </c>
      <c r="K29" s="53">
        <v>2.0181124122771203</v>
      </c>
      <c r="L29" s="53">
        <v>2.6156929303560479</v>
      </c>
      <c r="M29" s="53">
        <v>3.2132734484349754</v>
      </c>
      <c r="N29" s="55">
        <v>3.8108539665139021</v>
      </c>
      <c r="Q29" s="11" t="s">
        <v>82</v>
      </c>
    </row>
    <row r="30" spans="2:31" x14ac:dyDescent="0.2">
      <c r="B30" s="11" t="s">
        <v>83</v>
      </c>
      <c r="D30" s="14">
        <v>1000</v>
      </c>
      <c r="H30" s="60"/>
      <c r="I30" s="14">
        <f>I29+500</f>
        <v>3000</v>
      </c>
      <c r="J30" s="55">
        <v>1.8036830098169427</v>
      </c>
      <c r="K30" s="55">
        <v>2.5207796315116555</v>
      </c>
      <c r="L30" s="55">
        <v>3.2378762532063674</v>
      </c>
      <c r="M30" s="55">
        <v>3.9549728749010802</v>
      </c>
      <c r="N30" s="55">
        <v>4.6720694965957916</v>
      </c>
      <c r="Q30" s="11" t="s">
        <v>83</v>
      </c>
      <c r="S30" s="14">
        <v>2000</v>
      </c>
    </row>
    <row r="31" spans="2:31" x14ac:dyDescent="0.2">
      <c r="B31" s="11" t="s">
        <v>84</v>
      </c>
      <c r="D31" s="14">
        <v>3000</v>
      </c>
      <c r="Q31" s="11" t="s">
        <v>84</v>
      </c>
      <c r="S31" s="14">
        <v>5000</v>
      </c>
    </row>
    <row r="32" spans="2:31" x14ac:dyDescent="0.2">
      <c r="D32" s="14"/>
      <c r="I32" s="6" t="s">
        <v>173</v>
      </c>
      <c r="J32" s="61" t="s">
        <v>188</v>
      </c>
      <c r="K32" s="61"/>
      <c r="L32" s="61"/>
      <c r="M32" s="61"/>
      <c r="N32" s="61"/>
      <c r="S32" s="14"/>
    </row>
    <row r="33" spans="2:19" x14ac:dyDescent="0.2">
      <c r="H33" s="60" t="s">
        <v>175</v>
      </c>
      <c r="I33" s="40">
        <f>Valuation!$C$29</f>
        <v>2.4715740219688698</v>
      </c>
      <c r="J33" s="39">
        <f>K33-0.1</f>
        <v>0.20000000000000004</v>
      </c>
      <c r="K33" s="39">
        <f>L33-0.1</f>
        <v>0.30000000000000004</v>
      </c>
      <c r="L33" s="39">
        <f>M33-0.1</f>
        <v>0.4</v>
      </c>
      <c r="M33" s="42">
        <v>0.5</v>
      </c>
      <c r="N33" s="13">
        <f>M33+0.1</f>
        <v>0.6</v>
      </c>
    </row>
    <row r="34" spans="2:19" x14ac:dyDescent="0.2">
      <c r="B34" s="6" t="s">
        <v>87</v>
      </c>
      <c r="C34" s="6"/>
      <c r="D34" s="6" t="s">
        <v>101</v>
      </c>
      <c r="H34" s="60"/>
      <c r="I34" s="44">
        <f>I35-0.05</f>
        <v>-7.0000000000000007E-2</v>
      </c>
      <c r="J34" s="55">
        <f t="dataTable" ref="J34:N38" dt2D="1" dtr="1" r1="D44" r2="D46" ca="1"/>
        <v>0.19169137451590657</v>
      </c>
      <c r="K34" s="55">
        <v>0.46615811761397041</v>
      </c>
      <c r="L34" s="55">
        <v>0.74062486071203515</v>
      </c>
      <c r="M34" s="54">
        <v>1.0150916038100974</v>
      </c>
      <c r="N34" s="55">
        <v>1.289558346908162</v>
      </c>
      <c r="Q34" s="6" t="s">
        <v>87</v>
      </c>
      <c r="R34" s="6"/>
      <c r="S34" s="6" t="s">
        <v>101</v>
      </c>
    </row>
    <row r="35" spans="2:19" x14ac:dyDescent="0.2">
      <c r="B35" s="11" t="s">
        <v>88</v>
      </c>
      <c r="D35" s="13">
        <v>0.3</v>
      </c>
      <c r="H35" s="60"/>
      <c r="I35" s="43">
        <f>I36-0.05</f>
        <v>-2.0000000000000004E-2</v>
      </c>
      <c r="J35" s="55">
        <v>0.50934132509678565</v>
      </c>
      <c r="K35" s="55">
        <v>0.8680104595754351</v>
      </c>
      <c r="L35" s="55">
        <v>1.2266795940540851</v>
      </c>
      <c r="M35" s="54">
        <v>1.5853487285327361</v>
      </c>
      <c r="N35" s="55">
        <v>1.9440178630113865</v>
      </c>
      <c r="Q35" s="11" t="s">
        <v>88</v>
      </c>
      <c r="S35" s="13">
        <v>0.3</v>
      </c>
    </row>
    <row r="36" spans="2:19" x14ac:dyDescent="0.2">
      <c r="B36" s="11" t="s">
        <v>89</v>
      </c>
      <c r="D36" s="13">
        <v>0.6</v>
      </c>
      <c r="H36" s="60"/>
      <c r="I36" s="45">
        <v>0.03</v>
      </c>
      <c r="J36" s="56">
        <v>1.0373807785794447</v>
      </c>
      <c r="K36" s="56">
        <v>1.5154451930425867</v>
      </c>
      <c r="L36" s="56">
        <v>1.9935096075057281</v>
      </c>
      <c r="M36" s="57">
        <v>2.4715740219688698</v>
      </c>
      <c r="N36" s="55">
        <v>2.9496384364320116</v>
      </c>
      <c r="Q36" s="11" t="s">
        <v>89</v>
      </c>
      <c r="S36" s="13">
        <v>0.6</v>
      </c>
    </row>
    <row r="37" spans="2:19" x14ac:dyDescent="0.2">
      <c r="B37" s="11" t="s">
        <v>90</v>
      </c>
      <c r="D37" s="13">
        <v>0.9</v>
      </c>
      <c r="H37" s="60"/>
      <c r="I37" s="13">
        <f>I36+0.05</f>
        <v>0.08</v>
      </c>
      <c r="J37" s="55">
        <v>1.9220192768634841</v>
      </c>
      <c r="K37" s="55">
        <v>2.5709316280667589</v>
      </c>
      <c r="L37" s="55">
        <v>3.2198439792700344</v>
      </c>
      <c r="M37" s="55">
        <v>3.868756330473309</v>
      </c>
      <c r="N37" s="55">
        <v>4.5176686816765859</v>
      </c>
      <c r="Q37" s="11" t="s">
        <v>90</v>
      </c>
      <c r="S37" s="13">
        <v>0.9</v>
      </c>
    </row>
    <row r="38" spans="2:19" x14ac:dyDescent="0.2">
      <c r="B38" s="11" t="s">
        <v>91</v>
      </c>
      <c r="D38" s="13">
        <v>1</v>
      </c>
      <c r="H38" s="60"/>
      <c r="I38" s="13">
        <f>I37+0.05</f>
        <v>0.13</v>
      </c>
      <c r="J38" s="55">
        <v>3.4038580827746241</v>
      </c>
      <c r="K38" s="55">
        <v>4.2987012088701393</v>
      </c>
      <c r="L38" s="55">
        <v>5.1935443349656536</v>
      </c>
      <c r="M38" s="55">
        <v>6.0883874610611706</v>
      </c>
      <c r="N38" s="55">
        <v>6.983230587156684</v>
      </c>
      <c r="Q38" s="11" t="s">
        <v>91</v>
      </c>
      <c r="S38" s="13">
        <v>1</v>
      </c>
    </row>
    <row r="40" spans="2:19" x14ac:dyDescent="0.2">
      <c r="B40" s="6" t="s">
        <v>92</v>
      </c>
      <c r="C40" s="6"/>
      <c r="D40" s="6"/>
      <c r="Q40" s="6" t="s">
        <v>92</v>
      </c>
      <c r="R40" s="6"/>
      <c r="S40" s="6"/>
    </row>
    <row r="41" spans="2:19" x14ac:dyDescent="0.2">
      <c r="B41" s="11" t="s">
        <v>93</v>
      </c>
      <c r="C41" s="11" t="s">
        <v>100</v>
      </c>
      <c r="D41" s="11">
        <v>3000</v>
      </c>
      <c r="Q41" s="11" t="s">
        <v>93</v>
      </c>
      <c r="R41" s="11" t="s">
        <v>100</v>
      </c>
      <c r="S41" s="11">
        <v>4000000</v>
      </c>
    </row>
    <row r="42" spans="2:19" x14ac:dyDescent="0.2">
      <c r="B42" s="11" t="s">
        <v>174</v>
      </c>
      <c r="C42" s="11" t="s">
        <v>99</v>
      </c>
      <c r="D42" s="14">
        <f>(D31+D30)/2</f>
        <v>2000</v>
      </c>
      <c r="Q42" s="11" t="s">
        <v>94</v>
      </c>
      <c r="R42" s="11" t="s">
        <v>99</v>
      </c>
      <c r="S42" s="14">
        <v>500</v>
      </c>
    </row>
    <row r="43" spans="2:19" x14ac:dyDescent="0.2">
      <c r="B43" s="11" t="s">
        <v>85</v>
      </c>
      <c r="C43" s="11" t="s">
        <v>98</v>
      </c>
      <c r="D43" s="14">
        <f>D42*D41</f>
        <v>6000000</v>
      </c>
      <c r="Q43" s="11" t="s">
        <v>85</v>
      </c>
      <c r="R43" s="11" t="s">
        <v>98</v>
      </c>
      <c r="S43" s="14">
        <f>S42*S41</f>
        <v>2000000000</v>
      </c>
    </row>
    <row r="44" spans="2:19" x14ac:dyDescent="0.2">
      <c r="B44" s="11" t="s">
        <v>96</v>
      </c>
      <c r="C44" s="13"/>
      <c r="D44" s="13">
        <v>0.5</v>
      </c>
      <c r="Q44" s="11" t="s">
        <v>96</v>
      </c>
      <c r="R44" s="13"/>
      <c r="S44" s="13">
        <v>0.25</v>
      </c>
    </row>
    <row r="45" spans="2:19" x14ac:dyDescent="0.2">
      <c r="B45" s="11" t="s">
        <v>95</v>
      </c>
      <c r="C45" s="11" t="s">
        <v>98</v>
      </c>
      <c r="D45" s="14">
        <f>D44*D43</f>
        <v>3000000</v>
      </c>
      <c r="Q45" s="11" t="s">
        <v>95</v>
      </c>
      <c r="R45" s="11" t="s">
        <v>98</v>
      </c>
      <c r="S45" s="14">
        <f>S44*S43</f>
        <v>500000000</v>
      </c>
    </row>
    <row r="46" spans="2:19" x14ac:dyDescent="0.2">
      <c r="B46" s="11" t="s">
        <v>86</v>
      </c>
      <c r="D46" s="13">
        <v>0.03</v>
      </c>
      <c r="Q46" s="11" t="s">
        <v>86</v>
      </c>
      <c r="S46" s="13">
        <v>0.03</v>
      </c>
    </row>
    <row r="48" spans="2:19" x14ac:dyDescent="0.2">
      <c r="B48" s="6" t="s">
        <v>97</v>
      </c>
      <c r="C48" s="5"/>
      <c r="D48" s="5"/>
      <c r="Q48" s="6" t="s">
        <v>97</v>
      </c>
      <c r="R48" s="5"/>
      <c r="S48" s="5"/>
    </row>
    <row r="49" spans="2:19" x14ac:dyDescent="0.2">
      <c r="B49" s="11" t="s">
        <v>93</v>
      </c>
      <c r="C49" s="11" t="s">
        <v>100</v>
      </c>
      <c r="D49" s="11">
        <v>3000</v>
      </c>
      <c r="Q49" s="11" t="s">
        <v>93</v>
      </c>
      <c r="R49" s="11" t="s">
        <v>100</v>
      </c>
      <c r="S49" s="11">
        <v>4000000</v>
      </c>
    </row>
    <row r="50" spans="2:19" ht="16" customHeight="1" x14ac:dyDescent="0.2">
      <c r="B50" s="11" t="s">
        <v>174</v>
      </c>
      <c r="C50" s="11" t="s">
        <v>99</v>
      </c>
      <c r="D50" s="14">
        <v>1500</v>
      </c>
      <c r="Q50" s="11" t="s">
        <v>94</v>
      </c>
      <c r="R50" s="11" t="s">
        <v>99</v>
      </c>
      <c r="S50" s="14">
        <f>S42/2</f>
        <v>250</v>
      </c>
    </row>
    <row r="51" spans="2:19" x14ac:dyDescent="0.2">
      <c r="B51" s="11" t="s">
        <v>85</v>
      </c>
      <c r="C51" s="11" t="s">
        <v>98</v>
      </c>
      <c r="D51" s="14">
        <f>D50*D49</f>
        <v>4500000</v>
      </c>
      <c r="Q51" s="11" t="s">
        <v>85</v>
      </c>
      <c r="R51" s="11" t="s">
        <v>98</v>
      </c>
      <c r="S51" s="14">
        <f>S50*S49</f>
        <v>1000000000</v>
      </c>
    </row>
    <row r="52" spans="2:19" x14ac:dyDescent="0.2">
      <c r="B52" s="11" t="s">
        <v>96</v>
      </c>
      <c r="C52" s="13"/>
      <c r="D52" s="13">
        <v>0.25</v>
      </c>
      <c r="Q52" s="11" t="s">
        <v>96</v>
      </c>
      <c r="R52" s="13"/>
      <c r="S52" s="13">
        <v>0.1</v>
      </c>
    </row>
    <row r="53" spans="2:19" x14ac:dyDescent="0.2">
      <c r="B53" s="11" t="s">
        <v>95</v>
      </c>
      <c r="C53" s="11" t="s">
        <v>98</v>
      </c>
      <c r="D53" s="14">
        <f>D52*D51</f>
        <v>1125000</v>
      </c>
      <c r="Q53" s="11" t="s">
        <v>95</v>
      </c>
      <c r="R53" s="11" t="s">
        <v>98</v>
      </c>
      <c r="S53" s="14">
        <f>S52*S51</f>
        <v>100000000</v>
      </c>
    </row>
    <row r="54" spans="2:19" x14ac:dyDescent="0.2">
      <c r="B54" s="11" t="s">
        <v>86</v>
      </c>
      <c r="D54" s="13">
        <v>-0.1</v>
      </c>
      <c r="Q54" s="11" t="s">
        <v>86</v>
      </c>
      <c r="S54" s="13">
        <v>-0.1</v>
      </c>
    </row>
  </sheetData>
  <mergeCells count="6">
    <mergeCell ref="H33:H38"/>
    <mergeCell ref="Z15:AD15"/>
    <mergeCell ref="X20:X25"/>
    <mergeCell ref="J24:N24"/>
    <mergeCell ref="H25:H30"/>
    <mergeCell ref="J32:N32"/>
  </mergeCells>
  <hyperlinks>
    <hyperlink ref="B13" r:id="rId1" xr:uid="{671B7884-8D00-B741-BEA0-5327B1DB523D}"/>
    <hyperlink ref="B17" r:id="rId2" xr:uid="{FF23C9AE-2BA0-7A49-A86F-168947182E69}"/>
    <hyperlink ref="Q17" r:id="rId3" xr:uid="{67564F3F-FF00-3C45-ABC6-8ABE0C1F81F4}"/>
  </hyperlinks>
  <pageMargins left="0.7" right="0.7" top="0.75" bottom="0.75" header="0.3" footer="0.3"/>
  <ignoredErrors>
    <ignoredError sqref="C1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EA5CE-9ADD-764B-99D3-298DB73B0F47}">
  <dimension ref="A1:AV118"/>
  <sheetViews>
    <sheetView zoomScale="64" workbookViewId="0">
      <pane xSplit="9" ySplit="3" topLeftCell="AC32" activePane="bottomRight" state="frozen"/>
      <selection pane="topRight" activeCell="J1" sqref="J1"/>
      <selection pane="bottomLeft" activeCell="A3" sqref="A3"/>
      <selection pane="bottomRight" activeCell="AI41" sqref="AI41"/>
    </sheetView>
  </sheetViews>
  <sheetFormatPr baseColWidth="10" defaultRowHeight="16" outlineLevelCol="1" x14ac:dyDescent="0.2"/>
  <cols>
    <col min="1" max="1" width="28.83203125" customWidth="1"/>
    <col min="2" max="9" width="0" hidden="1" customWidth="1" outlineLevel="1"/>
    <col min="10" max="10" width="10.83203125" collapsed="1"/>
    <col min="21" max="21" width="12" bestFit="1" customWidth="1"/>
    <col min="33" max="34" width="12.83203125" bestFit="1" customWidth="1"/>
    <col min="35" max="35" width="13.5" customWidth="1"/>
    <col min="36" max="36" width="13.1640625" customWidth="1"/>
    <col min="42" max="42" width="15.33203125" bestFit="1" customWidth="1"/>
  </cols>
  <sheetData>
    <row r="1" spans="1:48" ht="24" x14ac:dyDescent="0.3">
      <c r="A1" s="67" t="s">
        <v>37</v>
      </c>
    </row>
    <row r="2" spans="1:48" x14ac:dyDescent="0.2">
      <c r="A2" t="s">
        <v>191</v>
      </c>
    </row>
    <row r="3" spans="1:48" s="2" customFormat="1" x14ac:dyDescent="0.2">
      <c r="B3" s="2" t="s">
        <v>19</v>
      </c>
      <c r="C3" s="2" t="s">
        <v>18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28</v>
      </c>
      <c r="M3" s="2" t="s">
        <v>29</v>
      </c>
      <c r="N3" s="2" t="s">
        <v>30</v>
      </c>
      <c r="O3" s="2" t="s">
        <v>31</v>
      </c>
      <c r="P3" s="2" t="s">
        <v>32</v>
      </c>
      <c r="Q3" s="2" t="s">
        <v>33</v>
      </c>
      <c r="R3" s="2" t="s">
        <v>34</v>
      </c>
      <c r="S3" s="2" t="s">
        <v>35</v>
      </c>
      <c r="T3" s="2" t="s">
        <v>56</v>
      </c>
      <c r="U3" s="2" t="s">
        <v>57</v>
      </c>
      <c r="V3" s="2" t="s">
        <v>75</v>
      </c>
      <c r="W3" s="2" t="s">
        <v>116</v>
      </c>
      <c r="X3" s="2" t="s">
        <v>117</v>
      </c>
      <c r="Y3" s="2" t="s">
        <v>118</v>
      </c>
      <c r="AC3" s="2" t="s">
        <v>64</v>
      </c>
      <c r="AD3" s="2" t="s">
        <v>65</v>
      </c>
      <c r="AE3" s="2" t="s">
        <v>66</v>
      </c>
      <c r="AF3" s="2" t="s">
        <v>67</v>
      </c>
      <c r="AG3" s="2" t="s">
        <v>58</v>
      </c>
      <c r="AH3" s="2" t="s">
        <v>59</v>
      </c>
      <c r="AI3" s="2" t="s">
        <v>60</v>
      </c>
      <c r="AJ3" s="2" t="s">
        <v>61</v>
      </c>
      <c r="AK3" s="2" t="s">
        <v>62</v>
      </c>
      <c r="AL3" s="2" t="s">
        <v>63</v>
      </c>
      <c r="AM3" s="2" t="s">
        <v>105</v>
      </c>
      <c r="AN3" s="2" t="s">
        <v>106</v>
      </c>
      <c r="AO3" s="2" t="s">
        <v>107</v>
      </c>
      <c r="AP3" s="2" t="s">
        <v>108</v>
      </c>
      <c r="AQ3" s="2" t="s">
        <v>109</v>
      </c>
      <c r="AR3" s="2" t="s">
        <v>110</v>
      </c>
      <c r="AS3" s="2" t="s">
        <v>111</v>
      </c>
      <c r="AT3" s="2" t="s">
        <v>112</v>
      </c>
      <c r="AU3" s="2" t="s">
        <v>113</v>
      </c>
      <c r="AV3" s="2" t="s">
        <v>114</v>
      </c>
    </row>
    <row r="4" spans="1:48" s="6" customFormat="1" x14ac:dyDescent="0.2">
      <c r="A4" s="6" t="s">
        <v>46</v>
      </c>
    </row>
    <row r="5" spans="1:48" x14ac:dyDescent="0.2">
      <c r="A5" s="2" t="s">
        <v>44</v>
      </c>
    </row>
    <row r="6" spans="1:48" x14ac:dyDescent="0.2">
      <c r="A6" t="s">
        <v>45</v>
      </c>
    </row>
    <row r="7" spans="1:48" x14ac:dyDescent="0.2">
      <c r="A7" t="s">
        <v>115</v>
      </c>
      <c r="U7" s="4">
        <f>Main!D45*3/1000</f>
        <v>9000</v>
      </c>
      <c r="V7" s="4">
        <f>AH7/4</f>
        <v>9000</v>
      </c>
      <c r="W7" s="4">
        <f>AH7/4</f>
        <v>9000</v>
      </c>
      <c r="X7" s="4">
        <f>AH7/4</f>
        <v>9000</v>
      </c>
      <c r="Y7" s="4">
        <f>AH7/4</f>
        <v>9000</v>
      </c>
      <c r="AG7" s="4">
        <f>U7*4</f>
        <v>36000</v>
      </c>
      <c r="AH7" s="9">
        <f>Main!D45*12/1000</f>
        <v>36000</v>
      </c>
      <c r="AI7" s="9">
        <f>AH7*(1+Main!$D$46)</f>
        <v>37080</v>
      </c>
      <c r="AJ7" s="9">
        <f>AI7*(1+Main!$D$46)</f>
        <v>38192.400000000001</v>
      </c>
      <c r="AK7" s="9">
        <f>AJ7*(1+Main!$D$46)</f>
        <v>39338.172000000006</v>
      </c>
      <c r="AL7" s="9">
        <f>AK7*(1+Main!$D$46)</f>
        <v>40518.317160000006</v>
      </c>
      <c r="AM7" s="9">
        <f>AL7*(1+Main!$D$46)</f>
        <v>41733.866674800011</v>
      </c>
      <c r="AN7" s="9">
        <f>AM7*(1+Main!$D$46)</f>
        <v>42985.882675044013</v>
      </c>
      <c r="AO7" s="9">
        <f>AN7*(1+Main!$D$46)*AO8</f>
        <v>44275.459155295335</v>
      </c>
      <c r="AP7" s="9">
        <f>AO7*(1+Main!$D$46)*AP8</f>
        <v>45603.722929954194</v>
      </c>
      <c r="AQ7" s="9">
        <f>AP7*(1+Main!$D$46)*AQ8</f>
        <v>46971.834617852823</v>
      </c>
      <c r="AR7" s="9">
        <f>AQ7*(1+Main!$D$46)*AR8</f>
        <v>48380.98965638841</v>
      </c>
      <c r="AS7" s="9">
        <f>AR7*(1+Main!$D$46)*AS8</f>
        <v>49832.419346080067</v>
      </c>
      <c r="AT7" s="9">
        <f>AS7*(1+Main!$D$46)*AT8</f>
        <v>51327.391926462471</v>
      </c>
      <c r="AU7" s="9">
        <f>AT7*(1+Main!$D$46)*AU8</f>
        <v>52867.213684256349</v>
      </c>
      <c r="AV7" s="9">
        <f>AU7*(1+Main!$D$46)*AV8*Main!D52/Main!D44</f>
        <v>27226.615047392021</v>
      </c>
    </row>
    <row r="8" spans="1:48" x14ac:dyDescent="0.2">
      <c r="A8" t="s">
        <v>101</v>
      </c>
      <c r="U8" s="7">
        <v>0.05</v>
      </c>
      <c r="V8" s="3">
        <v>0.15</v>
      </c>
      <c r="W8" s="3">
        <v>0.25</v>
      </c>
      <c r="X8" s="3">
        <v>0.35</v>
      </c>
      <c r="Y8" s="3">
        <v>0.4</v>
      </c>
      <c r="AG8" s="3">
        <f>AG9/AG7</f>
        <v>1.2500000000000001E-2</v>
      </c>
      <c r="AH8" s="3">
        <f>AH9/AH7</f>
        <v>0.28749999999999998</v>
      </c>
      <c r="AI8" s="3">
        <f>Main!D36</f>
        <v>0.6</v>
      </c>
      <c r="AJ8" s="3">
        <f>Main!D37</f>
        <v>0.9</v>
      </c>
      <c r="AK8" s="3">
        <f>Main!D38</f>
        <v>1</v>
      </c>
      <c r="AL8" s="3">
        <v>1</v>
      </c>
      <c r="AM8" s="3">
        <v>1</v>
      </c>
      <c r="AN8" s="3">
        <v>1</v>
      </c>
      <c r="AO8" s="3">
        <v>1</v>
      </c>
      <c r="AP8" s="3">
        <v>1</v>
      </c>
      <c r="AQ8" s="3">
        <v>1</v>
      </c>
      <c r="AR8" s="3">
        <v>1</v>
      </c>
      <c r="AS8" s="3">
        <v>1</v>
      </c>
      <c r="AT8" s="3">
        <v>1</v>
      </c>
      <c r="AU8" s="3">
        <v>1</v>
      </c>
      <c r="AV8" s="3">
        <v>1</v>
      </c>
    </row>
    <row r="9" spans="1:48" x14ac:dyDescent="0.2">
      <c r="A9" t="s">
        <v>104</v>
      </c>
      <c r="U9" s="4">
        <f>U8*U7</f>
        <v>450</v>
      </c>
      <c r="V9" s="4">
        <f t="shared" ref="V9:Y9" si="0">V8*V7</f>
        <v>1350</v>
      </c>
      <c r="W9" s="4">
        <f t="shared" si="0"/>
        <v>2250</v>
      </c>
      <c r="X9" s="4">
        <f t="shared" si="0"/>
        <v>3150</v>
      </c>
      <c r="Y9" s="4">
        <f t="shared" si="0"/>
        <v>3600</v>
      </c>
      <c r="AG9" s="4">
        <f>U9</f>
        <v>450</v>
      </c>
      <c r="AH9" s="9">
        <f>SUM(V9:Y9)</f>
        <v>10350</v>
      </c>
      <c r="AI9" s="9">
        <f>AI8*AI7</f>
        <v>22248</v>
      </c>
      <c r="AJ9" s="9">
        <f t="shared" ref="AJ9:AV9" si="1">AJ8*AJ7</f>
        <v>34373.160000000003</v>
      </c>
      <c r="AK9" s="9">
        <f t="shared" si="1"/>
        <v>39338.172000000006</v>
      </c>
      <c r="AL9" s="9">
        <f t="shared" si="1"/>
        <v>40518.317160000006</v>
      </c>
      <c r="AM9" s="9">
        <f t="shared" si="1"/>
        <v>41733.866674800011</v>
      </c>
      <c r="AN9" s="9">
        <f t="shared" si="1"/>
        <v>42985.882675044013</v>
      </c>
      <c r="AO9" s="9">
        <f t="shared" si="1"/>
        <v>44275.459155295335</v>
      </c>
      <c r="AP9" s="9">
        <f t="shared" si="1"/>
        <v>45603.722929954194</v>
      </c>
      <c r="AQ9" s="9">
        <f t="shared" si="1"/>
        <v>46971.834617852823</v>
      </c>
      <c r="AR9" s="9">
        <f t="shared" si="1"/>
        <v>48380.98965638841</v>
      </c>
      <c r="AS9" s="9">
        <f t="shared" si="1"/>
        <v>49832.419346080067</v>
      </c>
      <c r="AT9" s="9">
        <f t="shared" si="1"/>
        <v>51327.391926462471</v>
      </c>
      <c r="AU9" s="9">
        <f t="shared" si="1"/>
        <v>52867.213684256349</v>
      </c>
      <c r="AV9" s="9">
        <f t="shared" si="1"/>
        <v>27226.615047392021</v>
      </c>
    </row>
    <row r="11" spans="1:48" x14ac:dyDescent="0.2">
      <c r="A11" t="s">
        <v>102</v>
      </c>
      <c r="U11" s="3">
        <f>Main!$D$9</f>
        <v>0.9</v>
      </c>
      <c r="V11" s="3">
        <f>Main!$D$9</f>
        <v>0.9</v>
      </c>
      <c r="W11" s="3">
        <f>Main!$D$9</f>
        <v>0.9</v>
      </c>
      <c r="X11" s="3">
        <f>Main!$D$9</f>
        <v>0.9</v>
      </c>
      <c r="Y11" s="3">
        <f>Main!$D$9</f>
        <v>0.9</v>
      </c>
      <c r="AG11" s="7">
        <f>AG12/AG9</f>
        <v>0.9</v>
      </c>
      <c r="AH11" s="7">
        <f>AH12/AH9</f>
        <v>0.9</v>
      </c>
      <c r="AI11" s="7">
        <f>Main!$D$9</f>
        <v>0.9</v>
      </c>
      <c r="AJ11" s="7">
        <f>Main!$D$9</f>
        <v>0.9</v>
      </c>
      <c r="AK11" s="7">
        <f>Main!$D$9</f>
        <v>0.9</v>
      </c>
      <c r="AL11" s="7">
        <f>Main!$D$9</f>
        <v>0.9</v>
      </c>
      <c r="AM11" s="7">
        <f>Main!$D$9</f>
        <v>0.9</v>
      </c>
      <c r="AN11" s="7">
        <f>Main!$D$9</f>
        <v>0.9</v>
      </c>
      <c r="AO11" s="7">
        <f>Main!$D$9</f>
        <v>0.9</v>
      </c>
      <c r="AP11" s="7">
        <f>Main!$D$9</f>
        <v>0.9</v>
      </c>
      <c r="AQ11" s="7">
        <f>Main!$D$9</f>
        <v>0.9</v>
      </c>
      <c r="AR11" s="7">
        <f>Main!$D$9</f>
        <v>0.9</v>
      </c>
      <c r="AS11" s="7">
        <f>Main!$D$9</f>
        <v>0.9</v>
      </c>
      <c r="AT11" s="7">
        <f>Main!$D$9</f>
        <v>0.9</v>
      </c>
      <c r="AU11" s="7">
        <f>Main!$D$9</f>
        <v>0.9</v>
      </c>
      <c r="AV11" s="7">
        <f>Main!$D$9</f>
        <v>0.9</v>
      </c>
    </row>
    <row r="12" spans="1:48" x14ac:dyDescent="0.2">
      <c r="A12" t="s">
        <v>103</v>
      </c>
      <c r="U12" s="4">
        <f>U11*U9</f>
        <v>405</v>
      </c>
      <c r="V12" s="4">
        <f t="shared" ref="V12:Y12" si="2">V11*V9</f>
        <v>1215</v>
      </c>
      <c r="W12" s="4">
        <f t="shared" si="2"/>
        <v>2025</v>
      </c>
      <c r="X12" s="4">
        <f t="shared" si="2"/>
        <v>2835</v>
      </c>
      <c r="Y12" s="4">
        <f t="shared" si="2"/>
        <v>3240</v>
      </c>
      <c r="AG12" s="4">
        <f>U12</f>
        <v>405</v>
      </c>
      <c r="AH12" s="9">
        <f>SUM(V12:Y12)</f>
        <v>9315</v>
      </c>
      <c r="AI12" s="9">
        <f t="shared" ref="AI12:AV12" si="3">AI11*AI9</f>
        <v>20023.2</v>
      </c>
      <c r="AJ12" s="9">
        <f t="shared" si="3"/>
        <v>30935.844000000005</v>
      </c>
      <c r="AK12" s="9">
        <f t="shared" si="3"/>
        <v>35404.354800000008</v>
      </c>
      <c r="AL12" s="9">
        <f t="shared" si="3"/>
        <v>36466.485444000005</v>
      </c>
      <c r="AM12" s="9">
        <f t="shared" si="3"/>
        <v>37560.480007320009</v>
      </c>
      <c r="AN12" s="9">
        <f t="shared" si="3"/>
        <v>38687.294407539615</v>
      </c>
      <c r="AO12" s="9">
        <f t="shared" si="3"/>
        <v>39847.913239765803</v>
      </c>
      <c r="AP12" s="9">
        <f t="shared" si="3"/>
        <v>41043.350636958778</v>
      </c>
      <c r="AQ12" s="9">
        <f t="shared" si="3"/>
        <v>42274.651156067543</v>
      </c>
      <c r="AR12" s="9">
        <f t="shared" si="3"/>
        <v>43542.890690749569</v>
      </c>
      <c r="AS12" s="9">
        <f t="shared" si="3"/>
        <v>44849.177411472061</v>
      </c>
      <c r="AT12" s="9">
        <f t="shared" si="3"/>
        <v>46194.652733816227</v>
      </c>
      <c r="AU12" s="9">
        <f t="shared" si="3"/>
        <v>47580.492315830714</v>
      </c>
      <c r="AV12" s="9">
        <f t="shared" si="3"/>
        <v>24503.95354265282</v>
      </c>
    </row>
    <row r="13" spans="1:48" x14ac:dyDescent="0.2">
      <c r="U13" s="4"/>
      <c r="V13" s="4"/>
      <c r="W13" s="4"/>
      <c r="X13" s="4"/>
      <c r="Y13" s="4"/>
    </row>
    <row r="14" spans="1:48" x14ac:dyDescent="0.2">
      <c r="A14" t="s">
        <v>47</v>
      </c>
    </row>
    <row r="16" spans="1:48" x14ac:dyDescent="0.2">
      <c r="A16" t="s">
        <v>48</v>
      </c>
    </row>
    <row r="19" spans="1:48" x14ac:dyDescent="0.2">
      <c r="A19" s="2" t="s">
        <v>49</v>
      </c>
    </row>
    <row r="20" spans="1:48" x14ac:dyDescent="0.2">
      <c r="A20" t="s">
        <v>50</v>
      </c>
    </row>
    <row r="21" spans="1:48" x14ac:dyDescent="0.2">
      <c r="A21" t="s">
        <v>115</v>
      </c>
      <c r="AG21" s="9">
        <f>Main!$S$45/1000</f>
        <v>500000</v>
      </c>
      <c r="AH21" s="9">
        <f>AG21*(1+Main!$S$46)</f>
        <v>515000</v>
      </c>
      <c r="AI21" s="9">
        <f>AH21*(1+Main!$S$46)</f>
        <v>530450</v>
      </c>
      <c r="AJ21" s="9">
        <f>AI21*(1+Main!$S$46)</f>
        <v>546363.5</v>
      </c>
      <c r="AK21" s="9">
        <f>AJ21*(1+Main!$S$46)</f>
        <v>562754.40500000003</v>
      </c>
      <c r="AL21" s="9">
        <f>AK21*(1+Main!$S$46)</f>
        <v>579637.03714999999</v>
      </c>
      <c r="AM21" s="9">
        <f>AL21*(1+Main!$S$46)</f>
        <v>597026.14826449996</v>
      </c>
      <c r="AN21" s="9">
        <f>AM21*(1+Main!$S$46)</f>
        <v>614936.93271243502</v>
      </c>
      <c r="AO21" s="9">
        <f>AN21*(1+Main!$S$46)</f>
        <v>633385.04069380811</v>
      </c>
      <c r="AP21" s="9">
        <f>AO21*(1+Main!$S$54)</f>
        <v>570046.5366244273</v>
      </c>
      <c r="AQ21" s="9">
        <f>AP21*(1+Main!$S$54)</f>
        <v>513041.88296198461</v>
      </c>
      <c r="AR21" s="9">
        <f>AQ21*(1+Main!$S$54)</f>
        <v>461737.69466578617</v>
      </c>
      <c r="AS21" s="9">
        <f>AR21*(1+Main!$S$54)</f>
        <v>415563.92519920756</v>
      </c>
      <c r="AT21" s="9">
        <f>AS21*(1+Main!$S$54)</f>
        <v>374007.53267928679</v>
      </c>
      <c r="AU21" s="9">
        <f>AT21*(1+Main!$S$54)</f>
        <v>336606.77941135812</v>
      </c>
      <c r="AV21" s="9">
        <f>AU21*(1+Main!$S$54)</f>
        <v>302946.10147022229</v>
      </c>
    </row>
    <row r="22" spans="1:48" x14ac:dyDescent="0.2">
      <c r="A22" t="s">
        <v>101</v>
      </c>
      <c r="AG22" s="3"/>
      <c r="AH22" s="3"/>
      <c r="AI22" s="3"/>
      <c r="AJ22" s="3"/>
      <c r="AK22" s="3">
        <f>Main!$S$35</f>
        <v>0.3</v>
      </c>
      <c r="AL22" s="3">
        <f>Main!$S$36</f>
        <v>0.6</v>
      </c>
      <c r="AM22" s="3">
        <f>Main!$S$37</f>
        <v>0.9</v>
      </c>
      <c r="AN22" s="3">
        <f>Main!$S$38</f>
        <v>1</v>
      </c>
      <c r="AO22" s="3">
        <v>1</v>
      </c>
      <c r="AP22" s="3">
        <v>1</v>
      </c>
      <c r="AQ22" s="3">
        <v>1</v>
      </c>
      <c r="AR22" s="3">
        <v>1</v>
      </c>
      <c r="AS22" s="3">
        <v>1</v>
      </c>
      <c r="AT22" s="3">
        <v>1</v>
      </c>
      <c r="AU22" s="3">
        <v>1</v>
      </c>
      <c r="AV22" s="3">
        <v>1</v>
      </c>
    </row>
    <row r="23" spans="1:48" x14ac:dyDescent="0.2">
      <c r="A23" t="s">
        <v>104</v>
      </c>
      <c r="AG23" s="9"/>
      <c r="AH23" s="9"/>
      <c r="AI23" s="9"/>
      <c r="AJ23" s="9"/>
      <c r="AK23" s="9">
        <f t="shared" ref="AK23:AV23" si="4">AK22*AK21</f>
        <v>168826.32149999999</v>
      </c>
      <c r="AL23" s="9">
        <f t="shared" si="4"/>
        <v>347782.22229000001</v>
      </c>
      <c r="AM23" s="9">
        <f t="shared" si="4"/>
        <v>537323.53343804996</v>
      </c>
      <c r="AN23" s="9">
        <f t="shared" si="4"/>
        <v>614936.93271243502</v>
      </c>
      <c r="AO23" s="9">
        <f t="shared" si="4"/>
        <v>633385.04069380811</v>
      </c>
      <c r="AP23" s="9">
        <f t="shared" si="4"/>
        <v>570046.5366244273</v>
      </c>
      <c r="AQ23" s="9">
        <f t="shared" si="4"/>
        <v>513041.88296198461</v>
      </c>
      <c r="AR23" s="9">
        <f t="shared" si="4"/>
        <v>461737.69466578617</v>
      </c>
      <c r="AS23" s="9">
        <f t="shared" si="4"/>
        <v>415563.92519920756</v>
      </c>
      <c r="AT23" s="9">
        <f t="shared" si="4"/>
        <v>374007.53267928679</v>
      </c>
      <c r="AU23" s="9">
        <f t="shared" si="4"/>
        <v>336606.77941135812</v>
      </c>
      <c r="AV23" s="9">
        <f t="shared" si="4"/>
        <v>302946.10147022229</v>
      </c>
    </row>
    <row r="25" spans="1:48" x14ac:dyDescent="0.2">
      <c r="A25" t="s">
        <v>102</v>
      </c>
      <c r="AG25" s="3"/>
      <c r="AK25" s="3">
        <f>Main!$S$9</f>
        <v>0.4</v>
      </c>
      <c r="AL25" s="3">
        <f>Main!$S$9</f>
        <v>0.4</v>
      </c>
      <c r="AM25" s="3">
        <f>Main!$S$9</f>
        <v>0.4</v>
      </c>
      <c r="AN25" s="3">
        <f>Main!$S$9</f>
        <v>0.4</v>
      </c>
      <c r="AO25" s="3">
        <f>Main!$S$9</f>
        <v>0.4</v>
      </c>
      <c r="AP25" s="3">
        <f>Main!$S$9</f>
        <v>0.4</v>
      </c>
      <c r="AQ25" s="3">
        <f>Main!$S$9</f>
        <v>0.4</v>
      </c>
      <c r="AR25" s="3">
        <f>Main!$S$9</f>
        <v>0.4</v>
      </c>
      <c r="AS25" s="3">
        <f>Main!$S$9</f>
        <v>0.4</v>
      </c>
      <c r="AT25" s="3">
        <f>Main!$S$9</f>
        <v>0.4</v>
      </c>
      <c r="AU25" s="3">
        <f>Main!$S$9</f>
        <v>0.4</v>
      </c>
      <c r="AV25" s="3">
        <f>Main!$S$9</f>
        <v>0.4</v>
      </c>
    </row>
    <row r="26" spans="1:48" x14ac:dyDescent="0.2">
      <c r="A26" t="s">
        <v>103</v>
      </c>
      <c r="AK26" s="9">
        <f>AK25*AK23</f>
        <v>67530.528600000005</v>
      </c>
      <c r="AL26" s="9">
        <f t="shared" ref="AL26:AV26" si="5">AL25*AL23</f>
        <v>139112.888916</v>
      </c>
      <c r="AM26" s="9">
        <f t="shared" si="5"/>
        <v>214929.41337522</v>
      </c>
      <c r="AN26" s="9">
        <f t="shared" si="5"/>
        <v>245974.77308497403</v>
      </c>
      <c r="AO26" s="9">
        <f t="shared" si="5"/>
        <v>253354.01627752325</v>
      </c>
      <c r="AP26" s="9">
        <f t="shared" si="5"/>
        <v>228018.61464977093</v>
      </c>
      <c r="AQ26" s="9">
        <f t="shared" si="5"/>
        <v>205216.75318479387</v>
      </c>
      <c r="AR26" s="9">
        <f t="shared" si="5"/>
        <v>184695.07786631447</v>
      </c>
      <c r="AS26" s="9">
        <f t="shared" si="5"/>
        <v>166225.57007968304</v>
      </c>
      <c r="AT26" s="9">
        <f t="shared" si="5"/>
        <v>149603.01307171473</v>
      </c>
      <c r="AU26" s="9">
        <f t="shared" si="5"/>
        <v>134642.71176454326</v>
      </c>
      <c r="AV26" s="9">
        <f t="shared" si="5"/>
        <v>121178.44058808892</v>
      </c>
    </row>
    <row r="28" spans="1:48" x14ac:dyDescent="0.2">
      <c r="A28" t="s">
        <v>51</v>
      </c>
    </row>
    <row r="30" spans="1:48" x14ac:dyDescent="0.2">
      <c r="A30" s="2" t="s">
        <v>52</v>
      </c>
    </row>
    <row r="31" spans="1:48" x14ac:dyDescent="0.2">
      <c r="A31" t="s">
        <v>53</v>
      </c>
    </row>
    <row r="34" spans="1:48" x14ac:dyDescent="0.2">
      <c r="A34" t="s">
        <v>36</v>
      </c>
      <c r="R34" s="1">
        <v>10660</v>
      </c>
      <c r="AG34">
        <f>R34</f>
        <v>10660</v>
      </c>
    </row>
    <row r="35" spans="1:48" x14ac:dyDescent="0.2">
      <c r="R35" s="1"/>
    </row>
    <row r="36" spans="1:48" s="6" customFormat="1" x14ac:dyDescent="0.2">
      <c r="A36" s="6" t="s">
        <v>154</v>
      </c>
      <c r="R36" s="23"/>
    </row>
    <row r="37" spans="1:48" x14ac:dyDescent="0.2">
      <c r="R37" s="1"/>
    </row>
    <row r="38" spans="1:48" s="2" customFormat="1" x14ac:dyDescent="0.2">
      <c r="A38" s="2" t="s">
        <v>185</v>
      </c>
      <c r="J38" s="2">
        <f t="shared" ref="J38:T38" si="6">J34</f>
        <v>0</v>
      </c>
      <c r="K38" s="2">
        <f t="shared" si="6"/>
        <v>0</v>
      </c>
      <c r="L38" s="2">
        <f t="shared" si="6"/>
        <v>0</v>
      </c>
      <c r="M38" s="2">
        <f t="shared" si="6"/>
        <v>0</v>
      </c>
      <c r="N38" s="2">
        <f t="shared" si="6"/>
        <v>0</v>
      </c>
      <c r="O38" s="2">
        <f t="shared" si="6"/>
        <v>0</v>
      </c>
      <c r="P38" s="2">
        <f t="shared" si="6"/>
        <v>0</v>
      </c>
      <c r="Q38" s="2">
        <f t="shared" si="6"/>
        <v>0</v>
      </c>
      <c r="R38" s="2">
        <f t="shared" si="6"/>
        <v>10660</v>
      </c>
      <c r="S38" s="2">
        <f t="shared" si="6"/>
        <v>0</v>
      </c>
      <c r="T38" s="2">
        <f t="shared" si="6"/>
        <v>0</v>
      </c>
      <c r="U38" s="24">
        <f>U34+U12</f>
        <v>405</v>
      </c>
      <c r="V38" s="24">
        <f>V34+V12</f>
        <v>1215</v>
      </c>
      <c r="W38" s="24">
        <f>W34+W12</f>
        <v>2025</v>
      </c>
      <c r="X38" s="24">
        <f>X34+X12</f>
        <v>2835</v>
      </c>
      <c r="Y38" s="24">
        <f>Y34+Y12</f>
        <v>3240</v>
      </c>
      <c r="AG38" s="24">
        <f>AG34+AG12+AG26</f>
        <v>11065</v>
      </c>
      <c r="AH38" s="24">
        <f t="shared" ref="AH38:AV38" si="7">AH34+AH12+AH26</f>
        <v>9315</v>
      </c>
      <c r="AI38" s="24">
        <f t="shared" si="7"/>
        <v>20023.2</v>
      </c>
      <c r="AJ38" s="24">
        <f t="shared" si="7"/>
        <v>30935.844000000005</v>
      </c>
      <c r="AK38" s="24">
        <f t="shared" si="7"/>
        <v>102934.88340000002</v>
      </c>
      <c r="AL38" s="24">
        <f t="shared" si="7"/>
        <v>175579.37436000002</v>
      </c>
      <c r="AM38" s="24">
        <f t="shared" si="7"/>
        <v>252489.89338254</v>
      </c>
      <c r="AN38" s="24">
        <f t="shared" si="7"/>
        <v>284662.06749251363</v>
      </c>
      <c r="AO38" s="24">
        <f t="shared" si="7"/>
        <v>293201.92951728904</v>
      </c>
      <c r="AP38" s="24">
        <f t="shared" si="7"/>
        <v>269061.96528672968</v>
      </c>
      <c r="AQ38" s="24">
        <f t="shared" si="7"/>
        <v>247491.40434086142</v>
      </c>
      <c r="AR38" s="24">
        <f t="shared" si="7"/>
        <v>228237.96855706404</v>
      </c>
      <c r="AS38" s="24">
        <f t="shared" si="7"/>
        <v>211074.74749115511</v>
      </c>
      <c r="AT38" s="24">
        <f t="shared" si="7"/>
        <v>195797.66580553097</v>
      </c>
      <c r="AU38" s="24">
        <f t="shared" si="7"/>
        <v>182223.20408037398</v>
      </c>
      <c r="AV38" s="24">
        <f t="shared" si="7"/>
        <v>145682.39413074174</v>
      </c>
    </row>
    <row r="39" spans="1:48" x14ac:dyDescent="0.2">
      <c r="R39" s="1"/>
    </row>
    <row r="40" spans="1:48" x14ac:dyDescent="0.2">
      <c r="A40" t="s">
        <v>119</v>
      </c>
      <c r="R40" s="1"/>
      <c r="U40" s="9">
        <f>U38*(1-U41)</f>
        <v>40.499999999999993</v>
      </c>
      <c r="V40" s="9">
        <f t="shared" ref="V40:Y40" si="8">V38*(1-V41)</f>
        <v>121.49999999999997</v>
      </c>
      <c r="W40" s="9">
        <f t="shared" si="8"/>
        <v>202.49999999999994</v>
      </c>
      <c r="X40" s="9">
        <f t="shared" si="8"/>
        <v>283.49999999999994</v>
      </c>
      <c r="Y40" s="9">
        <f t="shared" si="8"/>
        <v>323.99999999999994</v>
      </c>
      <c r="AG40" s="9">
        <f>SUM(R40:U40)</f>
        <v>40.499999999999993</v>
      </c>
      <c r="AH40" s="9">
        <f>SUM(V40:Y40)</f>
        <v>931.49999999999977</v>
      </c>
      <c r="AI40" s="9">
        <f t="shared" ref="AI40" si="9">AI38*(1-AI41)</f>
        <v>2002.3199999999997</v>
      </c>
      <c r="AJ40" s="9">
        <f t="shared" ref="AJ40" si="10">AJ38*(1-AJ41)</f>
        <v>3093.5843999999997</v>
      </c>
      <c r="AK40" s="9">
        <f t="shared" ref="AK40" si="11">AK38*(1-AK41)</f>
        <v>10293.48834</v>
      </c>
      <c r="AL40" s="9">
        <f t="shared" ref="AL40" si="12">AL38*(1-AL41)</f>
        <v>17557.937435999997</v>
      </c>
      <c r="AM40" s="9">
        <f t="shared" ref="AM40" si="13">AM38*(1-AM41)</f>
        <v>25248.989338253996</v>
      </c>
      <c r="AN40" s="9">
        <f t="shared" ref="AN40" si="14">AN38*(1-AN41)</f>
        <v>28466.206749251356</v>
      </c>
      <c r="AO40" s="9">
        <f t="shared" ref="AO40" si="15">AO38*(1-AO41)</f>
        <v>29320.192951728899</v>
      </c>
      <c r="AP40" s="9">
        <f t="shared" ref="AP40" si="16">AP38*(1-AP41)</f>
        <v>26906.196528672961</v>
      </c>
      <c r="AQ40" s="9">
        <f t="shared" ref="AQ40" si="17">AQ38*(1-AQ41)</f>
        <v>24749.140434086137</v>
      </c>
      <c r="AR40" s="9">
        <f t="shared" ref="AR40" si="18">AR38*(1-AR41)</f>
        <v>22823.796855706398</v>
      </c>
      <c r="AS40" s="9">
        <f t="shared" ref="AS40" si="19">AS38*(1-AS41)</f>
        <v>21107.474749115507</v>
      </c>
      <c r="AT40" s="9">
        <f t="shared" ref="AT40" si="20">AT38*(1-AT41)</f>
        <v>19579.766580553092</v>
      </c>
      <c r="AU40" s="9">
        <f t="shared" ref="AU40" si="21">AU38*(1-AU41)</f>
        <v>18222.320408037394</v>
      </c>
      <c r="AV40" s="9">
        <f t="shared" ref="AV40" si="22">AV38*(1-AV41)</f>
        <v>14568.23941307417</v>
      </c>
    </row>
    <row r="41" spans="1:48" x14ac:dyDescent="0.2">
      <c r="A41" t="s">
        <v>120</v>
      </c>
      <c r="R41" s="1"/>
      <c r="U41" s="3">
        <v>0.9</v>
      </c>
      <c r="V41" s="3">
        <v>0.9</v>
      </c>
      <c r="W41" s="3">
        <v>0.9</v>
      </c>
      <c r="X41" s="3">
        <v>0.9</v>
      </c>
      <c r="Y41" s="3">
        <v>0.9</v>
      </c>
      <c r="AG41" s="7">
        <f>AG42/AG38</f>
        <v>0.99633981021238138</v>
      </c>
      <c r="AH41" s="7">
        <f>AH42/AH38</f>
        <v>0.9</v>
      </c>
      <c r="AI41" s="7">
        <v>0.9</v>
      </c>
      <c r="AJ41" s="7">
        <v>0.9</v>
      </c>
      <c r="AK41" s="7">
        <v>0.9</v>
      </c>
      <c r="AL41" s="7">
        <v>0.9</v>
      </c>
      <c r="AM41" s="7">
        <v>0.9</v>
      </c>
      <c r="AN41" s="7">
        <v>0.9</v>
      </c>
      <c r="AO41" s="7">
        <v>0.9</v>
      </c>
      <c r="AP41" s="7">
        <v>0.9</v>
      </c>
      <c r="AQ41" s="7">
        <v>0.9</v>
      </c>
      <c r="AR41" s="7">
        <v>0.9</v>
      </c>
      <c r="AS41" s="7">
        <v>0.9</v>
      </c>
      <c r="AT41" s="7">
        <v>0.9</v>
      </c>
      <c r="AU41" s="7">
        <v>0.9</v>
      </c>
      <c r="AV41" s="7">
        <v>0.9</v>
      </c>
    </row>
    <row r="42" spans="1:48" x14ac:dyDescent="0.2">
      <c r="A42" s="2" t="s">
        <v>155</v>
      </c>
      <c r="J42">
        <f t="shared" ref="J42:S42" si="23">J38-J40</f>
        <v>0</v>
      </c>
      <c r="K42">
        <f t="shared" si="23"/>
        <v>0</v>
      </c>
      <c r="L42">
        <f t="shared" si="23"/>
        <v>0</v>
      </c>
      <c r="M42">
        <f t="shared" si="23"/>
        <v>0</v>
      </c>
      <c r="N42">
        <f t="shared" si="23"/>
        <v>0</v>
      </c>
      <c r="O42">
        <f t="shared" si="23"/>
        <v>0</v>
      </c>
      <c r="P42">
        <f t="shared" si="23"/>
        <v>0</v>
      </c>
      <c r="Q42">
        <f t="shared" si="23"/>
        <v>0</v>
      </c>
      <c r="R42">
        <f t="shared" si="23"/>
        <v>10660</v>
      </c>
      <c r="S42">
        <f t="shared" si="23"/>
        <v>0</v>
      </c>
      <c r="T42">
        <f t="shared" ref="T42:X42" si="24">T38-T40</f>
        <v>0</v>
      </c>
      <c r="U42" s="9">
        <f t="shared" si="24"/>
        <v>364.5</v>
      </c>
      <c r="V42" s="9">
        <f t="shared" si="24"/>
        <v>1093.5</v>
      </c>
      <c r="W42" s="9">
        <f t="shared" si="24"/>
        <v>1822.5</v>
      </c>
      <c r="X42" s="9">
        <f t="shared" si="24"/>
        <v>2551.5</v>
      </c>
      <c r="Y42" s="9">
        <f>Y38-Y40</f>
        <v>2916</v>
      </c>
      <c r="AG42" s="9">
        <f>AG38-AG40</f>
        <v>11024.5</v>
      </c>
      <c r="AH42" s="9">
        <f>AH38-AH40</f>
        <v>8383.5</v>
      </c>
      <c r="AI42" s="9">
        <f t="shared" ref="AI42:AV42" si="25">AI38-AI40</f>
        <v>18020.88</v>
      </c>
      <c r="AJ42" s="9">
        <f t="shared" si="25"/>
        <v>27842.259600000005</v>
      </c>
      <c r="AK42" s="9">
        <f t="shared" si="25"/>
        <v>92641.395060000024</v>
      </c>
      <c r="AL42" s="9">
        <f t="shared" si="25"/>
        <v>158021.43692400001</v>
      </c>
      <c r="AM42" s="9">
        <f t="shared" si="25"/>
        <v>227240.904044286</v>
      </c>
      <c r="AN42" s="9">
        <f t="shared" si="25"/>
        <v>256195.86074326228</v>
      </c>
      <c r="AO42" s="9">
        <f t="shared" si="25"/>
        <v>263881.73656556016</v>
      </c>
      <c r="AP42" s="9">
        <f t="shared" si="25"/>
        <v>242155.76875805671</v>
      </c>
      <c r="AQ42" s="9">
        <f t="shared" si="25"/>
        <v>222742.26390677528</v>
      </c>
      <c r="AR42" s="9">
        <f t="shared" si="25"/>
        <v>205414.17170135764</v>
      </c>
      <c r="AS42" s="9">
        <f t="shared" si="25"/>
        <v>189967.27274203961</v>
      </c>
      <c r="AT42" s="9">
        <f t="shared" si="25"/>
        <v>176217.89922497788</v>
      </c>
      <c r="AU42" s="9">
        <f t="shared" si="25"/>
        <v>164000.88367233658</v>
      </c>
      <c r="AV42" s="9">
        <f t="shared" si="25"/>
        <v>131114.15471766758</v>
      </c>
    </row>
    <row r="43" spans="1:48" x14ac:dyDescent="0.2">
      <c r="R43" s="1"/>
    </row>
    <row r="44" spans="1:48" x14ac:dyDescent="0.2">
      <c r="A44" s="2" t="s">
        <v>41</v>
      </c>
    </row>
    <row r="45" spans="1:48" x14ac:dyDescent="0.2">
      <c r="A45" s="2"/>
    </row>
    <row r="46" spans="1:48" x14ac:dyDescent="0.2">
      <c r="A46" t="s">
        <v>7</v>
      </c>
      <c r="J46" s="1">
        <v>6454</v>
      </c>
      <c r="K46" s="1">
        <v>10172</v>
      </c>
      <c r="L46" s="1">
        <v>11778</v>
      </c>
      <c r="M46">
        <f t="shared" ref="M46:M50" si="26">AE46-L46-K46-J46</f>
        <v>11919</v>
      </c>
      <c r="N46" s="1">
        <v>11528</v>
      </c>
      <c r="O46" s="1">
        <v>12402</v>
      </c>
      <c r="P46" s="1">
        <v>10035</v>
      </c>
      <c r="Q46">
        <f t="shared" ref="Q46:Q50" si="27">AF46-P46-O46-N46</f>
        <v>8963</v>
      </c>
      <c r="R46" s="1">
        <v>11816</v>
      </c>
      <c r="S46" s="1">
        <v>8744</v>
      </c>
      <c r="T46" s="9">
        <f>P46*1.5</f>
        <v>15052.5</v>
      </c>
      <c r="U46" s="9">
        <f t="shared" ref="U46:W46" si="28">Q46*1.5</f>
        <v>13444.5</v>
      </c>
      <c r="V46" s="9">
        <f t="shared" si="28"/>
        <v>17724</v>
      </c>
      <c r="W46" s="9">
        <f t="shared" si="28"/>
        <v>13116</v>
      </c>
      <c r="X46" s="9">
        <f>T46*1.25</f>
        <v>18815.625</v>
      </c>
      <c r="Y46" s="9">
        <f>U46*1.25</f>
        <v>16805.625</v>
      </c>
      <c r="Z46" s="1"/>
      <c r="AC46" s="1">
        <v>17436</v>
      </c>
      <c r="AD46" s="1">
        <v>28736</v>
      </c>
      <c r="AE46" s="1">
        <v>40323</v>
      </c>
      <c r="AF46" s="1">
        <v>42928</v>
      </c>
      <c r="AG46" s="9">
        <f>SUM(R46:U46)</f>
        <v>49057</v>
      </c>
      <c r="AH46" s="9">
        <f>SUM(V46:Y46)</f>
        <v>66461.25</v>
      </c>
      <c r="AI46" s="9">
        <f>AH46*0.95</f>
        <v>63138.1875</v>
      </c>
      <c r="AJ46" s="9">
        <f t="shared" ref="AJ46:AO46" si="29">AI46*0.95</f>
        <v>59981.278124999997</v>
      </c>
      <c r="AK46" s="9">
        <f t="shared" si="29"/>
        <v>56982.214218749992</v>
      </c>
      <c r="AL46" s="9">
        <f t="shared" si="29"/>
        <v>54133.103507812491</v>
      </c>
      <c r="AM46" s="9">
        <f t="shared" si="29"/>
        <v>51426.448332421867</v>
      </c>
      <c r="AN46" s="9">
        <f t="shared" si="29"/>
        <v>48855.125915800774</v>
      </c>
      <c r="AO46" s="9">
        <f t="shared" si="29"/>
        <v>46412.369620010737</v>
      </c>
      <c r="AP46" s="9">
        <f>AO46</f>
        <v>46412.369620010737</v>
      </c>
      <c r="AQ46" s="9">
        <f t="shared" ref="AQ46:AV46" si="30">AP46</f>
        <v>46412.369620010737</v>
      </c>
      <c r="AR46" s="9">
        <f t="shared" si="30"/>
        <v>46412.369620010737</v>
      </c>
      <c r="AS46" s="9">
        <f t="shared" si="30"/>
        <v>46412.369620010737</v>
      </c>
      <c r="AT46" s="9">
        <f t="shared" si="30"/>
        <v>46412.369620010737</v>
      </c>
      <c r="AU46" s="9">
        <f t="shared" si="30"/>
        <v>46412.369620010737</v>
      </c>
      <c r="AV46" s="9">
        <f t="shared" si="30"/>
        <v>46412.369620010737</v>
      </c>
    </row>
    <row r="47" spans="1:48" x14ac:dyDescent="0.2">
      <c r="A47" t="s">
        <v>8</v>
      </c>
      <c r="J47" s="1">
        <v>5820</v>
      </c>
      <c r="K47" s="1">
        <v>2316</v>
      </c>
      <c r="L47" s="1">
        <v>3172</v>
      </c>
      <c r="M47">
        <f t="shared" si="26"/>
        <v>602</v>
      </c>
      <c r="N47" s="1">
        <v>231</v>
      </c>
      <c r="O47" s="1">
        <v>136</v>
      </c>
      <c r="P47" s="1">
        <v>236</v>
      </c>
      <c r="Q47">
        <f t="shared" si="27"/>
        <v>354</v>
      </c>
      <c r="R47" s="1">
        <v>1271</v>
      </c>
      <c r="S47" s="1">
        <v>540</v>
      </c>
      <c r="T47">
        <f>P47*1.5</f>
        <v>354</v>
      </c>
      <c r="U47">
        <f t="shared" ref="U47:Y47" si="31">Q47*1.5</f>
        <v>531</v>
      </c>
      <c r="V47" s="9">
        <f t="shared" si="31"/>
        <v>1906.5</v>
      </c>
      <c r="W47">
        <f t="shared" si="31"/>
        <v>810</v>
      </c>
      <c r="X47">
        <f t="shared" si="31"/>
        <v>531</v>
      </c>
      <c r="Y47" s="9">
        <f t="shared" si="31"/>
        <v>796.5</v>
      </c>
      <c r="Z47" s="1"/>
      <c r="AC47" s="1">
        <v>9069</v>
      </c>
      <c r="AD47" s="1">
        <v>24424</v>
      </c>
      <c r="AE47" s="1">
        <v>11910</v>
      </c>
      <c r="AF47" s="1">
        <v>957</v>
      </c>
      <c r="AG47" s="9">
        <f t="shared" ref="AG47:AG50" si="32">SUM(R47:U47)</f>
        <v>2696</v>
      </c>
      <c r="AH47" s="9">
        <f t="shared" ref="AH47:AH50" si="33">SUM(V47:Y47)</f>
        <v>4044</v>
      </c>
      <c r="AI47" s="9">
        <f t="shared" ref="AI47:AU50" si="34">AH47*1.03</f>
        <v>4165.32</v>
      </c>
      <c r="AJ47" s="9">
        <f t="shared" si="34"/>
        <v>4290.2795999999998</v>
      </c>
      <c r="AK47" s="9">
        <f t="shared" si="34"/>
        <v>4418.9879879999999</v>
      </c>
      <c r="AL47" s="9">
        <f t="shared" si="34"/>
        <v>4551.5576276399997</v>
      </c>
      <c r="AM47" s="9">
        <f t="shared" si="34"/>
        <v>4688.1043564692</v>
      </c>
      <c r="AN47" s="9">
        <f t="shared" si="34"/>
        <v>4828.7474871632758</v>
      </c>
      <c r="AO47" s="9">
        <f t="shared" si="34"/>
        <v>4973.6099117781741</v>
      </c>
      <c r="AP47" s="9">
        <f t="shared" si="34"/>
        <v>5122.8182091315193</v>
      </c>
      <c r="AQ47" s="9">
        <f t="shared" si="34"/>
        <v>5276.502755405465</v>
      </c>
      <c r="AR47" s="9">
        <f t="shared" si="34"/>
        <v>5434.7978380676295</v>
      </c>
      <c r="AS47" s="9">
        <f t="shared" si="34"/>
        <v>5597.8417732096586</v>
      </c>
      <c r="AT47" s="9">
        <f t="shared" si="34"/>
        <v>5765.7770264059482</v>
      </c>
      <c r="AU47" s="9">
        <f t="shared" si="34"/>
        <v>5938.7503371981265</v>
      </c>
      <c r="AV47" s="9">
        <f t="shared" ref="AV47" si="35">AU47*1.03</f>
        <v>6116.9128473140709</v>
      </c>
    </row>
    <row r="48" spans="1:48" x14ac:dyDescent="0.2">
      <c r="A48" t="s">
        <v>9</v>
      </c>
      <c r="J48" s="1">
        <v>1092</v>
      </c>
      <c r="K48" s="1">
        <v>1270</v>
      </c>
      <c r="L48" s="1">
        <v>1368</v>
      </c>
      <c r="M48">
        <f t="shared" si="26"/>
        <v>1799</v>
      </c>
      <c r="N48" s="1">
        <v>1937</v>
      </c>
      <c r="O48" s="1">
        <v>1578</v>
      </c>
      <c r="P48" s="1">
        <v>1416</v>
      </c>
      <c r="Q48">
        <f t="shared" si="27"/>
        <v>1717</v>
      </c>
      <c r="R48" s="1">
        <v>1700</v>
      </c>
      <c r="S48" s="1">
        <v>1408</v>
      </c>
      <c r="T48" s="9">
        <f>P48*1.05</f>
        <v>1486.8</v>
      </c>
      <c r="U48" s="9">
        <f t="shared" ref="U48" si="36">Q48*1.05</f>
        <v>1802.8500000000001</v>
      </c>
      <c r="V48" s="9">
        <f t="shared" ref="V48" si="37">R48*1.05</f>
        <v>1785</v>
      </c>
      <c r="W48" s="9">
        <f t="shared" ref="W48" si="38">S48*1.05</f>
        <v>1478.4</v>
      </c>
      <c r="X48" s="9">
        <f t="shared" ref="X48" si="39">T48*1.05</f>
        <v>1561.14</v>
      </c>
      <c r="Y48" s="9">
        <f t="shared" ref="Y48" si="40">U48*1.05</f>
        <v>1892.9925000000003</v>
      </c>
      <c r="Z48" s="1"/>
      <c r="AC48" s="1">
        <v>2728</v>
      </c>
      <c r="AD48" s="1">
        <v>3351</v>
      </c>
      <c r="AE48" s="1">
        <v>5529</v>
      </c>
      <c r="AF48" s="1">
        <v>6648</v>
      </c>
      <c r="AG48" s="9">
        <f t="shared" si="32"/>
        <v>6397.6500000000005</v>
      </c>
      <c r="AH48" s="9">
        <f t="shared" si="33"/>
        <v>6717.5325000000003</v>
      </c>
      <c r="AI48" s="9">
        <f t="shared" si="34"/>
        <v>6919.0584750000007</v>
      </c>
      <c r="AJ48" s="9">
        <f t="shared" si="34"/>
        <v>7126.6302292500013</v>
      </c>
      <c r="AK48" s="9">
        <f t="shared" si="34"/>
        <v>7340.4291361275018</v>
      </c>
      <c r="AL48" s="9">
        <f t="shared" si="34"/>
        <v>7560.642010211327</v>
      </c>
      <c r="AM48" s="9">
        <f t="shared" si="34"/>
        <v>7787.4612705176669</v>
      </c>
      <c r="AN48" s="9">
        <f t="shared" si="34"/>
        <v>8021.0851086331968</v>
      </c>
      <c r="AO48" s="9">
        <f t="shared" si="34"/>
        <v>8261.7176618921931</v>
      </c>
      <c r="AP48" s="9">
        <f t="shared" si="34"/>
        <v>8509.5691917489585</v>
      </c>
      <c r="AQ48" s="9">
        <f t="shared" si="34"/>
        <v>8764.8562675014273</v>
      </c>
      <c r="AR48" s="9">
        <f t="shared" si="34"/>
        <v>9027.8019555264709</v>
      </c>
      <c r="AS48" s="9">
        <f t="shared" si="34"/>
        <v>9298.6360141922651</v>
      </c>
      <c r="AT48" s="9">
        <f t="shared" si="34"/>
        <v>9577.5950946180328</v>
      </c>
      <c r="AU48" s="9">
        <f t="shared" si="34"/>
        <v>9864.9229474565745</v>
      </c>
      <c r="AV48" s="9">
        <f t="shared" ref="AV48" si="41">AU48*1.03</f>
        <v>10160.870635880272</v>
      </c>
    </row>
    <row r="49" spans="1:48" x14ac:dyDescent="0.2">
      <c r="A49" t="s">
        <v>10</v>
      </c>
      <c r="J49" s="1">
        <v>799</v>
      </c>
      <c r="K49" s="1">
        <v>533</v>
      </c>
      <c r="L49" s="1">
        <v>642</v>
      </c>
      <c r="M49">
        <f t="shared" si="26"/>
        <v>785</v>
      </c>
      <c r="N49" s="1">
        <v>856</v>
      </c>
      <c r="O49" s="1">
        <v>788</v>
      </c>
      <c r="P49" s="1">
        <v>1178</v>
      </c>
      <c r="Q49">
        <f t="shared" si="27"/>
        <v>797</v>
      </c>
      <c r="R49" s="1">
        <v>862</v>
      </c>
      <c r="S49" s="1">
        <v>752</v>
      </c>
      <c r="T49" s="9">
        <f t="shared" ref="T49" si="42">P49*1.05</f>
        <v>1236.9000000000001</v>
      </c>
      <c r="U49" s="9">
        <f t="shared" ref="U49:U50" si="43">Q49*1.05</f>
        <v>836.85</v>
      </c>
      <c r="V49" s="9">
        <f t="shared" ref="V49:V50" si="44">R49*1.05</f>
        <v>905.1</v>
      </c>
      <c r="W49" s="9">
        <f t="shared" ref="W49:W50" si="45">S49*1.05</f>
        <v>789.6</v>
      </c>
      <c r="X49" s="9">
        <f t="shared" ref="X49:X50" si="46">T49*1.05</f>
        <v>1298.7450000000001</v>
      </c>
      <c r="Y49" s="9">
        <f t="shared" ref="Y49:Y50" si="47">U49*1.05</f>
        <v>878.69250000000011</v>
      </c>
      <c r="Z49" s="1"/>
      <c r="AC49" s="1">
        <v>2762</v>
      </c>
      <c r="AD49" s="1">
        <v>2580</v>
      </c>
      <c r="AE49" s="1">
        <v>2759</v>
      </c>
      <c r="AF49" s="1">
        <v>3619</v>
      </c>
      <c r="AG49" s="9">
        <f t="shared" si="32"/>
        <v>3687.75</v>
      </c>
      <c r="AH49" s="9">
        <f t="shared" si="33"/>
        <v>3872.1375000000003</v>
      </c>
      <c r="AI49" s="9">
        <f t="shared" si="34"/>
        <v>3988.3016250000005</v>
      </c>
      <c r="AJ49" s="9">
        <f t="shared" si="34"/>
        <v>4107.9506737500005</v>
      </c>
      <c r="AK49" s="9">
        <f t="shared" si="34"/>
        <v>4231.1891939625002</v>
      </c>
      <c r="AL49" s="9">
        <f t="shared" si="34"/>
        <v>4358.1248697813753</v>
      </c>
      <c r="AM49" s="9">
        <f t="shared" si="34"/>
        <v>4488.8686158748169</v>
      </c>
      <c r="AN49" s="9">
        <f t="shared" si="34"/>
        <v>4623.5346743510618</v>
      </c>
      <c r="AO49" s="9">
        <f t="shared" si="34"/>
        <v>4762.2407145815941</v>
      </c>
      <c r="AP49" s="9">
        <f t="shared" si="34"/>
        <v>4905.1079360190424</v>
      </c>
      <c r="AQ49" s="9">
        <f t="shared" si="34"/>
        <v>5052.2611740996135</v>
      </c>
      <c r="AR49" s="9">
        <f t="shared" si="34"/>
        <v>5203.8290093226024</v>
      </c>
      <c r="AS49" s="9">
        <f t="shared" si="34"/>
        <v>5359.9438796022805</v>
      </c>
      <c r="AT49" s="9">
        <f t="shared" si="34"/>
        <v>5520.7421959903495</v>
      </c>
      <c r="AU49" s="9">
        <f t="shared" si="34"/>
        <v>5686.36446187006</v>
      </c>
      <c r="AV49" s="9">
        <f t="shared" ref="AV49" si="48">AU49*1.03</f>
        <v>5856.9553957261624</v>
      </c>
    </row>
    <row r="50" spans="1:48" x14ac:dyDescent="0.2">
      <c r="A50" t="s">
        <v>11</v>
      </c>
      <c r="J50" s="1">
        <v>283</v>
      </c>
      <c r="K50" s="1">
        <v>511</v>
      </c>
      <c r="L50" s="1">
        <v>637</v>
      </c>
      <c r="M50">
        <f t="shared" si="26"/>
        <v>618</v>
      </c>
      <c r="N50" s="1">
        <v>478</v>
      </c>
      <c r="O50" s="1">
        <v>492</v>
      </c>
      <c r="P50" s="1">
        <v>251</v>
      </c>
      <c r="Q50">
        <f t="shared" si="27"/>
        <v>261</v>
      </c>
      <c r="R50" s="1">
        <v>286</v>
      </c>
      <c r="S50" s="1">
        <v>439</v>
      </c>
      <c r="T50" s="9">
        <f>P50*1.05</f>
        <v>263.55</v>
      </c>
      <c r="U50" s="9">
        <f t="shared" si="43"/>
        <v>274.05</v>
      </c>
      <c r="V50" s="9">
        <f t="shared" si="44"/>
        <v>300.3</v>
      </c>
      <c r="W50" s="9">
        <f t="shared" si="45"/>
        <v>460.95000000000005</v>
      </c>
      <c r="X50" s="9">
        <f t="shared" si="46"/>
        <v>276.72750000000002</v>
      </c>
      <c r="Y50" s="9">
        <f t="shared" si="47"/>
        <v>287.7525</v>
      </c>
      <c r="Z50" s="1"/>
      <c r="AC50" s="1">
        <v>355</v>
      </c>
      <c r="AD50" s="1">
        <v>2697</v>
      </c>
      <c r="AE50" s="1">
        <v>2049</v>
      </c>
      <c r="AF50" s="1">
        <v>1482</v>
      </c>
      <c r="AG50" s="9">
        <f t="shared" si="32"/>
        <v>1262.5999999999999</v>
      </c>
      <c r="AH50" s="9">
        <f t="shared" si="33"/>
        <v>1325.73</v>
      </c>
      <c r="AI50" s="9">
        <f t="shared" si="34"/>
        <v>1365.5019</v>
      </c>
      <c r="AJ50" s="9">
        <f t="shared" si="34"/>
        <v>1406.4669570000001</v>
      </c>
      <c r="AK50" s="9">
        <f t="shared" si="34"/>
        <v>1448.66096571</v>
      </c>
      <c r="AL50" s="9">
        <f t="shared" si="34"/>
        <v>1492.1207946813001</v>
      </c>
      <c r="AM50" s="9">
        <f t="shared" si="34"/>
        <v>1536.8844185217392</v>
      </c>
      <c r="AN50" s="9">
        <f t="shared" si="34"/>
        <v>1582.9909510773914</v>
      </c>
      <c r="AO50" s="9">
        <f t="shared" si="34"/>
        <v>1630.4806796097132</v>
      </c>
      <c r="AP50" s="9">
        <f t="shared" si="34"/>
        <v>1679.3950999980048</v>
      </c>
      <c r="AQ50" s="9">
        <f t="shared" si="34"/>
        <v>1729.776952997945</v>
      </c>
      <c r="AR50" s="9">
        <f t="shared" si="34"/>
        <v>1781.6702615878835</v>
      </c>
      <c r="AS50" s="9">
        <f t="shared" si="34"/>
        <v>1835.1203694355199</v>
      </c>
      <c r="AT50" s="9">
        <f t="shared" si="34"/>
        <v>1890.1739805185855</v>
      </c>
      <c r="AU50" s="9">
        <f t="shared" si="34"/>
        <v>1946.8791999341431</v>
      </c>
      <c r="AV50" s="9">
        <f t="shared" ref="AV50" si="49">AU50*1.03</f>
        <v>2005.2855759321674</v>
      </c>
    </row>
    <row r="51" spans="1:48" s="2" customFormat="1" x14ac:dyDescent="0.2">
      <c r="A51" s="2" t="s">
        <v>0</v>
      </c>
      <c r="J51" s="2">
        <f t="shared" ref="J51:O51" si="50">J50+J49+J48+J47+J46</f>
        <v>14448</v>
      </c>
      <c r="K51" s="2">
        <f t="shared" si="50"/>
        <v>14802</v>
      </c>
      <c r="L51" s="2">
        <f t="shared" si="50"/>
        <v>17597</v>
      </c>
      <c r="M51" s="2">
        <f t="shared" si="50"/>
        <v>15723</v>
      </c>
      <c r="N51" s="2">
        <f t="shared" si="50"/>
        <v>15030</v>
      </c>
      <c r="O51" s="2">
        <f t="shared" si="50"/>
        <v>15396</v>
      </c>
      <c r="P51" s="2">
        <f t="shared" ref="P51:S51" si="51">P50+P49+P48+P47+P46</f>
        <v>13116</v>
      </c>
      <c r="Q51" s="2">
        <f t="shared" si="51"/>
        <v>12092</v>
      </c>
      <c r="R51" s="2">
        <f t="shared" si="51"/>
        <v>15935</v>
      </c>
      <c r="S51" s="2">
        <f t="shared" si="51"/>
        <v>11883</v>
      </c>
      <c r="T51" s="24">
        <f t="shared" ref="T51" si="52">T50+T49+T48+T47+T46</f>
        <v>18393.75</v>
      </c>
      <c r="U51" s="24">
        <f t="shared" ref="U51" si="53">U50+U49+U48+U47+U46</f>
        <v>16889.25</v>
      </c>
      <c r="V51" s="24">
        <f t="shared" ref="V51" si="54">V50+V49+V48+V47+V46</f>
        <v>22620.9</v>
      </c>
      <c r="W51" s="24">
        <f t="shared" ref="W51" si="55">W50+W49+W48+W47+W46</f>
        <v>16654.95</v>
      </c>
      <c r="X51" s="24">
        <f t="shared" ref="X51" si="56">X50+X49+X48+X47+X46</f>
        <v>22483.237499999999</v>
      </c>
      <c r="Y51" s="24">
        <f t="shared" ref="Y51" si="57">Y50+Y49+Y48+Y47+Y46</f>
        <v>20661.5625</v>
      </c>
      <c r="AC51" s="2">
        <f>AC50+AC49+AC48+AC47+AC46</f>
        <v>32350</v>
      </c>
      <c r="AD51" s="2">
        <f t="shared" ref="AD51:AF51" si="58">AD50+AD49+AD48+AD47+AD46</f>
        <v>61788</v>
      </c>
      <c r="AE51" s="2">
        <f t="shared" si="58"/>
        <v>62570</v>
      </c>
      <c r="AF51" s="2">
        <f t="shared" si="58"/>
        <v>55634</v>
      </c>
      <c r="AG51" s="2">
        <f t="shared" ref="AG51" si="59">AG50+AG49+AG48+AG47+AG46</f>
        <v>63101</v>
      </c>
      <c r="AH51" s="24">
        <f t="shared" ref="AH51" si="60">AH50+AH49+AH48+AH47+AH46</f>
        <v>82420.649999999994</v>
      </c>
      <c r="AI51" s="24">
        <f t="shared" ref="AI51" si="61">AI50+AI49+AI48+AI47+AI46</f>
        <v>79576.369500000001</v>
      </c>
      <c r="AJ51" s="24">
        <f t="shared" ref="AJ51" si="62">AJ50+AJ49+AJ48+AJ47+AJ46</f>
        <v>76912.605584999998</v>
      </c>
      <c r="AK51" s="24">
        <f t="shared" ref="AK51" si="63">AK50+AK49+AK48+AK47+AK46</f>
        <v>74421.481502549999</v>
      </c>
      <c r="AL51" s="24">
        <f t="shared" ref="AL51" si="64">AL50+AL49+AL48+AL47+AL46</f>
        <v>72095.548810126493</v>
      </c>
      <c r="AM51" s="24">
        <f t="shared" ref="AM51" si="65">AM50+AM49+AM48+AM47+AM46</f>
        <v>69927.766993805286</v>
      </c>
      <c r="AN51" s="24">
        <f t="shared" ref="AN51" si="66">AN50+AN49+AN48+AN47+AN46</f>
        <v>67911.484137025705</v>
      </c>
      <c r="AO51" s="24">
        <f t="shared" ref="AO51" si="67">AO50+AO49+AO48+AO47+AO46</f>
        <v>66040.418587872409</v>
      </c>
      <c r="AP51" s="24">
        <f t="shared" ref="AP51" si="68">AP50+AP49+AP48+AP47+AP46</f>
        <v>66629.260056908272</v>
      </c>
      <c r="AQ51" s="24">
        <f t="shared" ref="AQ51" si="69">AQ50+AQ49+AQ48+AQ47+AQ46</f>
        <v>67235.76677001518</v>
      </c>
      <c r="AR51" s="24">
        <f t="shared" ref="AR51" si="70">AR50+AR49+AR48+AR47+AR46</f>
        <v>67860.468684515319</v>
      </c>
      <c r="AS51" s="24">
        <f t="shared" ref="AS51" si="71">AS50+AS49+AS48+AS47+AS46</f>
        <v>68503.911656450451</v>
      </c>
      <c r="AT51" s="24">
        <f t="shared" ref="AT51" si="72">AT50+AT49+AT48+AT47+AT46</f>
        <v>69166.657917543649</v>
      </c>
      <c r="AU51" s="24">
        <f t="shared" ref="AU51" si="73">AU50+AU49+AU48+AU47+AU46</f>
        <v>69849.286566469644</v>
      </c>
      <c r="AV51" s="24">
        <f t="shared" ref="AV51" si="74">AV50+AV49+AV48+AV47+AV46</f>
        <v>70552.394074863405</v>
      </c>
    </row>
    <row r="53" spans="1:48" x14ac:dyDescent="0.2">
      <c r="A53" t="s">
        <v>14</v>
      </c>
      <c r="J53" s="1">
        <v>1771</v>
      </c>
      <c r="K53" s="1">
        <v>1826</v>
      </c>
      <c r="L53" s="1">
        <v>1511</v>
      </c>
      <c r="M53">
        <f t="shared" ref="M53:M58" si="75">AE53-L53-K53-J53</f>
        <v>1232</v>
      </c>
      <c r="N53" s="1">
        <v>1619</v>
      </c>
      <c r="O53" s="1">
        <v>1359</v>
      </c>
      <c r="P53" s="1">
        <v>1341</v>
      </c>
      <c r="Q53">
        <f t="shared" ref="Q53:Q58" si="76">AF53-P53-O53-N53</f>
        <v>2535</v>
      </c>
      <c r="R53" s="1">
        <v>1487</v>
      </c>
      <c r="S53" s="1">
        <v>1605</v>
      </c>
      <c r="T53" s="9">
        <f>P53*1.05</f>
        <v>1408.05</v>
      </c>
      <c r="U53" s="9">
        <f t="shared" ref="U53:Y53" si="77">Q53*1.05</f>
        <v>2661.75</v>
      </c>
      <c r="V53" s="9">
        <f t="shared" si="77"/>
        <v>1561.3500000000001</v>
      </c>
      <c r="W53" s="9">
        <f t="shared" si="77"/>
        <v>1685.25</v>
      </c>
      <c r="X53" s="9">
        <f t="shared" si="77"/>
        <v>1478.4525000000001</v>
      </c>
      <c r="Y53" s="9">
        <f t="shared" si="77"/>
        <v>2794.8375000000001</v>
      </c>
      <c r="Z53" s="1"/>
      <c r="AC53" s="1">
        <v>4397</v>
      </c>
      <c r="AD53" s="1">
        <v>8451</v>
      </c>
      <c r="AE53" s="1">
        <v>6340</v>
      </c>
      <c r="AF53" s="1">
        <v>6854</v>
      </c>
      <c r="AG53" s="9">
        <f>SUM(R53:U53)</f>
        <v>7161.8</v>
      </c>
      <c r="AH53" s="9">
        <f>SUM(V53:Y53)</f>
        <v>7519.8900000000012</v>
      </c>
      <c r="AI53" s="9">
        <f>AH53*1.03</f>
        <v>7745.4867000000013</v>
      </c>
      <c r="AJ53" s="9">
        <f t="shared" ref="AJ53:AV53" si="78">AI53*1.03</f>
        <v>7977.8513010000015</v>
      </c>
      <c r="AK53" s="9">
        <f t="shared" si="78"/>
        <v>8217.1868400300009</v>
      </c>
      <c r="AL53" s="9">
        <f t="shared" si="78"/>
        <v>8463.7024452309015</v>
      </c>
      <c r="AM53" s="9">
        <f t="shared" si="78"/>
        <v>8717.6135185878284</v>
      </c>
      <c r="AN53" s="9">
        <f t="shared" si="78"/>
        <v>8979.1419241454641</v>
      </c>
      <c r="AO53" s="9">
        <f t="shared" si="78"/>
        <v>9248.5161818698289</v>
      </c>
      <c r="AP53" s="9">
        <f t="shared" si="78"/>
        <v>9525.9716673259245</v>
      </c>
      <c r="AQ53" s="9">
        <f t="shared" si="78"/>
        <v>9811.7508173457027</v>
      </c>
      <c r="AR53" s="9">
        <f t="shared" si="78"/>
        <v>10106.103341866074</v>
      </c>
      <c r="AS53" s="9">
        <f t="shared" si="78"/>
        <v>10409.286442122057</v>
      </c>
      <c r="AT53" s="9">
        <f t="shared" si="78"/>
        <v>10721.565035385718</v>
      </c>
      <c r="AU53" s="9">
        <f t="shared" si="78"/>
        <v>11043.21198644729</v>
      </c>
      <c r="AV53" s="9">
        <f t="shared" si="78"/>
        <v>11374.50834604071</v>
      </c>
    </row>
    <row r="54" spans="1:48" x14ac:dyDescent="0.2">
      <c r="A54" t="s">
        <v>15</v>
      </c>
      <c r="J54" s="1">
        <v>1932</v>
      </c>
      <c r="K54" s="1">
        <v>2695</v>
      </c>
      <c r="L54" s="1">
        <v>3111</v>
      </c>
      <c r="M54">
        <f t="shared" si="75"/>
        <v>3603</v>
      </c>
      <c r="N54" s="1">
        <v>1288</v>
      </c>
      <c r="O54" s="1">
        <v>241</v>
      </c>
      <c r="P54" s="1">
        <v>315</v>
      </c>
      <c r="Q54">
        <f t="shared" si="76"/>
        <v>349</v>
      </c>
      <c r="R54" s="1">
        <v>143</v>
      </c>
      <c r="S54" s="1">
        <v>228</v>
      </c>
      <c r="T54">
        <f>P54*2</f>
        <v>630</v>
      </c>
      <c r="U54">
        <f>Q54*2</f>
        <v>698</v>
      </c>
      <c r="V54">
        <f t="shared" ref="V54:Y54" si="79">R54*2</f>
        <v>286</v>
      </c>
      <c r="W54">
        <f t="shared" si="79"/>
        <v>456</v>
      </c>
      <c r="X54">
        <f t="shared" si="79"/>
        <v>1260</v>
      </c>
      <c r="Y54">
        <f t="shared" si="79"/>
        <v>1396</v>
      </c>
      <c r="Z54" s="1"/>
      <c r="AC54" s="1"/>
      <c r="AD54" s="1">
        <v>5746</v>
      </c>
      <c r="AE54" s="1">
        <v>11341</v>
      </c>
      <c r="AF54" s="1">
        <v>2193</v>
      </c>
      <c r="AG54" s="9">
        <f t="shared" ref="AG54:AG58" si="80">SUM(R54:U54)</f>
        <v>1699</v>
      </c>
      <c r="AH54" s="9">
        <f t="shared" ref="AH54:AH58" si="81">SUM(V54:Y54)</f>
        <v>3398</v>
      </c>
      <c r="AI54" s="9">
        <f t="shared" ref="AI54:AV54" si="82">AH54*1.03</f>
        <v>3499.94</v>
      </c>
      <c r="AJ54" s="9">
        <f t="shared" si="82"/>
        <v>3604.9382000000001</v>
      </c>
      <c r="AK54" s="9">
        <f t="shared" si="82"/>
        <v>3713.086346</v>
      </c>
      <c r="AL54" s="9">
        <f t="shared" si="82"/>
        <v>3824.4789363800001</v>
      </c>
      <c r="AM54" s="9">
        <f t="shared" si="82"/>
        <v>3939.2133044714001</v>
      </c>
      <c r="AN54" s="9">
        <f t="shared" si="82"/>
        <v>4057.3897036055423</v>
      </c>
      <c r="AO54" s="9">
        <f t="shared" si="82"/>
        <v>4179.1113947137083</v>
      </c>
      <c r="AP54" s="9">
        <f t="shared" si="82"/>
        <v>4304.4847365551195</v>
      </c>
      <c r="AQ54" s="9">
        <f t="shared" si="82"/>
        <v>4433.6192786517731</v>
      </c>
      <c r="AR54" s="9">
        <f t="shared" si="82"/>
        <v>4566.6278570113263</v>
      </c>
      <c r="AS54" s="9">
        <f t="shared" si="82"/>
        <v>4703.6266927216666</v>
      </c>
      <c r="AT54" s="9">
        <f t="shared" si="82"/>
        <v>4844.7354935033163</v>
      </c>
      <c r="AU54" s="9">
        <f t="shared" si="82"/>
        <v>4990.077558308416</v>
      </c>
      <c r="AV54" s="9">
        <f t="shared" si="82"/>
        <v>5139.7798850576683</v>
      </c>
    </row>
    <row r="55" spans="1:48" x14ac:dyDescent="0.2">
      <c r="A55" t="s">
        <v>9</v>
      </c>
      <c r="J55" s="1">
        <v>1544</v>
      </c>
      <c r="K55" s="1">
        <v>1725</v>
      </c>
      <c r="L55" s="1">
        <v>1653</v>
      </c>
      <c r="M55">
        <f t="shared" si="75"/>
        <v>1695</v>
      </c>
      <c r="N55" s="1">
        <v>1768</v>
      </c>
      <c r="O55" s="1">
        <v>1294</v>
      </c>
      <c r="P55" s="1">
        <v>1157</v>
      </c>
      <c r="Q55">
        <f t="shared" si="76"/>
        <v>1318</v>
      </c>
      <c r="R55" s="1">
        <v>1227</v>
      </c>
      <c r="S55" s="1">
        <v>889</v>
      </c>
      <c r="T55" s="9">
        <f>P55*1.05</f>
        <v>1214.8500000000001</v>
      </c>
      <c r="U55" s="9">
        <f t="shared" ref="U55:Y58" si="83">Q55*1.05</f>
        <v>1383.9</v>
      </c>
      <c r="V55" s="9">
        <f t="shared" si="83"/>
        <v>1288.3500000000001</v>
      </c>
      <c r="W55" s="9">
        <f t="shared" si="83"/>
        <v>933.45</v>
      </c>
      <c r="X55" s="9">
        <f t="shared" si="83"/>
        <v>1275.5925000000002</v>
      </c>
      <c r="Y55" s="9">
        <f t="shared" si="83"/>
        <v>1453.0950000000003</v>
      </c>
      <c r="Z55" s="1"/>
      <c r="AC55" s="1">
        <v>1462</v>
      </c>
      <c r="AD55" s="1">
        <v>5651</v>
      </c>
      <c r="AE55" s="1">
        <v>6617</v>
      </c>
      <c r="AF55" s="1">
        <v>5537</v>
      </c>
      <c r="AG55" s="9">
        <f t="shared" si="80"/>
        <v>4714.75</v>
      </c>
      <c r="AH55" s="9">
        <f t="shared" si="81"/>
        <v>4950.4875000000011</v>
      </c>
      <c r="AI55" s="9">
        <f t="shared" ref="AI55:AV55" si="84">AH55*1.03</f>
        <v>5099.0021250000009</v>
      </c>
      <c r="AJ55" s="9">
        <f t="shared" si="84"/>
        <v>5251.9721887500009</v>
      </c>
      <c r="AK55" s="9">
        <f t="shared" si="84"/>
        <v>5409.5313544125011</v>
      </c>
      <c r="AL55" s="9">
        <f t="shared" si="84"/>
        <v>5571.8172950448761</v>
      </c>
      <c r="AM55" s="9">
        <f t="shared" si="84"/>
        <v>5738.9718138962226</v>
      </c>
      <c r="AN55" s="9">
        <f t="shared" si="84"/>
        <v>5911.1409683131096</v>
      </c>
      <c r="AO55" s="9">
        <f t="shared" si="84"/>
        <v>6088.4751973625034</v>
      </c>
      <c r="AP55" s="9">
        <f t="shared" si="84"/>
        <v>6271.129453283379</v>
      </c>
      <c r="AQ55" s="9">
        <f t="shared" si="84"/>
        <v>6459.2633368818806</v>
      </c>
      <c r="AR55" s="9">
        <f t="shared" si="84"/>
        <v>6653.041236988337</v>
      </c>
      <c r="AS55" s="9">
        <f t="shared" si="84"/>
        <v>6852.6324740979871</v>
      </c>
      <c r="AT55" s="9">
        <f t="shared" si="84"/>
        <v>7058.211448320927</v>
      </c>
      <c r="AU55" s="9">
        <f t="shared" si="84"/>
        <v>7269.9577917705546</v>
      </c>
      <c r="AV55" s="9">
        <f t="shared" si="84"/>
        <v>7488.0565255236716</v>
      </c>
    </row>
    <row r="56" spans="1:48" x14ac:dyDescent="0.2">
      <c r="A56" t="s">
        <v>10</v>
      </c>
      <c r="J56" s="1">
        <v>2182</v>
      </c>
      <c r="K56" s="1">
        <v>2169</v>
      </c>
      <c r="L56" s="1">
        <v>2003</v>
      </c>
      <c r="M56">
        <f t="shared" si="75"/>
        <v>2064</v>
      </c>
      <c r="N56" s="1">
        <v>1221</v>
      </c>
      <c r="O56" s="1">
        <v>1443</v>
      </c>
      <c r="P56" s="1">
        <v>1678</v>
      </c>
      <c r="Q56">
        <f t="shared" si="76"/>
        <v>1201</v>
      </c>
      <c r="R56" s="1">
        <v>1192</v>
      </c>
      <c r="S56" s="1">
        <v>1091</v>
      </c>
      <c r="T56" s="9">
        <f t="shared" ref="T56:T58" si="85">P56*1.05</f>
        <v>1761.9</v>
      </c>
      <c r="U56" s="9">
        <f t="shared" si="83"/>
        <v>1261.05</v>
      </c>
      <c r="V56" s="9">
        <f t="shared" si="83"/>
        <v>1251.6000000000001</v>
      </c>
      <c r="W56" s="9">
        <f t="shared" si="83"/>
        <v>1145.55</v>
      </c>
      <c r="X56" s="9">
        <f t="shared" si="83"/>
        <v>1849.9950000000001</v>
      </c>
      <c r="Y56" s="9">
        <f t="shared" si="83"/>
        <v>1324.1025</v>
      </c>
      <c r="Z56" s="1"/>
      <c r="AC56" s="1">
        <v>3409</v>
      </c>
      <c r="AD56" s="1">
        <v>5446</v>
      </c>
      <c r="AE56" s="1">
        <v>8418</v>
      </c>
      <c r="AF56" s="1">
        <v>5543</v>
      </c>
      <c r="AG56" s="9">
        <f t="shared" si="80"/>
        <v>5305.95</v>
      </c>
      <c r="AH56" s="9">
        <f t="shared" si="81"/>
        <v>5571.2475000000004</v>
      </c>
      <c r="AI56" s="9">
        <f t="shared" ref="AI56:AV56" si="86">AH56*1.03</f>
        <v>5738.3849250000003</v>
      </c>
      <c r="AJ56" s="9">
        <f t="shared" si="86"/>
        <v>5910.53647275</v>
      </c>
      <c r="AK56" s="9">
        <f t="shared" si="86"/>
        <v>6087.8525669324999</v>
      </c>
      <c r="AL56" s="9">
        <f t="shared" si="86"/>
        <v>6270.4881439404753</v>
      </c>
      <c r="AM56" s="9">
        <f t="shared" si="86"/>
        <v>6458.6027882586895</v>
      </c>
      <c r="AN56" s="9">
        <f t="shared" si="86"/>
        <v>6652.3608719064505</v>
      </c>
      <c r="AO56" s="9">
        <f t="shared" si="86"/>
        <v>6851.931698063644</v>
      </c>
      <c r="AP56" s="9">
        <f t="shared" si="86"/>
        <v>7057.4896490055535</v>
      </c>
      <c r="AQ56" s="9">
        <f t="shared" si="86"/>
        <v>7269.2143384757201</v>
      </c>
      <c r="AR56" s="9">
        <f t="shared" si="86"/>
        <v>7487.2907686299923</v>
      </c>
      <c r="AS56" s="9">
        <f t="shared" si="86"/>
        <v>7711.9094916888926</v>
      </c>
      <c r="AT56" s="9">
        <f t="shared" si="86"/>
        <v>7943.2667764395592</v>
      </c>
      <c r="AU56" s="9">
        <f t="shared" si="86"/>
        <v>8181.5647797327465</v>
      </c>
      <c r="AV56" s="9">
        <f t="shared" si="86"/>
        <v>8427.0117231247295</v>
      </c>
    </row>
    <row r="57" spans="1:48" x14ac:dyDescent="0.2">
      <c r="A57" t="s">
        <v>16</v>
      </c>
      <c r="J57" s="1">
        <v>1010</v>
      </c>
      <c r="K57" s="1">
        <v>1084</v>
      </c>
      <c r="L57" s="1">
        <v>1152</v>
      </c>
      <c r="M57">
        <f t="shared" si="75"/>
        <v>1153</v>
      </c>
      <c r="N57" s="1">
        <v>1125</v>
      </c>
      <c r="O57" s="1">
        <v>945</v>
      </c>
      <c r="P57" s="1">
        <v>810</v>
      </c>
      <c r="Q57">
        <f t="shared" si="76"/>
        <v>802</v>
      </c>
      <c r="R57" s="1">
        <v>798</v>
      </c>
      <c r="S57" s="1">
        <v>607</v>
      </c>
      <c r="T57" s="9">
        <f t="shared" si="85"/>
        <v>850.5</v>
      </c>
      <c r="U57" s="9">
        <f t="shared" si="83"/>
        <v>842.1</v>
      </c>
      <c r="V57" s="9">
        <f t="shared" si="83"/>
        <v>837.90000000000009</v>
      </c>
      <c r="W57" s="9">
        <f t="shared" si="83"/>
        <v>637.35</v>
      </c>
      <c r="X57" s="9">
        <f t="shared" si="83"/>
        <v>893.02500000000009</v>
      </c>
      <c r="Y57" s="9">
        <f t="shared" si="83"/>
        <v>884.20500000000004</v>
      </c>
      <c r="Z57" s="1"/>
      <c r="AC57" s="1">
        <v>1993</v>
      </c>
      <c r="AD57" s="1">
        <v>3764</v>
      </c>
      <c r="AE57" s="1">
        <v>4399</v>
      </c>
      <c r="AF57" s="1">
        <v>3682</v>
      </c>
      <c r="AG57" s="9">
        <f t="shared" si="80"/>
        <v>3097.6</v>
      </c>
      <c r="AH57" s="9">
        <f t="shared" si="81"/>
        <v>3252.48</v>
      </c>
      <c r="AI57" s="9">
        <f t="shared" ref="AI57:AV57" si="87">AH57*1.03</f>
        <v>3350.0544</v>
      </c>
      <c r="AJ57" s="9">
        <f t="shared" si="87"/>
        <v>3450.556032</v>
      </c>
      <c r="AK57" s="9">
        <f t="shared" si="87"/>
        <v>3554.07271296</v>
      </c>
      <c r="AL57" s="9">
        <f t="shared" si="87"/>
        <v>3660.6948943488001</v>
      </c>
      <c r="AM57" s="9">
        <f t="shared" si="87"/>
        <v>3770.5157411792643</v>
      </c>
      <c r="AN57" s="9">
        <f t="shared" si="87"/>
        <v>3883.6312134146424</v>
      </c>
      <c r="AO57" s="9">
        <f t="shared" si="87"/>
        <v>4000.1401498170817</v>
      </c>
      <c r="AP57" s="9">
        <f t="shared" si="87"/>
        <v>4120.1443543115938</v>
      </c>
      <c r="AQ57" s="9">
        <f t="shared" si="87"/>
        <v>4243.7486849409415</v>
      </c>
      <c r="AR57" s="9">
        <f t="shared" si="87"/>
        <v>4371.0611454891696</v>
      </c>
      <c r="AS57" s="9">
        <f t="shared" si="87"/>
        <v>4502.1929798538449</v>
      </c>
      <c r="AT57" s="9">
        <f t="shared" si="87"/>
        <v>4637.2587692494608</v>
      </c>
      <c r="AU57" s="9">
        <f t="shared" si="87"/>
        <v>4776.3765323269445</v>
      </c>
      <c r="AV57" s="9">
        <f t="shared" si="87"/>
        <v>4919.6678282967532</v>
      </c>
    </row>
    <row r="58" spans="1:48" x14ac:dyDescent="0.2">
      <c r="A58" t="s">
        <v>17</v>
      </c>
      <c r="J58" s="1">
        <v>1312</v>
      </c>
      <c r="K58" s="1">
        <v>1574</v>
      </c>
      <c r="L58" s="1">
        <v>1403</v>
      </c>
      <c r="M58">
        <f t="shared" si="75"/>
        <v>1644</v>
      </c>
      <c r="N58" s="1">
        <v>1050</v>
      </c>
      <c r="O58" s="1">
        <v>843</v>
      </c>
      <c r="P58" s="1">
        <v>939</v>
      </c>
      <c r="Q58">
        <f t="shared" si="76"/>
        <v>675</v>
      </c>
      <c r="R58" s="1">
        <v>736</v>
      </c>
      <c r="S58" s="1">
        <v>873</v>
      </c>
      <c r="T58" s="9">
        <f t="shared" si="85"/>
        <v>985.95</v>
      </c>
      <c r="U58" s="9">
        <f t="shared" si="83"/>
        <v>708.75</v>
      </c>
      <c r="V58" s="9">
        <f t="shared" si="83"/>
        <v>772.80000000000007</v>
      </c>
      <c r="W58" s="9">
        <f t="shared" si="83"/>
        <v>916.65000000000009</v>
      </c>
      <c r="X58" s="9">
        <f t="shared" si="83"/>
        <v>1035.2475000000002</v>
      </c>
      <c r="Y58" s="9">
        <f t="shared" si="83"/>
        <v>744.1875</v>
      </c>
      <c r="Z58" s="1"/>
      <c r="AC58" s="1">
        <v>1971</v>
      </c>
      <c r="AD58" s="1">
        <v>3620</v>
      </c>
      <c r="AE58" s="1">
        <v>5933</v>
      </c>
      <c r="AF58" s="1">
        <v>3507</v>
      </c>
      <c r="AG58" s="9">
        <f t="shared" si="80"/>
        <v>3303.7</v>
      </c>
      <c r="AH58" s="9">
        <f t="shared" si="81"/>
        <v>3468.8850000000002</v>
      </c>
      <c r="AI58" s="9">
        <f t="shared" ref="AI58:AV58" si="88">AH58*1.03</f>
        <v>3572.9515500000002</v>
      </c>
      <c r="AJ58" s="9">
        <f t="shared" si="88"/>
        <v>3680.1400965000003</v>
      </c>
      <c r="AK58" s="9">
        <f t="shared" si="88"/>
        <v>3790.5442993950005</v>
      </c>
      <c r="AL58" s="9">
        <f t="shared" si="88"/>
        <v>3904.2606283768505</v>
      </c>
      <c r="AM58" s="9">
        <f t="shared" si="88"/>
        <v>4021.3884472281561</v>
      </c>
      <c r="AN58" s="9">
        <f t="shared" si="88"/>
        <v>4142.0301006450009</v>
      </c>
      <c r="AO58" s="9">
        <f t="shared" si="88"/>
        <v>4266.2910036643507</v>
      </c>
      <c r="AP58" s="9">
        <f t="shared" si="88"/>
        <v>4394.2797337742813</v>
      </c>
      <c r="AQ58" s="9">
        <f t="shared" si="88"/>
        <v>4526.1081257875103</v>
      </c>
      <c r="AR58" s="9">
        <f t="shared" si="88"/>
        <v>4661.8913695611354</v>
      </c>
      <c r="AS58" s="9">
        <f t="shared" si="88"/>
        <v>4801.74811064797</v>
      </c>
      <c r="AT58" s="9">
        <f t="shared" si="88"/>
        <v>4945.8005539674095</v>
      </c>
      <c r="AU58" s="9">
        <f t="shared" si="88"/>
        <v>5094.1745705864323</v>
      </c>
      <c r="AV58" s="9">
        <f t="shared" si="88"/>
        <v>5246.9998077040254</v>
      </c>
    </row>
    <row r="59" spans="1:48" s="2" customFormat="1" x14ac:dyDescent="0.2">
      <c r="A59" s="2" t="s">
        <v>1</v>
      </c>
      <c r="J59" s="2">
        <f t="shared" ref="J59:Y59" si="89">J58+J57+J56+J55+J54+J53</f>
        <v>9751</v>
      </c>
      <c r="K59" s="2">
        <f t="shared" si="89"/>
        <v>11073</v>
      </c>
      <c r="L59" s="2">
        <f t="shared" si="89"/>
        <v>10833</v>
      </c>
      <c r="M59" s="2">
        <f t="shared" si="89"/>
        <v>11391</v>
      </c>
      <c r="N59" s="2">
        <f t="shared" si="89"/>
        <v>8071</v>
      </c>
      <c r="O59" s="2">
        <f t="shared" si="89"/>
        <v>6125</v>
      </c>
      <c r="P59" s="2">
        <f t="shared" si="89"/>
        <v>6240</v>
      </c>
      <c r="Q59" s="2">
        <f t="shared" si="89"/>
        <v>6880</v>
      </c>
      <c r="R59" s="2">
        <f t="shared" si="89"/>
        <v>5583</v>
      </c>
      <c r="S59" s="24">
        <f t="shared" si="89"/>
        <v>5293</v>
      </c>
      <c r="T59" s="24">
        <f t="shared" si="89"/>
        <v>6851.2500000000009</v>
      </c>
      <c r="U59" s="24">
        <f t="shared" si="89"/>
        <v>7555.5499999999993</v>
      </c>
      <c r="V59" s="24">
        <f t="shared" si="89"/>
        <v>5998.0000000000009</v>
      </c>
      <c r="W59" s="24">
        <f t="shared" si="89"/>
        <v>5774.25</v>
      </c>
      <c r="X59" s="24">
        <f t="shared" si="89"/>
        <v>7792.3125000000009</v>
      </c>
      <c r="Y59" s="24">
        <f t="shared" si="89"/>
        <v>8596.4274999999998</v>
      </c>
      <c r="AC59" s="2">
        <f t="shared" ref="AC59:AV59" si="90">AC58+AC57+AC56+AC55+AC54+AC53</f>
        <v>13232</v>
      </c>
      <c r="AD59" s="2">
        <f t="shared" si="90"/>
        <v>32678</v>
      </c>
      <c r="AE59" s="2">
        <f t="shared" si="90"/>
        <v>43048</v>
      </c>
      <c r="AF59" s="2">
        <f t="shared" si="90"/>
        <v>27316</v>
      </c>
      <c r="AG59" s="24">
        <f t="shared" si="90"/>
        <v>25282.799999999999</v>
      </c>
      <c r="AH59" s="24">
        <f t="shared" si="90"/>
        <v>28160.989999999998</v>
      </c>
      <c r="AI59" s="24">
        <f t="shared" si="90"/>
        <v>29005.819700000004</v>
      </c>
      <c r="AJ59" s="24">
        <f t="shared" si="90"/>
        <v>29875.994291000003</v>
      </c>
      <c r="AK59" s="24">
        <f t="shared" si="90"/>
        <v>30772.274119730002</v>
      </c>
      <c r="AL59" s="24">
        <f t="shared" si="90"/>
        <v>31695.442343321905</v>
      </c>
      <c r="AM59" s="24">
        <f t="shared" si="90"/>
        <v>32646.30561362156</v>
      </c>
      <c r="AN59" s="24">
        <f t="shared" si="90"/>
        <v>33625.694782030208</v>
      </c>
      <c r="AO59" s="24">
        <f t="shared" si="90"/>
        <v>34634.465625491117</v>
      </c>
      <c r="AP59" s="24">
        <f t="shared" si="90"/>
        <v>35673.499594255853</v>
      </c>
      <c r="AQ59" s="24">
        <f t="shared" si="90"/>
        <v>36743.704582083526</v>
      </c>
      <c r="AR59" s="24">
        <f t="shared" si="90"/>
        <v>37846.015719546034</v>
      </c>
      <c r="AS59" s="24">
        <f t="shared" si="90"/>
        <v>38981.396191132422</v>
      </c>
      <c r="AT59" s="24">
        <f t="shared" si="90"/>
        <v>40150.838076866392</v>
      </c>
      <c r="AU59" s="24">
        <f t="shared" si="90"/>
        <v>41355.363219172388</v>
      </c>
      <c r="AV59" s="24">
        <f t="shared" si="90"/>
        <v>42596.024115747561</v>
      </c>
    </row>
    <row r="61" spans="1:48" s="2" customFormat="1" x14ac:dyDescent="0.2">
      <c r="A61" s="2" t="s">
        <v>40</v>
      </c>
      <c r="J61" s="2">
        <f t="shared" ref="J61:Y61" si="91">J51+J59</f>
        <v>24199</v>
      </c>
      <c r="K61" s="2">
        <f t="shared" si="91"/>
        <v>25875</v>
      </c>
      <c r="L61" s="2">
        <f t="shared" si="91"/>
        <v>28430</v>
      </c>
      <c r="M61" s="2">
        <f t="shared" si="91"/>
        <v>27114</v>
      </c>
      <c r="N61" s="2">
        <f t="shared" si="91"/>
        <v>23101</v>
      </c>
      <c r="O61" s="2">
        <f t="shared" si="91"/>
        <v>21521</v>
      </c>
      <c r="P61" s="2">
        <f t="shared" si="91"/>
        <v>19356</v>
      </c>
      <c r="Q61" s="2">
        <f t="shared" si="91"/>
        <v>18972</v>
      </c>
      <c r="R61" s="2">
        <f t="shared" si="91"/>
        <v>21518</v>
      </c>
      <c r="S61" s="2">
        <f t="shared" si="91"/>
        <v>17176</v>
      </c>
      <c r="T61" s="24">
        <f t="shared" si="91"/>
        <v>25245</v>
      </c>
      <c r="U61" s="24">
        <f t="shared" si="91"/>
        <v>24444.799999999999</v>
      </c>
      <c r="V61" s="24">
        <f t="shared" si="91"/>
        <v>28618.9</v>
      </c>
      <c r="W61" s="24">
        <f t="shared" si="91"/>
        <v>22429.200000000001</v>
      </c>
      <c r="X61" s="24">
        <f t="shared" si="91"/>
        <v>30275.55</v>
      </c>
      <c r="Y61" s="24">
        <f t="shared" si="91"/>
        <v>29257.989999999998</v>
      </c>
      <c r="AC61" s="2">
        <f>AC51+AC59</f>
        <v>45582</v>
      </c>
      <c r="AD61" s="2">
        <f>AD51+AD59</f>
        <v>94466</v>
      </c>
      <c r="AE61" s="2">
        <f>AE51+AE59</f>
        <v>105618</v>
      </c>
      <c r="AF61" s="2">
        <f>AF51+AF59</f>
        <v>82950</v>
      </c>
      <c r="AG61" s="24">
        <f>AG51+AG59</f>
        <v>88383.8</v>
      </c>
      <c r="AH61" s="24">
        <f>AG61*1.03</f>
        <v>91035.313999999998</v>
      </c>
      <c r="AI61" s="24">
        <f t="shared" ref="AI61:AU61" si="92">AH61*1.03</f>
        <v>93766.373420000004</v>
      </c>
      <c r="AJ61" s="24">
        <f t="shared" si="92"/>
        <v>96579.364622600013</v>
      </c>
      <c r="AK61" s="24">
        <f t="shared" si="92"/>
        <v>99476.745561278018</v>
      </c>
      <c r="AL61" s="24">
        <f t="shared" si="92"/>
        <v>102461.04792811636</v>
      </c>
      <c r="AM61" s="24">
        <f t="shared" si="92"/>
        <v>105534.87936595985</v>
      </c>
      <c r="AN61" s="24">
        <f t="shared" si="92"/>
        <v>108700.92574693865</v>
      </c>
      <c r="AO61" s="24">
        <f t="shared" si="92"/>
        <v>111961.95351934682</v>
      </c>
      <c r="AP61" s="24">
        <f t="shared" si="92"/>
        <v>115320.81212492722</v>
      </c>
      <c r="AQ61" s="24">
        <f t="shared" si="92"/>
        <v>118780.43648867504</v>
      </c>
      <c r="AR61" s="24">
        <f t="shared" si="92"/>
        <v>122343.84958333529</v>
      </c>
      <c r="AS61" s="24">
        <f t="shared" si="92"/>
        <v>126014.16507083536</v>
      </c>
      <c r="AT61" s="24">
        <f t="shared" si="92"/>
        <v>129794.59002296042</v>
      </c>
      <c r="AU61" s="24">
        <f t="shared" si="92"/>
        <v>133688.42772364922</v>
      </c>
      <c r="AV61" s="24">
        <f>AU61*0.8</f>
        <v>106950.74217891938</v>
      </c>
    </row>
    <row r="62" spans="1:48" s="2" customFormat="1" x14ac:dyDescent="0.2"/>
    <row r="63" spans="1:48" x14ac:dyDescent="0.2">
      <c r="A63" s="2" t="s">
        <v>42</v>
      </c>
      <c r="J63">
        <f t="shared" ref="J63:S63" si="93">J42-J61</f>
        <v>-24199</v>
      </c>
      <c r="K63">
        <f t="shared" si="93"/>
        <v>-25875</v>
      </c>
      <c r="L63">
        <f t="shared" si="93"/>
        <v>-28430</v>
      </c>
      <c r="M63">
        <f t="shared" si="93"/>
        <v>-27114</v>
      </c>
      <c r="N63">
        <f t="shared" si="93"/>
        <v>-23101</v>
      </c>
      <c r="O63">
        <f t="shared" si="93"/>
        <v>-21521</v>
      </c>
      <c r="P63">
        <f t="shared" si="93"/>
        <v>-19356</v>
      </c>
      <c r="Q63">
        <f t="shared" si="93"/>
        <v>-18972</v>
      </c>
      <c r="R63">
        <f t="shared" si="93"/>
        <v>-10858</v>
      </c>
      <c r="S63">
        <f t="shared" si="93"/>
        <v>-17176</v>
      </c>
      <c r="T63">
        <f t="shared" ref="T63:Y63" si="94">T42-T61</f>
        <v>-25245</v>
      </c>
      <c r="U63" s="9">
        <f t="shared" si="94"/>
        <v>-24080.3</v>
      </c>
      <c r="V63" s="9">
        <f t="shared" si="94"/>
        <v>-27525.4</v>
      </c>
      <c r="W63" s="9">
        <f t="shared" si="94"/>
        <v>-20606.7</v>
      </c>
      <c r="X63" s="9">
        <f t="shared" si="94"/>
        <v>-27724.05</v>
      </c>
      <c r="Y63">
        <f t="shared" si="94"/>
        <v>-26341.989999999998</v>
      </c>
      <c r="AC63">
        <f t="shared" ref="AC63:AV63" si="95">AC42-AC61</f>
        <v>-45582</v>
      </c>
      <c r="AD63">
        <f t="shared" si="95"/>
        <v>-94466</v>
      </c>
      <c r="AE63">
        <f t="shared" si="95"/>
        <v>-105618</v>
      </c>
      <c r="AF63">
        <f t="shared" si="95"/>
        <v>-82950</v>
      </c>
      <c r="AG63" s="9">
        <f t="shared" si="95"/>
        <v>-77359.3</v>
      </c>
      <c r="AH63" s="9">
        <f t="shared" si="95"/>
        <v>-82651.813999999998</v>
      </c>
      <c r="AI63" s="9">
        <f t="shared" si="95"/>
        <v>-75745.493419999999</v>
      </c>
      <c r="AJ63" s="9">
        <f t="shared" si="95"/>
        <v>-68737.105022600008</v>
      </c>
      <c r="AK63" s="9">
        <f t="shared" si="95"/>
        <v>-6835.3505012779933</v>
      </c>
      <c r="AL63" s="9">
        <f t="shared" si="95"/>
        <v>55560.388995883652</v>
      </c>
      <c r="AM63" s="9">
        <f t="shared" si="95"/>
        <v>121706.02467832615</v>
      </c>
      <c r="AN63" s="9">
        <f t="shared" si="95"/>
        <v>147494.93499632363</v>
      </c>
      <c r="AO63" s="9">
        <f t="shared" si="95"/>
        <v>151919.78304621333</v>
      </c>
      <c r="AP63" s="9">
        <f t="shared" si="95"/>
        <v>126834.95663312949</v>
      </c>
      <c r="AQ63" s="9">
        <f t="shared" si="95"/>
        <v>103961.82741810023</v>
      </c>
      <c r="AR63" s="9">
        <f t="shared" si="95"/>
        <v>83070.322118022348</v>
      </c>
      <c r="AS63" s="9">
        <f t="shared" si="95"/>
        <v>63953.107671204256</v>
      </c>
      <c r="AT63" s="9">
        <f t="shared" si="95"/>
        <v>46423.309202017466</v>
      </c>
      <c r="AU63" s="9">
        <f t="shared" si="95"/>
        <v>30312.455948687362</v>
      </c>
      <c r="AV63" s="9">
        <f t="shared" si="95"/>
        <v>24163.412538748205</v>
      </c>
    </row>
    <row r="65" spans="1:48" x14ac:dyDescent="0.2">
      <c r="A65" t="s">
        <v>2</v>
      </c>
      <c r="J65" s="1">
        <v>76</v>
      </c>
      <c r="K65" s="1">
        <v>169</v>
      </c>
      <c r="L65" s="1">
        <v>76</v>
      </c>
      <c r="M65">
        <f t="shared" ref="M65:M67" si="96">AE65-L65-K65-J65</f>
        <v>234</v>
      </c>
      <c r="N65" s="1">
        <v>76</v>
      </c>
      <c r="O65" s="1">
        <v>111</v>
      </c>
      <c r="P65" s="1">
        <v>227</v>
      </c>
      <c r="Q65">
        <f t="shared" ref="Q65:Q67" si="97">AF65-P65-O65-N65</f>
        <v>271</v>
      </c>
      <c r="R65" s="1">
        <v>221</v>
      </c>
      <c r="S65" s="1">
        <v>408</v>
      </c>
      <c r="U65" s="1"/>
      <c r="V65" s="1"/>
      <c r="W65" s="1"/>
      <c r="X65" s="1"/>
      <c r="Y65" s="1"/>
      <c r="Z65" s="1"/>
      <c r="AC65" s="1">
        <v>93</v>
      </c>
      <c r="AD65" s="1">
        <v>559</v>
      </c>
      <c r="AE65" s="1">
        <v>555</v>
      </c>
      <c r="AF65" s="1">
        <v>685</v>
      </c>
      <c r="AG65" s="9">
        <f t="shared" ref="AG65" si="98">SUM(R65:U65)</f>
        <v>629</v>
      </c>
      <c r="AH65" s="9">
        <f t="shared" ref="AH65" si="99">SUM(V65:Y65)</f>
        <v>0</v>
      </c>
    </row>
    <row r="66" spans="1:48" x14ac:dyDescent="0.2">
      <c r="A66" t="s">
        <v>13</v>
      </c>
      <c r="O66" s="1">
        <v>-4357</v>
      </c>
      <c r="P66" s="1">
        <v>36</v>
      </c>
      <c r="Q66">
        <f t="shared" si="97"/>
        <v>4255</v>
      </c>
      <c r="R66" s="1">
        <v>469</v>
      </c>
      <c r="S66" s="1">
        <v>-12804</v>
      </c>
      <c r="U66" s="1"/>
      <c r="V66" s="1"/>
      <c r="W66" s="1"/>
      <c r="X66" s="1"/>
      <c r="Y66" s="1"/>
      <c r="Z66" s="1"/>
      <c r="AF66" s="1">
        <v>-66</v>
      </c>
      <c r="AG66" s="9">
        <f t="shared" ref="AG66:AG67" si="100">SUM(R66:U66)</f>
        <v>-12335</v>
      </c>
      <c r="AH66" s="9">
        <f t="shared" ref="AH66:AH67" si="101">SUM(V66:Y66)</f>
        <v>0</v>
      </c>
    </row>
    <row r="67" spans="1:48" x14ac:dyDescent="0.2">
      <c r="A67" t="s">
        <v>3</v>
      </c>
      <c r="J67" s="1">
        <v>-56</v>
      </c>
      <c r="K67" s="1">
        <v>-122</v>
      </c>
      <c r="L67" s="1">
        <v>-64</v>
      </c>
      <c r="M67">
        <f t="shared" si="96"/>
        <v>-279</v>
      </c>
      <c r="N67" s="1">
        <v>-96</v>
      </c>
      <c r="O67" s="1">
        <v>-90</v>
      </c>
      <c r="P67" s="1">
        <v>-8</v>
      </c>
      <c r="Q67">
        <f t="shared" si="97"/>
        <v>17</v>
      </c>
      <c r="R67" s="1">
        <v>31</v>
      </c>
      <c r="S67" s="1">
        <v>-5</v>
      </c>
      <c r="U67" s="1"/>
      <c r="V67" s="1"/>
      <c r="W67" s="1"/>
      <c r="X67" s="1"/>
      <c r="Y67" s="1"/>
      <c r="Z67" s="1"/>
      <c r="AC67" s="1">
        <v>-24</v>
      </c>
      <c r="AD67" s="1">
        <v>-54</v>
      </c>
      <c r="AE67" s="1">
        <v>-521</v>
      </c>
      <c r="AF67" s="1">
        <v>-177</v>
      </c>
      <c r="AG67" s="9">
        <f t="shared" si="100"/>
        <v>26</v>
      </c>
      <c r="AH67" s="9">
        <f t="shared" si="101"/>
        <v>0</v>
      </c>
    </row>
    <row r="68" spans="1:48" s="2" customFormat="1" x14ac:dyDescent="0.2">
      <c r="A68" s="2" t="s">
        <v>4</v>
      </c>
      <c r="J68" s="2">
        <f>J65+J66+J67</f>
        <v>20</v>
      </c>
      <c r="K68" s="2">
        <f t="shared" ref="K68:Y68" si="102">K65+K66+K67</f>
        <v>47</v>
      </c>
      <c r="L68" s="2">
        <f t="shared" si="102"/>
        <v>12</v>
      </c>
      <c r="M68" s="2">
        <f t="shared" si="102"/>
        <v>-45</v>
      </c>
      <c r="N68" s="2">
        <f t="shared" si="102"/>
        <v>-20</v>
      </c>
      <c r="O68" s="2">
        <f t="shared" si="102"/>
        <v>-4336</v>
      </c>
      <c r="P68" s="2">
        <f t="shared" si="102"/>
        <v>255</v>
      </c>
      <c r="Q68" s="2">
        <f t="shared" si="102"/>
        <v>4543</v>
      </c>
      <c r="R68" s="2">
        <f t="shared" si="102"/>
        <v>721</v>
      </c>
      <c r="S68" s="2">
        <f t="shared" si="102"/>
        <v>-12401</v>
      </c>
      <c r="T68" s="2">
        <f t="shared" si="102"/>
        <v>0</v>
      </c>
      <c r="U68" s="2">
        <f t="shared" si="102"/>
        <v>0</v>
      </c>
      <c r="V68" s="2">
        <f t="shared" si="102"/>
        <v>0</v>
      </c>
      <c r="W68" s="2">
        <f t="shared" si="102"/>
        <v>0</v>
      </c>
      <c r="X68" s="2">
        <f t="shared" si="102"/>
        <v>0</v>
      </c>
      <c r="Y68" s="2">
        <f t="shared" si="102"/>
        <v>0</v>
      </c>
      <c r="AC68" s="2">
        <f>AC67+AC66+AC65</f>
        <v>69</v>
      </c>
      <c r="AD68" s="2">
        <f t="shared" ref="AD68:AH68" si="103">AD67+AD66+AD65</f>
        <v>505</v>
      </c>
      <c r="AE68" s="2">
        <f t="shared" si="103"/>
        <v>34</v>
      </c>
      <c r="AF68" s="2">
        <f t="shared" si="103"/>
        <v>442</v>
      </c>
      <c r="AG68" s="2">
        <f t="shared" si="103"/>
        <v>-11680</v>
      </c>
      <c r="AH68" s="2">
        <f t="shared" si="103"/>
        <v>0</v>
      </c>
      <c r="AI68" s="2">
        <f>AI67+AI66+AI65</f>
        <v>0</v>
      </c>
      <c r="AJ68" s="2">
        <f t="shared" ref="AJ68" si="104">AJ67+AJ66+AJ65</f>
        <v>0</v>
      </c>
      <c r="AK68" s="2">
        <f t="shared" ref="AK68" si="105">AK67+AK66+AK65</f>
        <v>0</v>
      </c>
      <c r="AL68" s="2">
        <f t="shared" ref="AL68" si="106">AL67+AL66+AL65</f>
        <v>0</v>
      </c>
      <c r="AM68" s="2">
        <f t="shared" ref="AM68" si="107">AM67+AM66+AM65</f>
        <v>0</v>
      </c>
      <c r="AN68" s="2">
        <f t="shared" ref="AN68" si="108">AN67+AN66+AN65</f>
        <v>0</v>
      </c>
      <c r="AO68" s="2">
        <f t="shared" ref="AO68" si="109">AO67+AO66+AO65</f>
        <v>0</v>
      </c>
      <c r="AP68" s="2">
        <f t="shared" ref="AP68" si="110">AP67+AP66+AP65</f>
        <v>0</v>
      </c>
      <c r="AQ68" s="2">
        <f t="shared" ref="AQ68" si="111">AQ67+AQ66+AQ65</f>
        <v>0</v>
      </c>
      <c r="AR68" s="2">
        <f t="shared" ref="AR68" si="112">AR67+AR66+AR65</f>
        <v>0</v>
      </c>
      <c r="AS68" s="2">
        <f t="shared" ref="AS68" si="113">AS67+AS66+AS65</f>
        <v>0</v>
      </c>
      <c r="AT68" s="2">
        <f t="shared" ref="AT68" si="114">AT67+AT66+AT65</f>
        <v>0</v>
      </c>
      <c r="AU68" s="2">
        <f t="shared" ref="AU68" si="115">AU67+AU66+AU65</f>
        <v>0</v>
      </c>
      <c r="AV68" s="2">
        <f t="shared" ref="AV68" si="116">AV67+AV66+AV65</f>
        <v>0</v>
      </c>
    </row>
    <row r="70" spans="1:48" x14ac:dyDescent="0.2">
      <c r="A70" s="2" t="s">
        <v>39</v>
      </c>
      <c r="J70">
        <f>J63+J68</f>
        <v>-24179</v>
      </c>
      <c r="K70">
        <f t="shared" ref="K70:Y70" si="117">K63+K68</f>
        <v>-25828</v>
      </c>
      <c r="L70">
        <f t="shared" si="117"/>
        <v>-28418</v>
      </c>
      <c r="M70">
        <f t="shared" si="117"/>
        <v>-27159</v>
      </c>
      <c r="N70">
        <f t="shared" si="117"/>
        <v>-23121</v>
      </c>
      <c r="O70">
        <f t="shared" si="117"/>
        <v>-25857</v>
      </c>
      <c r="P70">
        <f t="shared" si="117"/>
        <v>-19101</v>
      </c>
      <c r="Q70">
        <f t="shared" si="117"/>
        <v>-14429</v>
      </c>
      <c r="R70">
        <f t="shared" si="117"/>
        <v>-10137</v>
      </c>
      <c r="S70">
        <f t="shared" si="117"/>
        <v>-29577</v>
      </c>
      <c r="T70">
        <f t="shared" si="117"/>
        <v>-25245</v>
      </c>
      <c r="U70">
        <f t="shared" si="117"/>
        <v>-24080.3</v>
      </c>
      <c r="V70">
        <f t="shared" si="117"/>
        <v>-27525.4</v>
      </c>
      <c r="W70">
        <f t="shared" si="117"/>
        <v>-20606.7</v>
      </c>
      <c r="X70">
        <f t="shared" si="117"/>
        <v>-27724.05</v>
      </c>
      <c r="Y70">
        <f t="shared" si="117"/>
        <v>-26341.989999999998</v>
      </c>
      <c r="AC70">
        <f t="shared" ref="AC70:AV70" si="118">AC63+AC68</f>
        <v>-45513</v>
      </c>
      <c r="AD70">
        <f t="shared" si="118"/>
        <v>-93961</v>
      </c>
      <c r="AE70">
        <f t="shared" si="118"/>
        <v>-105584</v>
      </c>
      <c r="AF70">
        <f t="shared" si="118"/>
        <v>-82508</v>
      </c>
      <c r="AG70" s="9">
        <f t="shared" si="118"/>
        <v>-89039.3</v>
      </c>
      <c r="AH70" s="9">
        <f t="shared" si="118"/>
        <v>-82651.813999999998</v>
      </c>
      <c r="AI70" s="9">
        <f t="shared" si="118"/>
        <v>-75745.493419999999</v>
      </c>
      <c r="AJ70" s="9">
        <f t="shared" si="118"/>
        <v>-68737.105022600008</v>
      </c>
      <c r="AK70" s="9">
        <f t="shared" si="118"/>
        <v>-6835.3505012779933</v>
      </c>
      <c r="AL70" s="9">
        <f t="shared" si="118"/>
        <v>55560.388995883652</v>
      </c>
      <c r="AM70" s="9">
        <f t="shared" si="118"/>
        <v>121706.02467832615</v>
      </c>
      <c r="AN70" s="9">
        <f t="shared" si="118"/>
        <v>147494.93499632363</v>
      </c>
      <c r="AO70" s="9">
        <f t="shared" si="118"/>
        <v>151919.78304621333</v>
      </c>
      <c r="AP70" s="9">
        <f t="shared" si="118"/>
        <v>126834.95663312949</v>
      </c>
      <c r="AQ70" s="9">
        <f t="shared" si="118"/>
        <v>103961.82741810023</v>
      </c>
      <c r="AR70" s="9">
        <f t="shared" si="118"/>
        <v>83070.322118022348</v>
      </c>
      <c r="AS70" s="9">
        <f t="shared" si="118"/>
        <v>63953.107671204256</v>
      </c>
      <c r="AT70" s="9">
        <f t="shared" si="118"/>
        <v>46423.309202017466</v>
      </c>
      <c r="AU70" s="9">
        <f t="shared" si="118"/>
        <v>30312.455948687362</v>
      </c>
      <c r="AV70" s="9">
        <f t="shared" si="118"/>
        <v>24163.412538748205</v>
      </c>
    </row>
    <row r="71" spans="1:48" x14ac:dyDescent="0.2">
      <c r="A71" s="2"/>
    </row>
    <row r="72" spans="1:48" x14ac:dyDescent="0.2">
      <c r="A72" t="s">
        <v>43</v>
      </c>
    </row>
    <row r="73" spans="1:48" x14ac:dyDescent="0.2">
      <c r="A73" t="s">
        <v>5</v>
      </c>
    </row>
    <row r="74" spans="1:48" x14ac:dyDescent="0.2">
      <c r="A74" t="s">
        <v>38</v>
      </c>
      <c r="J74" s="1">
        <v>-24179</v>
      </c>
      <c r="K74" s="1">
        <v>-25828</v>
      </c>
      <c r="L74" s="1">
        <v>-28418</v>
      </c>
      <c r="M74">
        <f t="shared" ref="M74" si="119">AE74-L74-K74-J74</f>
        <v>-27159</v>
      </c>
      <c r="N74" s="1">
        <v>-23121</v>
      </c>
      <c r="O74" s="1">
        <v>-25857</v>
      </c>
      <c r="P74" s="1">
        <v>-19101</v>
      </c>
      <c r="Q74">
        <f t="shared" ref="Q74" si="120">AF74-P74-O74-N74</f>
        <v>-14429</v>
      </c>
      <c r="R74" s="1">
        <v>-10137</v>
      </c>
      <c r="S74" s="1">
        <v>-29577</v>
      </c>
      <c r="U74" s="1"/>
      <c r="V74" s="1"/>
      <c r="W74" s="1"/>
      <c r="X74" s="1"/>
      <c r="Y74" s="1"/>
      <c r="Z74" s="1"/>
      <c r="AC74">
        <v>-45513</v>
      </c>
      <c r="AD74">
        <v>-93961</v>
      </c>
      <c r="AE74">
        <v>-105584</v>
      </c>
      <c r="AF74">
        <v>-82508</v>
      </c>
      <c r="AH74" s="8"/>
    </row>
    <row r="75" spans="1:48" s="2" customFormat="1" x14ac:dyDescent="0.2">
      <c r="A75" s="2" t="s">
        <v>6</v>
      </c>
      <c r="J75" s="2">
        <f>J70-J72</f>
        <v>-24179</v>
      </c>
      <c r="K75" s="2">
        <f t="shared" ref="K75:Y75" si="121">K70-K72</f>
        <v>-25828</v>
      </c>
      <c r="L75" s="2">
        <f t="shared" si="121"/>
        <v>-28418</v>
      </c>
      <c r="M75" s="2">
        <f t="shared" si="121"/>
        <v>-27159</v>
      </c>
      <c r="N75" s="2">
        <f t="shared" si="121"/>
        <v>-23121</v>
      </c>
      <c r="O75" s="2">
        <f t="shared" si="121"/>
        <v>-25857</v>
      </c>
      <c r="P75" s="2">
        <f t="shared" si="121"/>
        <v>-19101</v>
      </c>
      <c r="Q75" s="2">
        <f t="shared" si="121"/>
        <v>-14429</v>
      </c>
      <c r="R75" s="2">
        <f t="shared" si="121"/>
        <v>-10137</v>
      </c>
      <c r="S75" s="2">
        <f t="shared" si="121"/>
        <v>-29577</v>
      </c>
      <c r="T75" s="24">
        <f t="shared" si="121"/>
        <v>-25245</v>
      </c>
      <c r="U75" s="24">
        <f t="shared" si="121"/>
        <v>-24080.3</v>
      </c>
      <c r="V75" s="24">
        <f t="shared" si="121"/>
        <v>-27525.4</v>
      </c>
      <c r="W75" s="24">
        <f t="shared" si="121"/>
        <v>-20606.7</v>
      </c>
      <c r="X75" s="24">
        <f t="shared" si="121"/>
        <v>-27724.05</v>
      </c>
      <c r="Y75" s="24">
        <f t="shared" si="121"/>
        <v>-26341.989999999998</v>
      </c>
      <c r="AC75" s="2">
        <f t="shared" ref="AC75:AV75" si="122">AC70-AC72</f>
        <v>-45513</v>
      </c>
      <c r="AD75" s="2">
        <f t="shared" si="122"/>
        <v>-93961</v>
      </c>
      <c r="AE75" s="2">
        <f t="shared" si="122"/>
        <v>-105584</v>
      </c>
      <c r="AF75" s="2">
        <f t="shared" si="122"/>
        <v>-82508</v>
      </c>
      <c r="AG75" s="24">
        <f t="shared" si="122"/>
        <v>-89039.3</v>
      </c>
      <c r="AH75" s="24">
        <f t="shared" si="122"/>
        <v>-82651.813999999998</v>
      </c>
      <c r="AI75" s="24">
        <f t="shared" si="122"/>
        <v>-75745.493419999999</v>
      </c>
      <c r="AJ75" s="24">
        <f t="shared" si="122"/>
        <v>-68737.105022600008</v>
      </c>
      <c r="AK75" s="24">
        <f t="shared" si="122"/>
        <v>-6835.3505012779933</v>
      </c>
      <c r="AL75" s="24">
        <f t="shared" si="122"/>
        <v>55560.388995883652</v>
      </c>
      <c r="AM75" s="24">
        <f t="shared" si="122"/>
        <v>121706.02467832615</v>
      </c>
      <c r="AN75" s="24">
        <f t="shared" si="122"/>
        <v>147494.93499632363</v>
      </c>
      <c r="AO75" s="24">
        <f t="shared" si="122"/>
        <v>151919.78304621333</v>
      </c>
      <c r="AP75" s="24">
        <f t="shared" si="122"/>
        <v>126834.95663312949</v>
      </c>
      <c r="AQ75" s="24">
        <f t="shared" si="122"/>
        <v>103961.82741810023</v>
      </c>
      <c r="AR75" s="24">
        <f t="shared" si="122"/>
        <v>83070.322118022348</v>
      </c>
      <c r="AS75" s="24">
        <f t="shared" si="122"/>
        <v>63953.107671204256</v>
      </c>
      <c r="AT75" s="24">
        <f t="shared" si="122"/>
        <v>46423.309202017466</v>
      </c>
      <c r="AU75" s="24">
        <f t="shared" si="122"/>
        <v>30312.455948687362</v>
      </c>
      <c r="AV75" s="24">
        <f t="shared" si="122"/>
        <v>24163.412538748205</v>
      </c>
    </row>
    <row r="76" spans="1:48" x14ac:dyDescent="0.2">
      <c r="A76" t="s">
        <v>12</v>
      </c>
      <c r="J76" t="b">
        <f>J75=J74</f>
        <v>1</v>
      </c>
      <c r="K76" t="b">
        <f t="shared" ref="K76:S76" si="123">K75=K74</f>
        <v>1</v>
      </c>
      <c r="L76" t="b">
        <f t="shared" si="123"/>
        <v>1</v>
      </c>
      <c r="M76" t="b">
        <f t="shared" si="123"/>
        <v>1</v>
      </c>
      <c r="N76" t="b">
        <f t="shared" si="123"/>
        <v>1</v>
      </c>
      <c r="O76" t="b">
        <f t="shared" si="123"/>
        <v>1</v>
      </c>
      <c r="P76" t="b">
        <f t="shared" si="123"/>
        <v>1</v>
      </c>
      <c r="Q76" t="b">
        <f t="shared" si="123"/>
        <v>1</v>
      </c>
      <c r="R76" t="b">
        <f t="shared" si="123"/>
        <v>1</v>
      </c>
      <c r="S76" t="b">
        <f t="shared" si="123"/>
        <v>1</v>
      </c>
      <c r="U76" s="1"/>
      <c r="V76" s="1"/>
      <c r="W76" s="1"/>
      <c r="X76" s="1"/>
      <c r="Y76" s="1"/>
      <c r="Z76" s="1"/>
      <c r="AC76" t="b">
        <f t="shared" ref="AC76" si="124">AC75=AC74</f>
        <v>1</v>
      </c>
      <c r="AD76" t="b">
        <f t="shared" ref="AD76" si="125">AD75=AD74</f>
        <v>1</v>
      </c>
      <c r="AE76" t="b">
        <f t="shared" ref="AE76" si="126">AE75=AE74</f>
        <v>1</v>
      </c>
      <c r="AF76" t="b">
        <f t="shared" ref="AF76" si="127">AF75=AF74</f>
        <v>1</v>
      </c>
    </row>
    <row r="77" spans="1:48" x14ac:dyDescent="0.2">
      <c r="J77" s="1"/>
      <c r="K77" s="1"/>
      <c r="L77" s="1"/>
      <c r="M77" s="1"/>
      <c r="N77" s="1"/>
      <c r="O77" s="1"/>
      <c r="P77" s="1"/>
      <c r="Q77" s="1"/>
      <c r="R77" s="1"/>
      <c r="S77" s="1"/>
      <c r="U77" s="1"/>
      <c r="V77" s="1"/>
      <c r="W77" s="1"/>
      <c r="X77" s="1"/>
      <c r="Y77" s="1"/>
      <c r="Z77" s="1"/>
      <c r="AC77" s="1"/>
      <c r="AD77" s="1"/>
      <c r="AE77" s="1"/>
      <c r="AF77" s="1"/>
    </row>
    <row r="78" spans="1:48" x14ac:dyDescent="0.2">
      <c r="A78" t="s">
        <v>171</v>
      </c>
      <c r="J78" s="1">
        <v>24135735</v>
      </c>
      <c r="K78" s="1">
        <v>26082525</v>
      </c>
      <c r="L78" s="1">
        <v>26177079</v>
      </c>
      <c r="M78" s="1">
        <f>AE78*4-L78-K78-J78</f>
        <v>-76395236.607275993</v>
      </c>
      <c r="N78" s="1">
        <v>26215514</v>
      </c>
      <c r="O78" s="1">
        <v>26901069</v>
      </c>
      <c r="P78" s="1">
        <v>48000183</v>
      </c>
      <c r="Q78" s="1">
        <f>AF78*4-P78-O78-N78</f>
        <v>-101116614.698276</v>
      </c>
      <c r="R78" s="1">
        <v>56357983</v>
      </c>
      <c r="S78" s="1">
        <v>79041695</v>
      </c>
      <c r="U78" s="1"/>
      <c r="V78" s="1"/>
      <c r="W78" s="1"/>
      <c r="X78" s="1"/>
      <c r="Y78" s="1"/>
      <c r="Z78" s="1"/>
      <c r="AE78" s="25">
        <v>25.598181</v>
      </c>
      <c r="AF78" s="25">
        <v>37.825431000000002</v>
      </c>
    </row>
    <row r="81" spans="1:19" x14ac:dyDescent="0.2">
      <c r="A81" t="s">
        <v>54</v>
      </c>
    </row>
    <row r="82" spans="1:19" x14ac:dyDescent="0.2">
      <c r="A82" t="s">
        <v>55</v>
      </c>
    </row>
    <row r="87" spans="1:19" s="6" customFormat="1" x14ac:dyDescent="0.2">
      <c r="A87" s="6" t="s">
        <v>121</v>
      </c>
    </row>
    <row r="89" spans="1:19" x14ac:dyDescent="0.2">
      <c r="A89" t="s">
        <v>122</v>
      </c>
      <c r="Q89">
        <v>16657</v>
      </c>
      <c r="S89">
        <v>35616</v>
      </c>
    </row>
    <row r="90" spans="1:19" x14ac:dyDescent="0.2">
      <c r="A90" t="s">
        <v>123</v>
      </c>
      <c r="Q90">
        <v>13923</v>
      </c>
    </row>
    <row r="91" spans="1:19" x14ac:dyDescent="0.2">
      <c r="A91" t="s">
        <v>124</v>
      </c>
      <c r="Q91">
        <v>6728</v>
      </c>
      <c r="S91">
        <v>7205</v>
      </c>
    </row>
    <row r="92" spans="1:19" s="2" customFormat="1" x14ac:dyDescent="0.2">
      <c r="A92" s="2" t="s">
        <v>133</v>
      </c>
      <c r="Q92" s="2">
        <f>Q91+Q89+Q90</f>
        <v>37308</v>
      </c>
      <c r="S92" s="2">
        <f>S91+S89+S90</f>
        <v>42821</v>
      </c>
    </row>
    <row r="94" spans="1:19" x14ac:dyDescent="0.2">
      <c r="A94" t="s">
        <v>134</v>
      </c>
      <c r="Q94">
        <v>857</v>
      </c>
      <c r="S94">
        <v>628</v>
      </c>
    </row>
    <row r="95" spans="1:19" x14ac:dyDescent="0.2">
      <c r="A95" t="s">
        <v>135</v>
      </c>
      <c r="Q95">
        <v>198</v>
      </c>
      <c r="S95">
        <v>197</v>
      </c>
    </row>
    <row r="96" spans="1:19" x14ac:dyDescent="0.2">
      <c r="A96" t="s">
        <v>152</v>
      </c>
      <c r="Q96">
        <f>Q95+Q94</f>
        <v>1055</v>
      </c>
      <c r="S96">
        <f>S95+S94</f>
        <v>825</v>
      </c>
    </row>
    <row r="97" spans="1:19" s="2" customFormat="1" x14ac:dyDescent="0.2">
      <c r="A97" s="2" t="s">
        <v>136</v>
      </c>
      <c r="Q97" s="2">
        <f>Q95+Q94+Q92</f>
        <v>38363</v>
      </c>
      <c r="S97" s="2">
        <f>S95+S94+S92</f>
        <v>43646</v>
      </c>
    </row>
    <row r="99" spans="1:19" x14ac:dyDescent="0.2">
      <c r="A99" t="s">
        <v>137</v>
      </c>
      <c r="Q99">
        <v>477</v>
      </c>
      <c r="S99">
        <v>486</v>
      </c>
    </row>
    <row r="100" spans="1:19" x14ac:dyDescent="0.2">
      <c r="A100" t="s">
        <v>138</v>
      </c>
      <c r="Q100">
        <v>4534</v>
      </c>
      <c r="S100">
        <v>4687</v>
      </c>
    </row>
    <row r="101" spans="1:19" x14ac:dyDescent="0.2">
      <c r="A101" t="s">
        <v>139</v>
      </c>
      <c r="Q101">
        <v>14756</v>
      </c>
      <c r="S101">
        <v>16023</v>
      </c>
    </row>
    <row r="102" spans="1:19" x14ac:dyDescent="0.2">
      <c r="A102" t="s">
        <v>140</v>
      </c>
      <c r="Q102">
        <v>13657</v>
      </c>
      <c r="S102">
        <v>25992</v>
      </c>
    </row>
    <row r="103" spans="1:19" s="2" customFormat="1" x14ac:dyDescent="0.2">
      <c r="A103" s="2" t="s">
        <v>141</v>
      </c>
      <c r="Q103" s="2">
        <f>Q99+Q100+Q101+Q102</f>
        <v>33424</v>
      </c>
      <c r="S103" s="2">
        <f>S99+S100+S101+S102</f>
        <v>47188</v>
      </c>
    </row>
    <row r="105" spans="1:19" x14ac:dyDescent="0.2">
      <c r="A105" t="s">
        <v>142</v>
      </c>
      <c r="Q105">
        <v>414</v>
      </c>
      <c r="S105">
        <v>170</v>
      </c>
    </row>
    <row r="106" spans="1:19" x14ac:dyDescent="0.2">
      <c r="A106" t="s">
        <v>143</v>
      </c>
      <c r="Q106">
        <v>464</v>
      </c>
      <c r="S106">
        <v>622</v>
      </c>
    </row>
    <row r="107" spans="1:19" x14ac:dyDescent="0.2">
      <c r="A107" t="s">
        <v>144</v>
      </c>
      <c r="Q107">
        <f>Q106+Q105</f>
        <v>878</v>
      </c>
      <c r="S107">
        <f>S106+S105</f>
        <v>792</v>
      </c>
    </row>
    <row r="108" spans="1:19" s="2" customFormat="1" x14ac:dyDescent="0.2">
      <c r="A108" s="2" t="s">
        <v>145</v>
      </c>
      <c r="Q108" s="2">
        <f>Q107+Q103</f>
        <v>34302</v>
      </c>
      <c r="S108" s="2">
        <f>S107+S103</f>
        <v>47980</v>
      </c>
    </row>
    <row r="110" spans="1:19" x14ac:dyDescent="0.2">
      <c r="A110" t="s">
        <v>147</v>
      </c>
      <c r="Q110">
        <v>5</v>
      </c>
      <c r="S110">
        <v>6</v>
      </c>
    </row>
    <row r="111" spans="1:19" x14ac:dyDescent="0.2">
      <c r="A111" t="s">
        <v>146</v>
      </c>
    </row>
    <row r="112" spans="1:19" x14ac:dyDescent="0.2">
      <c r="A112" t="s">
        <v>153</v>
      </c>
      <c r="Q112">
        <v>352828</v>
      </c>
      <c r="S112">
        <v>384197</v>
      </c>
    </row>
    <row r="113" spans="1:19" x14ac:dyDescent="0.2">
      <c r="A113" t="s">
        <v>148</v>
      </c>
      <c r="Q113">
        <v>51</v>
      </c>
    </row>
    <row r="114" spans="1:19" x14ac:dyDescent="0.2">
      <c r="A114" t="s">
        <v>149</v>
      </c>
      <c r="Q114">
        <v>-348823</v>
      </c>
      <c r="S114">
        <v>-388537</v>
      </c>
    </row>
    <row r="115" spans="1:19" s="2" customFormat="1" x14ac:dyDescent="0.2">
      <c r="A115" s="2" t="s">
        <v>150</v>
      </c>
      <c r="Q115" s="2">
        <f>Q114+Q113+Q112+Q111+Q110</f>
        <v>4061</v>
      </c>
      <c r="S115" s="2">
        <f>S114+S113+S112+S111+S110</f>
        <v>-4334</v>
      </c>
    </row>
    <row r="117" spans="1:19" s="2" customFormat="1" x14ac:dyDescent="0.2">
      <c r="A117" s="2" t="s">
        <v>151</v>
      </c>
      <c r="Q117" s="2">
        <f>Q115+Q108</f>
        <v>38363</v>
      </c>
      <c r="S117" s="2">
        <f>S115+S108</f>
        <v>43646</v>
      </c>
    </row>
    <row r="118" spans="1:19" x14ac:dyDescent="0.2">
      <c r="A118" t="s">
        <v>12</v>
      </c>
      <c r="Q118" t="b">
        <f>Q117=Q97</f>
        <v>1</v>
      </c>
      <c r="S118" t="b">
        <f>S117=S97</f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4175F-29B7-9342-B5A3-7256B9575DF3}">
  <dimension ref="B10:X34"/>
  <sheetViews>
    <sheetView workbookViewId="0">
      <selection activeCell="F22" sqref="F22"/>
    </sheetView>
  </sheetViews>
  <sheetFormatPr baseColWidth="10" defaultRowHeight="16" x14ac:dyDescent="0.2"/>
  <cols>
    <col min="1" max="1" width="10.83203125" style="11"/>
    <col min="2" max="2" width="22.5" style="11" bestFit="1" customWidth="1"/>
    <col min="3" max="3" width="7.6640625" style="11" bestFit="1" customWidth="1"/>
    <col min="4" max="4" width="10.83203125" style="11"/>
    <col min="5" max="5" width="22.83203125" style="11" bestFit="1" customWidth="1"/>
    <col min="6" max="10" width="8.5" style="11" bestFit="1" customWidth="1"/>
    <col min="11" max="24" width="8.1640625" style="11" bestFit="1" customWidth="1"/>
    <col min="25" max="16384" width="10.83203125" style="11"/>
  </cols>
  <sheetData>
    <row r="10" spans="2:24" x14ac:dyDescent="0.2">
      <c r="F10" s="16" t="s">
        <v>57</v>
      </c>
      <c r="G10" s="16" t="s">
        <v>75</v>
      </c>
      <c r="H10" s="16" t="s">
        <v>116</v>
      </c>
      <c r="I10" s="16" t="s">
        <v>117</v>
      </c>
      <c r="J10" s="16" t="s">
        <v>118</v>
      </c>
      <c r="K10" s="16" t="s">
        <v>60</v>
      </c>
      <c r="L10" s="16" t="s">
        <v>61</v>
      </c>
      <c r="M10" s="16" t="s">
        <v>62</v>
      </c>
      <c r="N10" s="16" t="s">
        <v>63</v>
      </c>
      <c r="O10" s="16" t="s">
        <v>105</v>
      </c>
      <c r="P10" s="16" t="s">
        <v>106</v>
      </c>
      <c r="Q10" s="16" t="s">
        <v>107</v>
      </c>
      <c r="R10" s="16" t="s">
        <v>108</v>
      </c>
      <c r="S10" s="16" t="s">
        <v>109</v>
      </c>
      <c r="T10" s="16" t="s">
        <v>110</v>
      </c>
      <c r="U10" s="16" t="s">
        <v>111</v>
      </c>
      <c r="V10" s="16" t="s">
        <v>112</v>
      </c>
      <c r="W10" s="16" t="s">
        <v>113</v>
      </c>
      <c r="X10" s="16" t="s">
        <v>114</v>
      </c>
    </row>
    <row r="11" spans="2:24" x14ac:dyDescent="0.2">
      <c r="B11" s="33" t="s">
        <v>156</v>
      </c>
      <c r="C11" s="33"/>
      <c r="E11" s="47" t="s">
        <v>185</v>
      </c>
      <c r="F11" s="35">
        <f>VLOOKUP($E11,Model!$A$1:$BR$157,MATCH(Valuation!F$10,Model!$A$3:$BR$3,0),FALSE)</f>
        <v>405</v>
      </c>
      <c r="G11" s="35">
        <f>VLOOKUP($E11,Model!$A$1:$BR$157,MATCH(Valuation!G$10,Model!$A$3:$BR$3,0),FALSE)</f>
        <v>1215</v>
      </c>
      <c r="H11" s="35">
        <f>VLOOKUP($E11,Model!$A$1:$BR$157,MATCH(Valuation!H$10,Model!$A$3:$BR$3,0),FALSE)</f>
        <v>2025</v>
      </c>
      <c r="I11" s="35">
        <f>VLOOKUP($E11,Model!$A$1:$BR$157,MATCH(Valuation!I$10,Model!$A$3:$BR$3,0),FALSE)</f>
        <v>2835</v>
      </c>
      <c r="J11" s="35">
        <f>VLOOKUP($E11,Model!$A$1:$BR$157,MATCH(Valuation!J$10,Model!$A$3:$BR$3,0),FALSE)</f>
        <v>3240</v>
      </c>
      <c r="K11" s="35">
        <f>VLOOKUP($E11,Model!$A$1:$BR$157,MATCH(Valuation!K$10,Model!$A$3:$BR$3,0),FALSE)</f>
        <v>20023.2</v>
      </c>
      <c r="L11" s="35">
        <f>VLOOKUP($E11,Model!$A$1:$BR$157,MATCH(Valuation!L$10,Model!$A$3:$BR$3,0),FALSE)</f>
        <v>30935.844000000005</v>
      </c>
      <c r="M11" s="35">
        <f>VLOOKUP($E11,Model!$A$1:$BR$157,MATCH(Valuation!M$10,Model!$A$3:$BR$3,0),FALSE)</f>
        <v>102934.88340000002</v>
      </c>
      <c r="N11" s="35">
        <f>VLOOKUP($E11,Model!$A$1:$BR$157,MATCH(Valuation!N$10,Model!$A$3:$BR$3,0),FALSE)</f>
        <v>175579.37436000002</v>
      </c>
      <c r="O11" s="35">
        <f>VLOOKUP($E11,Model!$A$1:$BR$157,MATCH(Valuation!O$10,Model!$A$3:$BR$3,0),FALSE)</f>
        <v>252489.89338254</v>
      </c>
      <c r="P11" s="35">
        <f>VLOOKUP($E11,Model!$A$1:$BR$157,MATCH(Valuation!P$10,Model!$A$3:$BR$3,0),FALSE)</f>
        <v>284662.06749251363</v>
      </c>
      <c r="Q11" s="35">
        <f>VLOOKUP($E11,Model!$A$1:$BR$157,MATCH(Valuation!Q$10,Model!$A$3:$BR$3,0),FALSE)</f>
        <v>293201.92951728904</v>
      </c>
      <c r="R11" s="35">
        <f>VLOOKUP($E11,Model!$A$1:$BR$157,MATCH(Valuation!R$10,Model!$A$3:$BR$3,0),FALSE)</f>
        <v>269061.96528672968</v>
      </c>
      <c r="S11" s="35">
        <f>VLOOKUP($E11,Model!$A$1:$BR$157,MATCH(Valuation!S$10,Model!$A$3:$BR$3,0),FALSE)</f>
        <v>247491.40434086142</v>
      </c>
      <c r="T11" s="35">
        <f>VLOOKUP($E11,Model!$A$1:$BR$157,MATCH(Valuation!T$10,Model!$A$3:$BR$3,0),FALSE)</f>
        <v>228237.96855706404</v>
      </c>
      <c r="U11" s="35">
        <f>VLOOKUP($E11,Model!$A$1:$BR$157,MATCH(Valuation!U$10,Model!$A$3:$BR$3,0),FALSE)</f>
        <v>211074.74749115511</v>
      </c>
      <c r="V11" s="35">
        <f>VLOOKUP($E11,Model!$A$1:$BR$157,MATCH(Valuation!V$10,Model!$A$3:$BR$3,0),FALSE)</f>
        <v>195797.66580553097</v>
      </c>
      <c r="W11" s="35">
        <f>VLOOKUP($E11,Model!$A$1:$BR$157,MATCH(Valuation!W$10,Model!$A$3:$BR$3,0),FALSE)</f>
        <v>182223.20408037398</v>
      </c>
      <c r="X11" s="36">
        <f>VLOOKUP($E11,Model!$A$1:$BR$157,MATCH(Valuation!X$10,Model!$A$3:$BR$3,0),FALSE)</f>
        <v>145682.39413074174</v>
      </c>
    </row>
    <row r="12" spans="2:24" x14ac:dyDescent="0.2">
      <c r="B12" s="27" t="s">
        <v>157</v>
      </c>
      <c r="C12" s="28">
        <v>2.8</v>
      </c>
      <c r="E12" s="27" t="s">
        <v>155</v>
      </c>
      <c r="F12" s="62">
        <f>VLOOKUP($E12,Model!$A$1:$BR$157,MATCH(Valuation!F$10,Model!$A$3:$BR$3,0),FALSE)</f>
        <v>364.5</v>
      </c>
      <c r="G12" s="62">
        <f>VLOOKUP($E12,Model!$A$1:$BR$157,MATCH(Valuation!G$10,Model!$A$3:$BR$3,0),FALSE)</f>
        <v>1093.5</v>
      </c>
      <c r="H12" s="62">
        <f>VLOOKUP($E12,Model!$A$1:$BR$157,MATCH(Valuation!H$10,Model!$A$3:$BR$3,0),FALSE)</f>
        <v>1822.5</v>
      </c>
      <c r="I12" s="62">
        <f>VLOOKUP($E12,Model!$A$1:$BR$157,MATCH(Valuation!I$10,Model!$A$3:$BR$3,0),FALSE)</f>
        <v>2551.5</v>
      </c>
      <c r="J12" s="62">
        <f>VLOOKUP($E12,Model!$A$1:$BR$157,MATCH(Valuation!J$10,Model!$A$3:$BR$3,0),FALSE)</f>
        <v>2916</v>
      </c>
      <c r="K12" s="62">
        <f>VLOOKUP($E12,Model!$A$1:$BR$157,MATCH(Valuation!K$10,Model!$A$3:$BR$3,0),FALSE)</f>
        <v>18020.88</v>
      </c>
      <c r="L12" s="62">
        <f>VLOOKUP($E12,Model!$A$1:$BR$157,MATCH(Valuation!L$10,Model!$A$3:$BR$3,0),FALSE)</f>
        <v>27842.259600000005</v>
      </c>
      <c r="M12" s="62">
        <f>VLOOKUP($E12,Model!$A$1:$BR$157,MATCH(Valuation!M$10,Model!$A$3:$BR$3,0),FALSE)</f>
        <v>92641.395060000024</v>
      </c>
      <c r="N12" s="62">
        <f>VLOOKUP($E12,Model!$A$1:$BR$157,MATCH(Valuation!N$10,Model!$A$3:$BR$3,0),FALSE)</f>
        <v>158021.43692400001</v>
      </c>
      <c r="O12" s="62">
        <f>VLOOKUP($E12,Model!$A$1:$BR$157,MATCH(Valuation!O$10,Model!$A$3:$BR$3,0),FALSE)</f>
        <v>227240.904044286</v>
      </c>
      <c r="P12" s="62">
        <f>VLOOKUP($E12,Model!$A$1:$BR$157,MATCH(Valuation!P$10,Model!$A$3:$BR$3,0),FALSE)</f>
        <v>256195.86074326228</v>
      </c>
      <c r="Q12" s="62">
        <f>VLOOKUP($E12,Model!$A$1:$BR$157,MATCH(Valuation!Q$10,Model!$A$3:$BR$3,0),FALSE)</f>
        <v>263881.73656556016</v>
      </c>
      <c r="R12" s="62">
        <f>VLOOKUP($E12,Model!$A$1:$BR$157,MATCH(Valuation!R$10,Model!$A$3:$BR$3,0),FALSE)</f>
        <v>242155.76875805671</v>
      </c>
      <c r="S12" s="62">
        <f>VLOOKUP($E12,Model!$A$1:$BR$157,MATCH(Valuation!S$10,Model!$A$3:$BR$3,0),FALSE)</f>
        <v>222742.26390677528</v>
      </c>
      <c r="T12" s="62">
        <f>VLOOKUP($E12,Model!$A$1:$BR$157,MATCH(Valuation!T$10,Model!$A$3:$BR$3,0),FALSE)</f>
        <v>205414.17170135764</v>
      </c>
      <c r="U12" s="62">
        <f>VLOOKUP($E12,Model!$A$1:$BR$157,MATCH(Valuation!U$10,Model!$A$3:$BR$3,0),FALSE)</f>
        <v>189967.27274203961</v>
      </c>
      <c r="V12" s="62">
        <f>VLOOKUP($E12,Model!$A$1:$BR$157,MATCH(Valuation!V$10,Model!$A$3:$BR$3,0),FALSE)</f>
        <v>176217.89922497788</v>
      </c>
      <c r="W12" s="62">
        <f>VLOOKUP($E12,Model!$A$1:$BR$157,MATCH(Valuation!W$10,Model!$A$3:$BR$3,0),FALSE)</f>
        <v>164000.88367233658</v>
      </c>
      <c r="X12" s="62">
        <f>VLOOKUP($E12,Model!$A$1:$BR$157,MATCH(Valuation!X$10,Model!$A$3:$BR$3,0),FALSE)</f>
        <v>131114.15471766758</v>
      </c>
    </row>
    <row r="13" spans="2:24" x14ac:dyDescent="0.2">
      <c r="B13" s="27" t="s">
        <v>158</v>
      </c>
      <c r="C13" s="30">
        <v>63.12</v>
      </c>
      <c r="E13" s="27" t="s">
        <v>0</v>
      </c>
      <c r="F13" s="37">
        <f>VLOOKUP($E13,Model!$A$1:$BR$157,MATCH(Valuation!F$10,Model!$A$3:$BR$3,0),FALSE)</f>
        <v>16889.25</v>
      </c>
      <c r="G13" s="37">
        <f>VLOOKUP($E13,Model!$A$1:$BR$157,MATCH(Valuation!G$10,Model!$A$3:$BR$3,0),FALSE)</f>
        <v>22620.9</v>
      </c>
      <c r="H13" s="37">
        <f>VLOOKUP($E13,Model!$A$1:$BR$157,MATCH(Valuation!H$10,Model!$A$3:$BR$3,0),FALSE)</f>
        <v>16654.95</v>
      </c>
      <c r="I13" s="37">
        <f>VLOOKUP($E13,Model!$A$1:$BR$157,MATCH(Valuation!I$10,Model!$A$3:$BR$3,0),FALSE)</f>
        <v>22483.237499999999</v>
      </c>
      <c r="J13" s="37">
        <f>VLOOKUP($E13,Model!$A$1:$BR$157,MATCH(Valuation!J$10,Model!$A$3:$BR$3,0),FALSE)</f>
        <v>20661.5625</v>
      </c>
      <c r="K13" s="37">
        <f>VLOOKUP($E13,Model!$A$1:$BR$157,MATCH(Valuation!K$10,Model!$A$3:$BR$3,0),FALSE)</f>
        <v>79576.369500000001</v>
      </c>
      <c r="L13" s="37">
        <f>VLOOKUP($E13,Model!$A$1:$BR$157,MATCH(Valuation!L$10,Model!$A$3:$BR$3,0),FALSE)</f>
        <v>76912.605584999998</v>
      </c>
      <c r="M13" s="37">
        <f>VLOOKUP($E13,Model!$A$1:$BR$157,MATCH(Valuation!M$10,Model!$A$3:$BR$3,0),FALSE)</f>
        <v>74421.481502549999</v>
      </c>
      <c r="N13" s="37">
        <f>VLOOKUP($E13,Model!$A$1:$BR$157,MATCH(Valuation!N$10,Model!$A$3:$BR$3,0),FALSE)</f>
        <v>72095.548810126493</v>
      </c>
      <c r="O13" s="37">
        <f>VLOOKUP($E13,Model!$A$1:$BR$157,MATCH(Valuation!O$10,Model!$A$3:$BR$3,0),FALSE)</f>
        <v>69927.766993805286</v>
      </c>
      <c r="P13" s="37">
        <f>VLOOKUP($E13,Model!$A$1:$BR$157,MATCH(Valuation!P$10,Model!$A$3:$BR$3,0),FALSE)</f>
        <v>67911.484137025705</v>
      </c>
      <c r="Q13" s="37">
        <f>VLOOKUP($E13,Model!$A$1:$BR$157,MATCH(Valuation!Q$10,Model!$A$3:$BR$3,0),FALSE)</f>
        <v>66040.418587872409</v>
      </c>
      <c r="R13" s="37">
        <f>VLOOKUP($E13,Model!$A$1:$BR$157,MATCH(Valuation!R$10,Model!$A$3:$BR$3,0),FALSE)</f>
        <v>66629.260056908272</v>
      </c>
      <c r="S13" s="37">
        <f>VLOOKUP($E13,Model!$A$1:$BR$157,MATCH(Valuation!S$10,Model!$A$3:$BR$3,0),FALSE)</f>
        <v>67235.76677001518</v>
      </c>
      <c r="T13" s="37">
        <f>VLOOKUP($E13,Model!$A$1:$BR$157,MATCH(Valuation!T$10,Model!$A$3:$BR$3,0),FALSE)</f>
        <v>67860.468684515319</v>
      </c>
      <c r="U13" s="37">
        <f>VLOOKUP($E13,Model!$A$1:$BR$157,MATCH(Valuation!U$10,Model!$A$3:$BR$3,0),FALSE)</f>
        <v>68503.911656450451</v>
      </c>
      <c r="V13" s="37">
        <f>VLOOKUP($E13,Model!$A$1:$BR$157,MATCH(Valuation!V$10,Model!$A$3:$BR$3,0),FALSE)</f>
        <v>69166.657917543649</v>
      </c>
      <c r="W13" s="37">
        <f>VLOOKUP($E13,Model!$A$1:$BR$157,MATCH(Valuation!W$10,Model!$A$3:$BR$3,0),FALSE)</f>
        <v>69849.286566469644</v>
      </c>
      <c r="X13" s="37">
        <f>VLOOKUP($E13,Model!$A$1:$BR$157,MATCH(Valuation!X$10,Model!$A$3:$BR$3,0),FALSE)</f>
        <v>70552.394074863405</v>
      </c>
    </row>
    <row r="14" spans="2:24" x14ac:dyDescent="0.2">
      <c r="B14" s="27" t="s">
        <v>159</v>
      </c>
      <c r="C14" s="30">
        <f>C12*C13</f>
        <v>176.73599999999999</v>
      </c>
      <c r="E14" s="11" t="s">
        <v>1</v>
      </c>
      <c r="F14" s="37">
        <f>VLOOKUP($E14,Model!$A$1:$BR$157,MATCH(Valuation!F$10,Model!$A$3:$BR$3,0),FALSE)</f>
        <v>7555.5499999999993</v>
      </c>
      <c r="G14" s="37">
        <f>VLOOKUP($E14,Model!$A$1:$BR$157,MATCH(Valuation!G$10,Model!$A$3:$BR$3,0),FALSE)</f>
        <v>5998.0000000000009</v>
      </c>
      <c r="H14" s="37">
        <f>VLOOKUP($E14,Model!$A$1:$BR$157,MATCH(Valuation!H$10,Model!$A$3:$BR$3,0),FALSE)</f>
        <v>5774.25</v>
      </c>
      <c r="I14" s="37">
        <f>VLOOKUP($E14,Model!$A$1:$BR$157,MATCH(Valuation!I$10,Model!$A$3:$BR$3,0),FALSE)</f>
        <v>7792.3125000000009</v>
      </c>
      <c r="J14" s="37">
        <f>VLOOKUP($E14,Model!$A$1:$BR$157,MATCH(Valuation!J$10,Model!$A$3:$BR$3,0),FALSE)</f>
        <v>8596.4274999999998</v>
      </c>
      <c r="K14" s="37">
        <f>VLOOKUP($E14,Model!$A$1:$BR$157,MATCH(Valuation!K$10,Model!$A$3:$BR$3,0),FALSE)</f>
        <v>29005.819700000004</v>
      </c>
      <c r="L14" s="37">
        <f>VLOOKUP($E14,Model!$A$1:$BR$157,MATCH(Valuation!L$10,Model!$A$3:$BR$3,0),FALSE)</f>
        <v>29875.994291000003</v>
      </c>
      <c r="M14" s="37">
        <f>VLOOKUP($E14,Model!$A$1:$BR$157,MATCH(Valuation!M$10,Model!$A$3:$BR$3,0),FALSE)</f>
        <v>30772.274119730002</v>
      </c>
      <c r="N14" s="37">
        <f>VLOOKUP($E14,Model!$A$1:$BR$157,MATCH(Valuation!N$10,Model!$A$3:$BR$3,0),FALSE)</f>
        <v>31695.442343321905</v>
      </c>
      <c r="O14" s="37">
        <f>VLOOKUP($E14,Model!$A$1:$BR$157,MATCH(Valuation!O$10,Model!$A$3:$BR$3,0),FALSE)</f>
        <v>32646.30561362156</v>
      </c>
      <c r="P14" s="37">
        <f>VLOOKUP($E14,Model!$A$1:$BR$157,MATCH(Valuation!P$10,Model!$A$3:$BR$3,0),FALSE)</f>
        <v>33625.694782030208</v>
      </c>
      <c r="Q14" s="37">
        <f>VLOOKUP($E14,Model!$A$1:$BR$157,MATCH(Valuation!Q$10,Model!$A$3:$BR$3,0),FALSE)</f>
        <v>34634.465625491117</v>
      </c>
      <c r="R14" s="37">
        <f>VLOOKUP($E14,Model!$A$1:$BR$157,MATCH(Valuation!R$10,Model!$A$3:$BR$3,0),FALSE)</f>
        <v>35673.499594255853</v>
      </c>
      <c r="S14" s="37">
        <f>VLOOKUP($E14,Model!$A$1:$BR$157,MATCH(Valuation!S$10,Model!$A$3:$BR$3,0),FALSE)</f>
        <v>36743.704582083526</v>
      </c>
      <c r="T14" s="37">
        <f>VLOOKUP($E14,Model!$A$1:$BR$157,MATCH(Valuation!T$10,Model!$A$3:$BR$3,0),FALSE)</f>
        <v>37846.015719546034</v>
      </c>
      <c r="U14" s="37">
        <f>VLOOKUP($E14,Model!$A$1:$BR$157,MATCH(Valuation!U$10,Model!$A$3:$BR$3,0),FALSE)</f>
        <v>38981.396191132422</v>
      </c>
      <c r="V14" s="37">
        <f>VLOOKUP($E14,Model!$A$1:$BR$157,MATCH(Valuation!V$10,Model!$A$3:$BR$3,0),FALSE)</f>
        <v>40150.838076866392</v>
      </c>
      <c r="W14" s="37">
        <f>VLOOKUP($E14,Model!$A$1:$BR$157,MATCH(Valuation!W$10,Model!$A$3:$BR$3,0),FALSE)</f>
        <v>41355.363219172388</v>
      </c>
      <c r="X14" s="37">
        <f>VLOOKUP($E14,Model!$A$1:$BR$157,MATCH(Valuation!X$10,Model!$A$3:$BR$3,0),FALSE)</f>
        <v>42596.024115747561</v>
      </c>
    </row>
    <row r="15" spans="2:24" x14ac:dyDescent="0.2">
      <c r="B15" s="27" t="s">
        <v>160</v>
      </c>
      <c r="C15" s="29"/>
      <c r="E15" s="63" t="s">
        <v>42</v>
      </c>
      <c r="F15" s="64">
        <f>VLOOKUP($E15,Model!$A$1:$BR$157,MATCH(Valuation!F$10,Model!$A$3:$BR$3,0),FALSE)</f>
        <v>-24080.3</v>
      </c>
      <c r="G15" s="64">
        <f>VLOOKUP($E15,Model!$A$1:$BR$157,MATCH(Valuation!G$10,Model!$A$3:$BR$3,0),FALSE)</f>
        <v>-27525.4</v>
      </c>
      <c r="H15" s="64">
        <f>VLOOKUP($E15,Model!$A$1:$BR$157,MATCH(Valuation!H$10,Model!$A$3:$BR$3,0),FALSE)</f>
        <v>-20606.7</v>
      </c>
      <c r="I15" s="64">
        <f>VLOOKUP($E15,Model!$A$1:$BR$157,MATCH(Valuation!I$10,Model!$A$3:$BR$3,0),FALSE)</f>
        <v>-27724.05</v>
      </c>
      <c r="J15" s="64">
        <f>VLOOKUP($E15,Model!$A$1:$BR$157,MATCH(Valuation!J$10,Model!$A$3:$BR$3,0),FALSE)</f>
        <v>-26341.989999999998</v>
      </c>
      <c r="K15" s="64">
        <f>VLOOKUP($E15,Model!$A$1:$BR$157,MATCH(Valuation!K$10,Model!$A$3:$BR$3,0),FALSE)</f>
        <v>-75745.493419999999</v>
      </c>
      <c r="L15" s="64">
        <f>VLOOKUP($E15,Model!$A$1:$BR$157,MATCH(Valuation!L$10,Model!$A$3:$BR$3,0),FALSE)</f>
        <v>-68737.105022600008</v>
      </c>
      <c r="M15" s="64">
        <f>VLOOKUP($E15,Model!$A$1:$BR$157,MATCH(Valuation!M$10,Model!$A$3:$BR$3,0),FALSE)</f>
        <v>-6835.3505012779933</v>
      </c>
      <c r="N15" s="64">
        <f>VLOOKUP($E15,Model!$A$1:$BR$157,MATCH(Valuation!N$10,Model!$A$3:$BR$3,0),FALSE)</f>
        <v>55560.388995883652</v>
      </c>
      <c r="O15" s="64">
        <f>VLOOKUP($E15,Model!$A$1:$BR$157,MATCH(Valuation!O$10,Model!$A$3:$BR$3,0),FALSE)</f>
        <v>121706.02467832615</v>
      </c>
      <c r="P15" s="64">
        <f>VLOOKUP($E15,Model!$A$1:$BR$157,MATCH(Valuation!P$10,Model!$A$3:$BR$3,0),FALSE)</f>
        <v>147494.93499632363</v>
      </c>
      <c r="Q15" s="64">
        <f>VLOOKUP($E15,Model!$A$1:$BR$157,MATCH(Valuation!Q$10,Model!$A$3:$BR$3,0),FALSE)</f>
        <v>151919.78304621333</v>
      </c>
      <c r="R15" s="64">
        <f>VLOOKUP($E15,Model!$A$1:$BR$157,MATCH(Valuation!R$10,Model!$A$3:$BR$3,0),FALSE)</f>
        <v>126834.95663312949</v>
      </c>
      <c r="S15" s="64">
        <f>VLOOKUP($E15,Model!$A$1:$BR$157,MATCH(Valuation!S$10,Model!$A$3:$BR$3,0),FALSE)</f>
        <v>103961.82741810023</v>
      </c>
      <c r="T15" s="64">
        <f>VLOOKUP($E15,Model!$A$1:$BR$157,MATCH(Valuation!T$10,Model!$A$3:$BR$3,0),FALSE)</f>
        <v>83070.322118022348</v>
      </c>
      <c r="U15" s="64">
        <f>VLOOKUP($E15,Model!$A$1:$BR$157,MATCH(Valuation!U$10,Model!$A$3:$BR$3,0),FALSE)</f>
        <v>63953.107671204256</v>
      </c>
      <c r="V15" s="64">
        <f>VLOOKUP($E15,Model!$A$1:$BR$157,MATCH(Valuation!V$10,Model!$A$3:$BR$3,0),FALSE)</f>
        <v>46423.309202017466</v>
      </c>
      <c r="W15" s="64">
        <f>VLOOKUP($E15,Model!$A$1:$BR$157,MATCH(Valuation!W$10,Model!$A$3:$BR$3,0),FALSE)</f>
        <v>30312.455948687362</v>
      </c>
      <c r="X15" s="65">
        <f>VLOOKUP($E15,Model!$A$1:$BR$157,MATCH(Valuation!X$10,Model!$A$3:$BR$3,0),FALSE)</f>
        <v>24163.412538748205</v>
      </c>
    </row>
    <row r="16" spans="2:24" x14ac:dyDescent="0.2">
      <c r="B16" s="27" t="s">
        <v>161</v>
      </c>
      <c r="C16" s="30">
        <f>Model!S102/1000</f>
        <v>25.992000000000001</v>
      </c>
      <c r="E16" s="66" t="s">
        <v>4</v>
      </c>
      <c r="F16" s="62">
        <f>VLOOKUP($E16,Model!$A$1:$BR$157,MATCH(Valuation!F$10,Model!$A$3:$BR$3,0),FALSE)</f>
        <v>0</v>
      </c>
      <c r="G16" s="62">
        <f>VLOOKUP($E16,Model!$A$1:$BR$157,MATCH(Valuation!G$10,Model!$A$3:$BR$3,0),FALSE)</f>
        <v>0</v>
      </c>
      <c r="H16" s="62">
        <f>VLOOKUP($E16,Model!$A$1:$BR$157,MATCH(Valuation!H$10,Model!$A$3:$BR$3,0),FALSE)</f>
        <v>0</v>
      </c>
      <c r="I16" s="62">
        <f>VLOOKUP($E16,Model!$A$1:$BR$157,MATCH(Valuation!I$10,Model!$A$3:$BR$3,0),FALSE)</f>
        <v>0</v>
      </c>
      <c r="J16" s="62">
        <f>VLOOKUP($E16,Model!$A$1:$BR$157,MATCH(Valuation!J$10,Model!$A$3:$BR$3,0),FALSE)</f>
        <v>0</v>
      </c>
      <c r="K16" s="62">
        <f>VLOOKUP($E16,Model!$A$1:$BR$157,MATCH(Valuation!K$10,Model!$A$3:$BR$3,0),FALSE)</f>
        <v>0</v>
      </c>
      <c r="L16" s="62">
        <f>VLOOKUP($E16,Model!$A$1:$BR$157,MATCH(Valuation!L$10,Model!$A$3:$BR$3,0),FALSE)</f>
        <v>0</v>
      </c>
      <c r="M16" s="62">
        <f>VLOOKUP($E16,Model!$A$1:$BR$157,MATCH(Valuation!M$10,Model!$A$3:$BR$3,0),FALSE)</f>
        <v>0</v>
      </c>
      <c r="N16" s="62">
        <f>VLOOKUP($E16,Model!$A$1:$BR$157,MATCH(Valuation!N$10,Model!$A$3:$BR$3,0),FALSE)</f>
        <v>0</v>
      </c>
      <c r="O16" s="62">
        <f>VLOOKUP($E16,Model!$A$1:$BR$157,MATCH(Valuation!O$10,Model!$A$3:$BR$3,0),FALSE)</f>
        <v>0</v>
      </c>
      <c r="P16" s="62">
        <f>VLOOKUP($E16,Model!$A$1:$BR$157,MATCH(Valuation!P$10,Model!$A$3:$BR$3,0),FALSE)</f>
        <v>0</v>
      </c>
      <c r="Q16" s="62">
        <f>VLOOKUP($E16,Model!$A$1:$BR$157,MATCH(Valuation!Q$10,Model!$A$3:$BR$3,0),FALSE)</f>
        <v>0</v>
      </c>
      <c r="R16" s="62">
        <f>VLOOKUP($E16,Model!$A$1:$BR$157,MATCH(Valuation!R$10,Model!$A$3:$BR$3,0),FALSE)</f>
        <v>0</v>
      </c>
      <c r="S16" s="62">
        <f>VLOOKUP($E16,Model!$A$1:$BR$157,MATCH(Valuation!S$10,Model!$A$3:$BR$3,0),FALSE)</f>
        <v>0</v>
      </c>
      <c r="T16" s="62">
        <f>VLOOKUP($E16,Model!$A$1:$BR$157,MATCH(Valuation!T$10,Model!$A$3:$BR$3,0),FALSE)</f>
        <v>0</v>
      </c>
      <c r="U16" s="62">
        <f>VLOOKUP($E16,Model!$A$1:$BR$157,MATCH(Valuation!U$10,Model!$A$3:$BR$3,0),FALSE)</f>
        <v>0</v>
      </c>
      <c r="V16" s="62">
        <f>VLOOKUP($E16,Model!$A$1:$BR$157,MATCH(Valuation!V$10,Model!$A$3:$BR$3,0),FALSE)</f>
        <v>0</v>
      </c>
      <c r="W16" s="62">
        <f>VLOOKUP($E16,Model!$A$1:$BR$157,MATCH(Valuation!W$10,Model!$A$3:$BR$3,0),FALSE)</f>
        <v>0</v>
      </c>
      <c r="X16" s="62">
        <f>VLOOKUP($E16,Model!$A$1:$BR$157,MATCH(Valuation!X$10,Model!$A$3:$BR$3,0),FALSE)</f>
        <v>0</v>
      </c>
    </row>
    <row r="17" spans="2:24" x14ac:dyDescent="0.2">
      <c r="B17" s="27" t="s">
        <v>162</v>
      </c>
      <c r="C17" s="30">
        <f>Model!S89/1000</f>
        <v>35.616</v>
      </c>
      <c r="E17" s="63" t="s">
        <v>39</v>
      </c>
      <c r="F17" s="64">
        <f>VLOOKUP($E17,Model!$A$1:$BR$157,MATCH(Valuation!F$10,Model!$A$3:$BR$3,0),FALSE)</f>
        <v>-24080.3</v>
      </c>
      <c r="G17" s="64">
        <f>VLOOKUP($E17,Model!$A$1:$BR$157,MATCH(Valuation!G$10,Model!$A$3:$BR$3,0),FALSE)</f>
        <v>-27525.4</v>
      </c>
      <c r="H17" s="64">
        <f>VLOOKUP($E17,Model!$A$1:$BR$157,MATCH(Valuation!H$10,Model!$A$3:$BR$3,0),FALSE)</f>
        <v>-20606.7</v>
      </c>
      <c r="I17" s="64">
        <f>VLOOKUP($E17,Model!$A$1:$BR$157,MATCH(Valuation!I$10,Model!$A$3:$BR$3,0),FALSE)</f>
        <v>-27724.05</v>
      </c>
      <c r="J17" s="64">
        <f>VLOOKUP($E17,Model!$A$1:$BR$157,MATCH(Valuation!J$10,Model!$A$3:$BR$3,0),FALSE)</f>
        <v>-26341.989999999998</v>
      </c>
      <c r="K17" s="64">
        <f>VLOOKUP($E17,Model!$A$1:$BR$157,MATCH(Valuation!K$10,Model!$A$3:$BR$3,0),FALSE)</f>
        <v>-75745.493419999999</v>
      </c>
      <c r="L17" s="64">
        <f>VLOOKUP($E17,Model!$A$1:$BR$157,MATCH(Valuation!L$10,Model!$A$3:$BR$3,0),FALSE)</f>
        <v>-68737.105022600008</v>
      </c>
      <c r="M17" s="64">
        <f>VLOOKUP($E17,Model!$A$1:$BR$157,MATCH(Valuation!M$10,Model!$A$3:$BR$3,0),FALSE)</f>
        <v>-6835.3505012779933</v>
      </c>
      <c r="N17" s="64">
        <f>VLOOKUP($E17,Model!$A$1:$BR$157,MATCH(Valuation!N$10,Model!$A$3:$BR$3,0),FALSE)</f>
        <v>55560.388995883652</v>
      </c>
      <c r="O17" s="64">
        <f>VLOOKUP($E17,Model!$A$1:$BR$157,MATCH(Valuation!O$10,Model!$A$3:$BR$3,0),FALSE)</f>
        <v>121706.02467832615</v>
      </c>
      <c r="P17" s="64">
        <f>VLOOKUP($E17,Model!$A$1:$BR$157,MATCH(Valuation!P$10,Model!$A$3:$BR$3,0),FALSE)</f>
        <v>147494.93499632363</v>
      </c>
      <c r="Q17" s="64">
        <f>VLOOKUP($E17,Model!$A$1:$BR$157,MATCH(Valuation!Q$10,Model!$A$3:$BR$3,0),FALSE)</f>
        <v>151919.78304621333</v>
      </c>
      <c r="R17" s="64">
        <f>VLOOKUP($E17,Model!$A$1:$BR$157,MATCH(Valuation!R$10,Model!$A$3:$BR$3,0),FALSE)</f>
        <v>126834.95663312949</v>
      </c>
      <c r="S17" s="64">
        <f>VLOOKUP($E17,Model!$A$1:$BR$157,MATCH(Valuation!S$10,Model!$A$3:$BR$3,0),FALSE)</f>
        <v>103961.82741810023</v>
      </c>
      <c r="T17" s="64">
        <f>VLOOKUP($E17,Model!$A$1:$BR$157,MATCH(Valuation!T$10,Model!$A$3:$BR$3,0),FALSE)</f>
        <v>83070.322118022348</v>
      </c>
      <c r="U17" s="64">
        <f>VLOOKUP($E17,Model!$A$1:$BR$157,MATCH(Valuation!U$10,Model!$A$3:$BR$3,0),FALSE)</f>
        <v>63953.107671204256</v>
      </c>
      <c r="V17" s="64">
        <f>VLOOKUP($E17,Model!$A$1:$BR$157,MATCH(Valuation!V$10,Model!$A$3:$BR$3,0),FALSE)</f>
        <v>46423.309202017466</v>
      </c>
      <c r="W17" s="64">
        <f>VLOOKUP($E17,Model!$A$1:$BR$157,MATCH(Valuation!W$10,Model!$A$3:$BR$3,0),FALSE)</f>
        <v>30312.455948687362</v>
      </c>
      <c r="X17" s="65">
        <f>VLOOKUP($E17,Model!$A$1:$BR$157,MATCH(Valuation!X$10,Model!$A$3:$BR$3,0),FALSE)</f>
        <v>24163.412538748205</v>
      </c>
    </row>
    <row r="18" spans="2:24" x14ac:dyDescent="0.2">
      <c r="B18" s="27" t="s">
        <v>163</v>
      </c>
      <c r="C18" s="30">
        <f>C14-C17+C16</f>
        <v>167.11199999999999</v>
      </c>
      <c r="E18" s="27" t="s">
        <v>6</v>
      </c>
      <c r="F18" s="62">
        <f>VLOOKUP($E18,Model!$A$1:$BR$157,MATCH(Valuation!F$10,Model!$A$3:$BR$3,0),FALSE)</f>
        <v>-24080.3</v>
      </c>
      <c r="G18" s="62">
        <f>VLOOKUP($E18,Model!$A$1:$BR$157,MATCH(Valuation!G$10,Model!$A$3:$BR$3,0),FALSE)</f>
        <v>-27525.4</v>
      </c>
      <c r="H18" s="62">
        <f>VLOOKUP($E18,Model!$A$1:$BR$157,MATCH(Valuation!H$10,Model!$A$3:$BR$3,0),FALSE)</f>
        <v>-20606.7</v>
      </c>
      <c r="I18" s="62">
        <f>VLOOKUP($E18,Model!$A$1:$BR$157,MATCH(Valuation!I$10,Model!$A$3:$BR$3,0),FALSE)</f>
        <v>-27724.05</v>
      </c>
      <c r="J18" s="62">
        <f>VLOOKUP($E18,Model!$A$1:$BR$157,MATCH(Valuation!J$10,Model!$A$3:$BR$3,0),FALSE)</f>
        <v>-26341.989999999998</v>
      </c>
      <c r="K18" s="62">
        <f>VLOOKUP($E18,Model!$A$1:$BR$157,MATCH(Valuation!K$10,Model!$A$3:$BR$3,0),FALSE)</f>
        <v>-75745.493419999999</v>
      </c>
      <c r="L18" s="62">
        <f>VLOOKUP($E18,Model!$A$1:$BR$157,MATCH(Valuation!L$10,Model!$A$3:$BR$3,0),FALSE)</f>
        <v>-68737.105022600008</v>
      </c>
      <c r="M18" s="62">
        <f>VLOOKUP($E18,Model!$A$1:$BR$157,MATCH(Valuation!M$10,Model!$A$3:$BR$3,0),FALSE)</f>
        <v>-6835.3505012779933</v>
      </c>
      <c r="N18" s="62">
        <f>VLOOKUP($E18,Model!$A$1:$BR$157,MATCH(Valuation!N$10,Model!$A$3:$BR$3,0),FALSE)</f>
        <v>55560.388995883652</v>
      </c>
      <c r="O18" s="62">
        <f>VLOOKUP($E18,Model!$A$1:$BR$157,MATCH(Valuation!O$10,Model!$A$3:$BR$3,0),FALSE)</f>
        <v>121706.02467832615</v>
      </c>
      <c r="P18" s="62">
        <f>VLOOKUP($E18,Model!$A$1:$BR$157,MATCH(Valuation!P$10,Model!$A$3:$BR$3,0),FALSE)</f>
        <v>147494.93499632363</v>
      </c>
      <c r="Q18" s="62">
        <f>VLOOKUP($E18,Model!$A$1:$BR$157,MATCH(Valuation!Q$10,Model!$A$3:$BR$3,0),FALSE)</f>
        <v>151919.78304621333</v>
      </c>
      <c r="R18" s="62">
        <f>VLOOKUP($E18,Model!$A$1:$BR$157,MATCH(Valuation!R$10,Model!$A$3:$BR$3,0),FALSE)</f>
        <v>126834.95663312949</v>
      </c>
      <c r="S18" s="62">
        <f>VLOOKUP($E18,Model!$A$1:$BR$157,MATCH(Valuation!S$10,Model!$A$3:$BR$3,0),FALSE)</f>
        <v>103961.82741810023</v>
      </c>
      <c r="T18" s="62">
        <f>VLOOKUP($E18,Model!$A$1:$BR$157,MATCH(Valuation!T$10,Model!$A$3:$BR$3,0),FALSE)</f>
        <v>83070.322118022348</v>
      </c>
      <c r="U18" s="62">
        <f>VLOOKUP($E18,Model!$A$1:$BR$157,MATCH(Valuation!U$10,Model!$A$3:$BR$3,0),FALSE)</f>
        <v>63953.107671204256</v>
      </c>
      <c r="V18" s="62">
        <f>VLOOKUP($E18,Model!$A$1:$BR$157,MATCH(Valuation!V$10,Model!$A$3:$BR$3,0),FALSE)</f>
        <v>46423.309202017466</v>
      </c>
      <c r="W18" s="62">
        <f>VLOOKUP($E18,Model!$A$1:$BR$157,MATCH(Valuation!W$10,Model!$A$3:$BR$3,0),FALSE)</f>
        <v>30312.455948687362</v>
      </c>
      <c r="X18" s="62">
        <f>VLOOKUP($E18,Model!$A$1:$BR$157,MATCH(Valuation!X$10,Model!$A$3:$BR$3,0),FALSE)</f>
        <v>24163.412538748205</v>
      </c>
    </row>
    <row r="19" spans="2:24" x14ac:dyDescent="0.2">
      <c r="B19" s="27"/>
      <c r="C19" s="27"/>
    </row>
    <row r="20" spans="2:24" x14ac:dyDescent="0.2">
      <c r="B20" s="27" t="s">
        <v>164</v>
      </c>
      <c r="C20" s="31">
        <f>C21+C22</f>
        <v>0.1</v>
      </c>
    </row>
    <row r="21" spans="2:24" x14ac:dyDescent="0.2">
      <c r="B21" s="32" t="s">
        <v>165</v>
      </c>
      <c r="C21" s="31">
        <v>0.04</v>
      </c>
    </row>
    <row r="22" spans="2:24" x14ac:dyDescent="0.2">
      <c r="B22" s="27" t="s">
        <v>166</v>
      </c>
      <c r="C22" s="31">
        <v>0.06</v>
      </c>
    </row>
    <row r="23" spans="2:24" x14ac:dyDescent="0.2">
      <c r="B23" s="27" t="s">
        <v>167</v>
      </c>
      <c r="C23" s="31">
        <v>-0.02</v>
      </c>
    </row>
    <row r="24" spans="2:24" x14ac:dyDescent="0.2">
      <c r="B24" s="27"/>
      <c r="C24" s="31"/>
    </row>
    <row r="25" spans="2:24" x14ac:dyDescent="0.2">
      <c r="B25" s="27"/>
      <c r="C25" s="27"/>
    </row>
    <row r="26" spans="2:24" x14ac:dyDescent="0.2">
      <c r="B26" s="27" t="s">
        <v>168</v>
      </c>
      <c r="C26" s="30">
        <f>NPV(C20,F18:X18,X18/0.1)/1000</f>
        <v>146.38175226667505</v>
      </c>
      <c r="J26" s="14"/>
    </row>
    <row r="27" spans="2:24" x14ac:dyDescent="0.2">
      <c r="B27" s="27" t="s">
        <v>169</v>
      </c>
      <c r="C27" s="30">
        <f>C17</f>
        <v>35.616</v>
      </c>
      <c r="F27" s="38"/>
      <c r="G27" s="14"/>
      <c r="H27" s="14"/>
      <c r="I27" s="14"/>
      <c r="J27" s="14"/>
      <c r="K27" s="14"/>
    </row>
    <row r="28" spans="2:24" x14ac:dyDescent="0.2">
      <c r="B28" s="27" t="s">
        <v>170</v>
      </c>
      <c r="C28" s="30">
        <f>C26+C27-C16</f>
        <v>156.00575226667505</v>
      </c>
      <c r="F28" s="13"/>
      <c r="G28" s="13"/>
    </row>
    <row r="29" spans="2:24" x14ac:dyDescent="0.2">
      <c r="B29" s="26" t="s">
        <v>173</v>
      </c>
      <c r="C29" s="34">
        <f>C28/C13</f>
        <v>2.4715740219688698</v>
      </c>
      <c r="F29" s="13"/>
    </row>
    <row r="30" spans="2:24" x14ac:dyDescent="0.2">
      <c r="F30" s="13"/>
    </row>
    <row r="31" spans="2:24" x14ac:dyDescent="0.2">
      <c r="F31" s="13"/>
    </row>
    <row r="32" spans="2:24" x14ac:dyDescent="0.2">
      <c r="F32" s="13"/>
    </row>
    <row r="33" spans="6:6" x14ac:dyDescent="0.2">
      <c r="F33" s="13"/>
    </row>
    <row r="34" spans="6:6" x14ac:dyDescent="0.2">
      <c r="F34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Model</vt:lpstr>
      <vt:lpstr>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domingos - 2023</dc:creator>
  <cp:lastModifiedBy>evan domingos - 2023</cp:lastModifiedBy>
  <dcterms:created xsi:type="dcterms:W3CDTF">2023-08-04T02:50:06Z</dcterms:created>
  <dcterms:modified xsi:type="dcterms:W3CDTF">2023-10-31T20:21:58Z</dcterms:modified>
</cp:coreProperties>
</file>