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Documents/GitHub/Models/"/>
    </mc:Choice>
  </mc:AlternateContent>
  <xr:revisionPtr revIDLastSave="0" documentId="13_ncr:1_{55EB5657-4D77-FD47-ACD7-0159203DD585}" xr6:coauthVersionLast="47" xr6:coauthVersionMax="47" xr10:uidLastSave="{00000000-0000-0000-0000-000000000000}"/>
  <bookViews>
    <workbookView xWindow="260" yWindow="1400" windowWidth="27240" windowHeight="18240" activeTab="2" xr2:uid="{84E2C13F-4787-A140-9D35-E8E0D58E8EEB}"/>
  </bookViews>
  <sheets>
    <sheet name="Main" sheetId="1" r:id="rId1"/>
    <sheet name="Model" sheetId="2" r:id="rId2"/>
    <sheet name="Drivers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21" i="2" l="1"/>
  <c r="N17" i="2"/>
  <c r="N7" i="2"/>
  <c r="N21" i="2"/>
  <c r="N11" i="2"/>
  <c r="N12" i="2" s="1"/>
  <c r="N5" i="2"/>
  <c r="N36" i="2"/>
  <c r="N31" i="2"/>
  <c r="N37" i="2" s="1"/>
  <c r="N39" i="2" s="1"/>
  <c r="N42" i="2" s="1"/>
  <c r="F11" i="2"/>
  <c r="F12" i="2" s="1"/>
  <c r="G11" i="2"/>
  <c r="G12" i="2" s="1"/>
  <c r="K7" i="2"/>
  <c r="F21" i="2"/>
  <c r="F5" i="2" s="1"/>
  <c r="F36" i="2"/>
  <c r="F31" i="2"/>
  <c r="F32" i="2" s="1"/>
  <c r="G88" i="2"/>
  <c r="G79" i="2"/>
  <c r="G82" i="2" s="1"/>
  <c r="H79" i="2"/>
  <c r="H82" i="2" s="1"/>
  <c r="G68" i="2"/>
  <c r="G73" i="2" s="1"/>
  <c r="L18" i="3"/>
  <c r="G15" i="3"/>
  <c r="K18" i="3" s="1"/>
  <c r="H88" i="2"/>
  <c r="I68" i="2"/>
  <c r="J68" i="2"/>
  <c r="K68" i="2"/>
  <c r="L68" i="2"/>
  <c r="M68" i="2"/>
  <c r="H68" i="2"/>
  <c r="H73" i="2" s="1"/>
  <c r="G9" i="2" l="1"/>
  <c r="J7" i="2"/>
  <c r="N32" i="2"/>
  <c r="F37" i="2"/>
  <c r="F39" i="2" s="1"/>
  <c r="F42" i="2" s="1"/>
  <c r="G90" i="2"/>
  <c r="G91" i="2" s="1"/>
  <c r="H90" i="2"/>
  <c r="H91" i="2" s="1"/>
  <c r="I113" i="2"/>
  <c r="I121" i="2"/>
  <c r="I88" i="2"/>
  <c r="I79" i="2"/>
  <c r="I82" i="2" s="1"/>
  <c r="I90" i="2" s="1"/>
  <c r="I73" i="2"/>
  <c r="J121" i="2"/>
  <c r="K121" i="2"/>
  <c r="L121" i="2"/>
  <c r="M121" i="2"/>
  <c r="H121" i="2"/>
  <c r="G121" i="2"/>
  <c r="G113" i="2"/>
  <c r="J113" i="2"/>
  <c r="K113" i="2"/>
  <c r="L113" i="2"/>
  <c r="M113" i="2"/>
  <c r="H113" i="2"/>
  <c r="L88" i="2"/>
  <c r="L79" i="2"/>
  <c r="L82" i="2" s="1"/>
  <c r="L73" i="2"/>
  <c r="K88" i="2"/>
  <c r="K79" i="2"/>
  <c r="K82" i="2" s="1"/>
  <c r="K73" i="2"/>
  <c r="L52" i="2"/>
  <c r="K52" i="2"/>
  <c r="M52" i="2"/>
  <c r="D9" i="1"/>
  <c r="D10" i="1" s="1"/>
  <c r="D5" i="1"/>
  <c r="D6" i="1" s="1"/>
  <c r="H11" i="2"/>
  <c r="I11" i="2"/>
  <c r="K11" i="2"/>
  <c r="L11" i="2"/>
  <c r="L12" i="2" s="1"/>
  <c r="M11" i="2"/>
  <c r="M5" i="2"/>
  <c r="L5" i="2"/>
  <c r="P7" i="2" s="1"/>
  <c r="K5" i="2"/>
  <c r="K8" i="2" s="1"/>
  <c r="I5" i="2"/>
  <c r="M7" i="2" s="1"/>
  <c r="H5" i="2"/>
  <c r="H9" i="2" s="1"/>
  <c r="X29" i="3"/>
  <c r="Y29" i="3" s="1"/>
  <c r="Z29" i="3" s="1"/>
  <c r="AA29" i="3" s="1"/>
  <c r="AB29" i="3" s="1"/>
  <c r="AC29" i="3" s="1"/>
  <c r="AD29" i="3" s="1"/>
  <c r="AE29" i="3" s="1"/>
  <c r="Q7" i="2" l="1"/>
  <c r="N9" i="2"/>
  <c r="N13" i="2"/>
  <c r="O8" i="2" s="1"/>
  <c r="L90" i="2"/>
  <c r="I91" i="2"/>
  <c r="K90" i="2"/>
  <c r="K91" i="2" s="1"/>
  <c r="L91" i="2"/>
  <c r="D14" i="1"/>
  <c r="L9" i="2"/>
  <c r="M9" i="2"/>
  <c r="M8" i="2"/>
  <c r="O7" i="2"/>
  <c r="K12" i="2"/>
  <c r="I12" i="2"/>
  <c r="H12" i="2"/>
  <c r="M12" i="2"/>
  <c r="K15" i="3"/>
  <c r="M23" i="3"/>
  <c r="Z26" i="3" s="1"/>
  <c r="L7" i="2"/>
  <c r="L8" i="2" s="1"/>
  <c r="I9" i="2"/>
  <c r="I23" i="3"/>
  <c r="M26" i="3" s="1"/>
  <c r="L23" i="3"/>
  <c r="L30" i="3" s="1"/>
  <c r="K23" i="3"/>
  <c r="K30" i="3" s="1"/>
  <c r="I15" i="3"/>
  <c r="M18" i="3" s="1"/>
  <c r="M15" i="3"/>
  <c r="L15" i="3"/>
  <c r="O35" i="2"/>
  <c r="P35" i="2" s="1"/>
  <c r="Q35" i="2" s="1"/>
  <c r="R35" i="2" s="1"/>
  <c r="S35" i="2" s="1"/>
  <c r="T35" i="2" s="1"/>
  <c r="U35" i="2" s="1"/>
  <c r="V35" i="2" s="1"/>
  <c r="I48" i="2"/>
  <c r="L48" i="2"/>
  <c r="M48" i="2"/>
  <c r="H48" i="2"/>
  <c r="M49" i="2"/>
  <c r="H49" i="2"/>
  <c r="I49" i="2"/>
  <c r="G49" i="2"/>
  <c r="L49" i="2"/>
  <c r="K49" i="2"/>
  <c r="I21" i="2"/>
  <c r="K21" i="2"/>
  <c r="L21" i="2"/>
  <c r="G21" i="2"/>
  <c r="H21" i="2"/>
  <c r="Z36" i="2"/>
  <c r="AA36" i="2"/>
  <c r="Z31" i="2"/>
  <c r="Z32" i="2" s="1"/>
  <c r="AA31" i="2"/>
  <c r="AA32" i="2" s="1"/>
  <c r="Y31" i="2"/>
  <c r="Y32" i="2" s="1"/>
  <c r="Y36" i="2"/>
  <c r="H36" i="2"/>
  <c r="I36" i="2"/>
  <c r="K36" i="2"/>
  <c r="L36" i="2"/>
  <c r="M36" i="2"/>
  <c r="G36" i="2"/>
  <c r="H31" i="2"/>
  <c r="H32" i="2" s="1"/>
  <c r="I31" i="2"/>
  <c r="I32" i="2" s="1"/>
  <c r="K31" i="2"/>
  <c r="K32" i="2" s="1"/>
  <c r="L31" i="2"/>
  <c r="L32" i="2" s="1"/>
  <c r="M31" i="2"/>
  <c r="M25" i="2" l="1"/>
  <c r="X18" i="3"/>
  <c r="K19" i="3"/>
  <c r="L25" i="2"/>
  <c r="K25" i="2"/>
  <c r="I30" i="3"/>
  <c r="I36" i="3"/>
  <c r="I37" i="3" s="1"/>
  <c r="X26" i="3"/>
  <c r="M27" i="3"/>
  <c r="M31" i="3" s="1"/>
  <c r="M30" i="3"/>
  <c r="M36" i="3"/>
  <c r="M37" i="3" s="1"/>
  <c r="K36" i="3"/>
  <c r="K37" i="3" s="1"/>
  <c r="L36" i="3"/>
  <c r="L37" i="3" s="1"/>
  <c r="Y26" i="3"/>
  <c r="M19" i="3"/>
  <c r="Z18" i="3"/>
  <c r="L19" i="3"/>
  <c r="Y18" i="3"/>
  <c r="O34" i="2"/>
  <c r="O11" i="2" s="1"/>
  <c r="O13" i="2" s="1"/>
  <c r="P8" i="2" s="1"/>
  <c r="O33" i="2"/>
  <c r="M22" i="2"/>
  <c r="Z37" i="2"/>
  <c r="M37" i="2"/>
  <c r="L37" i="2"/>
  <c r="L39" i="2" s="1"/>
  <c r="L42" i="2" s="1"/>
  <c r="L95" i="2" s="1"/>
  <c r="L107" i="2" s="1"/>
  <c r="L123" i="2" s="1"/>
  <c r="AA37" i="2"/>
  <c r="Y37" i="2"/>
  <c r="M32" i="2"/>
  <c r="K37" i="2"/>
  <c r="K39" i="2" s="1"/>
  <c r="K42" i="2" s="1"/>
  <c r="K95" i="2" s="1"/>
  <c r="K107" i="2" s="1"/>
  <c r="K123" i="2" s="1"/>
  <c r="I37" i="2"/>
  <c r="I39" i="2" s="1"/>
  <c r="I42" i="2" s="1"/>
  <c r="I95" i="2" s="1"/>
  <c r="I107" i="2" s="1"/>
  <c r="I123" i="2" s="1"/>
  <c r="H37" i="2"/>
  <c r="H39" i="2" s="1"/>
  <c r="H42" i="2" s="1"/>
  <c r="H95" i="2" s="1"/>
  <c r="H107" i="2" s="1"/>
  <c r="H123" i="2" s="1"/>
  <c r="I22" i="2"/>
  <c r="H44" i="2"/>
  <c r="AA38" i="2"/>
  <c r="Z38" i="2"/>
  <c r="Y38" i="2"/>
  <c r="J30" i="2"/>
  <c r="J33" i="2"/>
  <c r="J34" i="2"/>
  <c r="J11" i="2" s="1"/>
  <c r="J13" i="2" s="1"/>
  <c r="J40" i="2"/>
  <c r="J43" i="2"/>
  <c r="M26" i="2" l="1"/>
  <c r="M39" i="2"/>
  <c r="M42" i="2" s="1"/>
  <c r="M95" i="2" s="1"/>
  <c r="M107" i="2" s="1"/>
  <c r="M123" i="2" s="1"/>
  <c r="D11" i="1"/>
  <c r="D15" i="1" s="1"/>
  <c r="K14" i="2"/>
  <c r="K13" i="2"/>
  <c r="L13" i="2"/>
  <c r="M14" i="2" s="1"/>
  <c r="M13" i="2"/>
  <c r="P34" i="2"/>
  <c r="P11" i="2" s="1"/>
  <c r="P13" i="2" s="1"/>
  <c r="O36" i="2"/>
  <c r="P33" i="2"/>
  <c r="J48" i="2"/>
  <c r="K48" i="2"/>
  <c r="Z39" i="2"/>
  <c r="Z42" i="2" s="1"/>
  <c r="K22" i="2"/>
  <c r="M23" i="2"/>
  <c r="L22" i="2"/>
  <c r="Y39" i="2"/>
  <c r="Y42" i="2" s="1"/>
  <c r="AA39" i="2"/>
  <c r="AA42" i="2" s="1"/>
  <c r="J36" i="2"/>
  <c r="J73" i="2"/>
  <c r="M73" i="2"/>
  <c r="M79" i="2"/>
  <c r="M82" i="2" s="1"/>
  <c r="J79" i="2"/>
  <c r="J82" i="2" s="1"/>
  <c r="M88" i="2"/>
  <c r="J88" i="2"/>
  <c r="Q34" i="2" l="1"/>
  <c r="Q11" i="2" s="1"/>
  <c r="Q13" i="2" s="1"/>
  <c r="P36" i="2"/>
  <c r="Q33" i="2"/>
  <c r="L23" i="2"/>
  <c r="K23" i="2"/>
  <c r="I23" i="2"/>
  <c r="M27" i="2" s="1"/>
  <c r="M90" i="2"/>
  <c r="M91" i="2" s="1"/>
  <c r="J90" i="2"/>
  <c r="J91" i="2" s="1"/>
  <c r="G31" i="2"/>
  <c r="R34" i="2" l="1"/>
  <c r="R11" i="2" s="1"/>
  <c r="R13" i="2" s="1"/>
  <c r="Q36" i="2"/>
  <c r="R33" i="2"/>
  <c r="G32" i="2"/>
  <c r="G37" i="2"/>
  <c r="G39" i="2" s="1"/>
  <c r="G42" i="2" s="1"/>
  <c r="G95" i="2" s="1"/>
  <c r="G107" i="2" s="1"/>
  <c r="G123" i="2" s="1"/>
  <c r="J29" i="2"/>
  <c r="J5" i="2" l="1"/>
  <c r="J12" i="2"/>
  <c r="S34" i="2"/>
  <c r="S11" i="2" s="1"/>
  <c r="S13" i="2" s="1"/>
  <c r="S33" i="2"/>
  <c r="R36" i="2"/>
  <c r="J21" i="2"/>
  <c r="N25" i="2" s="1"/>
  <c r="J49" i="2"/>
  <c r="J31" i="2"/>
  <c r="N8" i="2" l="1"/>
  <c r="N14" i="2" s="1"/>
  <c r="J8" i="2"/>
  <c r="J23" i="3"/>
  <c r="J36" i="3" s="1"/>
  <c r="J37" i="3" s="1"/>
  <c r="J15" i="3"/>
  <c r="N18" i="3" s="1"/>
  <c r="J9" i="2"/>
  <c r="L14" i="2"/>
  <c r="K9" i="2"/>
  <c r="T34" i="2"/>
  <c r="T11" i="2" s="1"/>
  <c r="T13" i="2" s="1"/>
  <c r="T33" i="2"/>
  <c r="S36" i="2"/>
  <c r="J37" i="2"/>
  <c r="J39" i="2" s="1"/>
  <c r="J42" i="2" s="1"/>
  <c r="J95" i="2" s="1"/>
  <c r="J107" i="2" s="1"/>
  <c r="J123" i="2" s="1"/>
  <c r="J32" i="2"/>
  <c r="N26" i="3" l="1"/>
  <c r="J30" i="3"/>
  <c r="R7" i="2"/>
  <c r="N15" i="3"/>
  <c r="N23" i="3"/>
  <c r="N22" i="2" s="1"/>
  <c r="U34" i="2"/>
  <c r="U11" i="2" s="1"/>
  <c r="U13" i="2" s="1"/>
  <c r="U33" i="2"/>
  <c r="T36" i="2"/>
  <c r="J22" i="2"/>
  <c r="N26" i="2" l="1"/>
  <c r="N27" i="3"/>
  <c r="N31" i="3" s="1"/>
  <c r="AB29" i="2"/>
  <c r="N36" i="3"/>
  <c r="N23" i="2" s="1"/>
  <c r="AA26" i="3"/>
  <c r="N30" i="3"/>
  <c r="AA18" i="3"/>
  <c r="N19" i="3"/>
  <c r="O5" i="2"/>
  <c r="O9" i="2" s="1"/>
  <c r="V34" i="2"/>
  <c r="V11" i="2" s="1"/>
  <c r="V13" i="2" s="1"/>
  <c r="U36" i="2"/>
  <c r="V33" i="2"/>
  <c r="J23" i="2"/>
  <c r="N27" i="2" l="1"/>
  <c r="AB21" i="2"/>
  <c r="AB30" i="2"/>
  <c r="N37" i="3"/>
  <c r="O29" i="2"/>
  <c r="O52" i="2" s="1"/>
  <c r="X15" i="3"/>
  <c r="X23" i="3"/>
  <c r="S7" i="2"/>
  <c r="V36" i="2"/>
  <c r="X36" i="3" l="1"/>
  <c r="AB26" i="3"/>
  <c r="X30" i="3"/>
  <c r="X27" i="3"/>
  <c r="X31" i="3" s="1"/>
  <c r="O22" i="2"/>
  <c r="O26" i="2" s="1"/>
  <c r="O21" i="2"/>
  <c r="O25" i="2" s="1"/>
  <c r="O49" i="2"/>
  <c r="P5" i="2"/>
  <c r="O30" i="2"/>
  <c r="O12" i="2"/>
  <c r="AB18" i="3"/>
  <c r="X19" i="3"/>
  <c r="O31" i="2" l="1"/>
  <c r="O37" i="2" s="1"/>
  <c r="O39" i="2" s="1"/>
  <c r="O42" i="2" s="1"/>
  <c r="P29" i="2"/>
  <c r="P52" i="2" s="1"/>
  <c r="Y23" i="3"/>
  <c r="Y15" i="3"/>
  <c r="P9" i="2"/>
  <c r="T7" i="2"/>
  <c r="X37" i="3"/>
  <c r="O23" i="2"/>
  <c r="O27" i="2" s="1"/>
  <c r="AC18" i="3" l="1"/>
  <c r="Y19" i="3"/>
  <c r="Y36" i="3"/>
  <c r="P22" i="2"/>
  <c r="P26" i="2" s="1"/>
  <c r="Y30" i="3"/>
  <c r="AC26" i="3"/>
  <c r="Y27" i="3"/>
  <c r="Y31" i="3" s="1"/>
  <c r="P49" i="2"/>
  <c r="P30" i="2"/>
  <c r="P12" i="2"/>
  <c r="Q8" i="2"/>
  <c r="Q5" i="2" s="1"/>
  <c r="P21" i="2"/>
  <c r="P25" i="2" s="1"/>
  <c r="P31" i="2" l="1"/>
  <c r="P37" i="2" s="1"/>
  <c r="P39" i="2" s="1"/>
  <c r="P42" i="2" s="1"/>
  <c r="Y37" i="3"/>
  <c r="P23" i="2"/>
  <c r="P27" i="2" s="1"/>
  <c r="Z23" i="3"/>
  <c r="Z36" i="3" s="1"/>
  <c r="Q29" i="2"/>
  <c r="Q52" i="2" s="1"/>
  <c r="Z15" i="3"/>
  <c r="Q9" i="2"/>
  <c r="U7" i="2"/>
  <c r="Z37" i="3" l="1"/>
  <c r="Q23" i="2"/>
  <c r="Q27" i="2" s="1"/>
  <c r="Z19" i="3"/>
  <c r="AD18" i="3"/>
  <c r="Q49" i="2"/>
  <c r="Q21" i="2"/>
  <c r="Q25" i="2" s="1"/>
  <c r="Q30" i="2"/>
  <c r="Q12" i="2"/>
  <c r="R8" i="2"/>
  <c r="R5" i="2" s="1"/>
  <c r="R9" i="2" s="1"/>
  <c r="Q22" i="2"/>
  <c r="Q26" i="2" s="1"/>
  <c r="AD26" i="3"/>
  <c r="Z27" i="3"/>
  <c r="Z31" i="3" s="1"/>
  <c r="Z30" i="3"/>
  <c r="Q31" i="2" l="1"/>
  <c r="Q37" i="2" s="1"/>
  <c r="Q39" i="2" s="1"/>
  <c r="Q42" i="2" s="1"/>
  <c r="R29" i="2"/>
  <c r="AA15" i="3"/>
  <c r="AA23" i="3"/>
  <c r="AA36" i="3" s="1"/>
  <c r="V7" i="2"/>
  <c r="AC29" i="2" l="1"/>
  <c r="R52" i="2"/>
  <c r="AA37" i="3"/>
  <c r="R23" i="2"/>
  <c r="R27" i="2" s="1"/>
  <c r="AA19" i="3"/>
  <c r="AE18" i="3"/>
  <c r="R22" i="2"/>
  <c r="R26" i="2" s="1"/>
  <c r="AE26" i="3"/>
  <c r="AA30" i="3"/>
  <c r="AA27" i="3"/>
  <c r="AA31" i="3" s="1"/>
  <c r="R49" i="2"/>
  <c r="R12" i="2"/>
  <c r="S8" i="2"/>
  <c r="S5" i="2" s="1"/>
  <c r="R21" i="2"/>
  <c r="R30" i="2"/>
  <c r="R31" i="2" l="1"/>
  <c r="R37" i="2" s="1"/>
  <c r="R39" i="2" s="1"/>
  <c r="R42" i="2" s="1"/>
  <c r="AC30" i="2"/>
  <c r="R25" i="2"/>
  <c r="AC21" i="2"/>
  <c r="S9" i="2"/>
  <c r="AB23" i="3"/>
  <c r="AB36" i="3" s="1"/>
  <c r="AB15" i="3"/>
  <c r="AB19" i="3" s="1"/>
  <c r="S29" i="2"/>
  <c r="S52" i="2" s="1"/>
  <c r="AB37" i="3" l="1"/>
  <c r="S23" i="2"/>
  <c r="S27" i="2" s="1"/>
  <c r="S21" i="2"/>
  <c r="S25" i="2" s="1"/>
  <c r="S12" i="2"/>
  <c r="T8" i="2"/>
  <c r="T5" i="2" s="1"/>
  <c r="S30" i="2"/>
  <c r="S49" i="2"/>
  <c r="S22" i="2"/>
  <c r="S26" i="2" s="1"/>
  <c r="AB30" i="3"/>
  <c r="AB27" i="3"/>
  <c r="AB31" i="3" s="1"/>
  <c r="S31" i="2" l="1"/>
  <c r="S37" i="2" s="1"/>
  <c r="S39" i="2" s="1"/>
  <c r="S42" i="2" s="1"/>
  <c r="T29" i="2"/>
  <c r="T52" i="2" s="1"/>
  <c r="AC15" i="3"/>
  <c r="AC19" i="3" s="1"/>
  <c r="AC23" i="3"/>
  <c r="AC36" i="3" s="1"/>
  <c r="T9" i="2"/>
  <c r="AC37" i="3" l="1"/>
  <c r="T23" i="2"/>
  <c r="T27" i="2" s="1"/>
  <c r="AC27" i="3"/>
  <c r="AC31" i="3" s="1"/>
  <c r="AC30" i="3"/>
  <c r="T22" i="2"/>
  <c r="T26" i="2" s="1"/>
  <c r="T49" i="2"/>
  <c r="T30" i="2"/>
  <c r="T12" i="2"/>
  <c r="T21" i="2"/>
  <c r="T25" i="2" s="1"/>
  <c r="U8" i="2"/>
  <c r="U5" i="2" s="1"/>
  <c r="T31" i="2" l="1"/>
  <c r="T37" i="2" s="1"/>
  <c r="T39" i="2" s="1"/>
  <c r="T42" i="2" s="1"/>
  <c r="U29" i="2"/>
  <c r="U52" i="2" s="1"/>
  <c r="AD15" i="3"/>
  <c r="AD19" i="3" s="1"/>
  <c r="AD23" i="3"/>
  <c r="U9" i="2"/>
  <c r="AD36" i="3" l="1"/>
  <c r="AD27" i="3"/>
  <c r="AD31" i="3" s="1"/>
  <c r="U22" i="2"/>
  <c r="U26" i="2" s="1"/>
  <c r="AD30" i="3"/>
  <c r="U49" i="2"/>
  <c r="U30" i="2"/>
  <c r="U12" i="2"/>
  <c r="U21" i="2"/>
  <c r="U25" i="2" s="1"/>
  <c r="V8" i="2"/>
  <c r="V5" i="2" s="1"/>
  <c r="V29" i="2" s="1"/>
  <c r="AD29" i="2" l="1"/>
  <c r="V52" i="2"/>
  <c r="U31" i="2"/>
  <c r="U37" i="2" s="1"/>
  <c r="U39" i="2" s="1"/>
  <c r="U42" i="2" s="1"/>
  <c r="AE15" i="3"/>
  <c r="AE19" i="3" s="1"/>
  <c r="V9" i="2"/>
  <c r="AE23" i="3"/>
  <c r="AD37" i="3"/>
  <c r="U23" i="2"/>
  <c r="U27" i="2" s="1"/>
  <c r="AE36" i="3" l="1"/>
  <c r="AE30" i="3"/>
  <c r="AE27" i="3"/>
  <c r="AE31" i="3" s="1"/>
  <c r="V22" i="2"/>
  <c r="V26" i="2" s="1"/>
  <c r="V30" i="2"/>
  <c r="V49" i="2"/>
  <c r="V12" i="2"/>
  <c r="V21" i="2"/>
  <c r="V25" i="2" l="1"/>
  <c r="AD21" i="2"/>
  <c r="V31" i="2"/>
  <c r="V37" i="2" s="1"/>
  <c r="V39" i="2" s="1"/>
  <c r="V42" i="2" s="1"/>
  <c r="AD30" i="2"/>
  <c r="AE37" i="3"/>
  <c r="V23" i="2"/>
  <c r="V27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WS</author>
  </authors>
  <commentList>
    <comment ref="A6" authorId="0" shapeId="0" xr:uid="{0EDBE3BA-38F9-6D4B-B5A6-97FD074BF221}">
      <text>
        <r>
          <rPr>
            <b/>
            <sz val="10"/>
            <color rgb="FF000000"/>
            <rFont val="Tahoma"/>
            <family val="2"/>
          </rPr>
          <t>WS: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Includes Upsells, Churn, contraction for exisitng customers on a rolling LTM basis
</t>
        </r>
      </text>
    </comment>
  </commentList>
</comments>
</file>

<file path=xl/sharedStrings.xml><?xml version="1.0" encoding="utf-8"?>
<sst xmlns="http://schemas.openxmlformats.org/spreadsheetml/2006/main" count="174" uniqueCount="148">
  <si>
    <t>Net Dollar Rentention Rate</t>
  </si>
  <si>
    <t>Revenue</t>
  </si>
  <si>
    <t>Cost of Revenue</t>
  </si>
  <si>
    <t>R&amp;D</t>
  </si>
  <si>
    <t>S&amp;M</t>
  </si>
  <si>
    <t>G&amp;A</t>
  </si>
  <si>
    <t>Tax</t>
  </si>
  <si>
    <t>Reported Net Income</t>
  </si>
  <si>
    <t>DA</t>
  </si>
  <si>
    <t>SBC</t>
  </si>
  <si>
    <t>Purchase of PPE</t>
  </si>
  <si>
    <t>Capex</t>
  </si>
  <si>
    <t>Net Cash</t>
  </si>
  <si>
    <t>Cash Beginning</t>
  </si>
  <si>
    <t>Cash End</t>
  </si>
  <si>
    <t>Loss on Sale of PPE</t>
  </si>
  <si>
    <t>AP</t>
  </si>
  <si>
    <t>Deferred Revenue</t>
  </si>
  <si>
    <t>Offering Costs</t>
  </si>
  <si>
    <t>Tax Advance from Options</t>
  </si>
  <si>
    <t>Capital Lease Payments</t>
  </si>
  <si>
    <t>Net Income</t>
  </si>
  <si>
    <t>Enterprise Customers (+$50k ACV)</t>
  </si>
  <si>
    <t>ARR % from Customers +10 Users</t>
  </si>
  <si>
    <t>ARR% from Enterprise Users</t>
  </si>
  <si>
    <t>Consolidated Balance Sheet</t>
  </si>
  <si>
    <t>Cash &amp; Equivalents</t>
  </si>
  <si>
    <t>Net AR</t>
  </si>
  <si>
    <t>PE &amp; Other</t>
  </si>
  <si>
    <t>Total Current Assets</t>
  </si>
  <si>
    <t>Net PPE</t>
  </si>
  <si>
    <t>Other</t>
  </si>
  <si>
    <t>Total Assets</t>
  </si>
  <si>
    <t>AE &amp; Other</t>
  </si>
  <si>
    <t>Operating Lease Assets</t>
  </si>
  <si>
    <t>Operating Lease Liabilities</t>
  </si>
  <si>
    <t>Total Current Liabilities</t>
  </si>
  <si>
    <t>Other Non-Current Liabilities</t>
  </si>
  <si>
    <t>Total Liabillities</t>
  </si>
  <si>
    <t>Other Comprehensive</t>
  </si>
  <si>
    <t>Share Capital &amp; APIC</t>
  </si>
  <si>
    <t>Accumulated Deficit</t>
  </si>
  <si>
    <t>Total SE</t>
  </si>
  <si>
    <t>SE &amp; Liabilities</t>
  </si>
  <si>
    <t>Check</t>
  </si>
  <si>
    <t>Change in Accrued Interest</t>
  </si>
  <si>
    <t>Change in AR</t>
  </si>
  <si>
    <t>Change in PE</t>
  </si>
  <si>
    <t>Change in AP</t>
  </si>
  <si>
    <t>Change in AE</t>
  </si>
  <si>
    <t>Change in Deferred Revenue</t>
  </si>
  <si>
    <t>Change in Operating Assets &amp; Liabilities</t>
  </si>
  <si>
    <t>Repayment of Credit Facility</t>
  </si>
  <si>
    <t>Changes in Short Term Deposits</t>
  </si>
  <si>
    <t>Interest Income (Expense)</t>
  </si>
  <si>
    <t>ARR</t>
  </si>
  <si>
    <t>Enterprise User Segment (+$50k ARR)</t>
  </si>
  <si>
    <t>ARR from Customers +10 Users</t>
  </si>
  <si>
    <t>Enterprise ARR</t>
  </si>
  <si>
    <t>+10 Users NDR</t>
  </si>
  <si>
    <t>Existing Enterprise ARR</t>
  </si>
  <si>
    <t>New Enterprise ARR</t>
  </si>
  <si>
    <t>Average ARR per Enterprise Customer</t>
  </si>
  <si>
    <t>10+ User Segment</t>
  </si>
  <si>
    <t>Existing +10 User ARR</t>
  </si>
  <si>
    <t>New +10 User ARR</t>
  </si>
  <si>
    <t>Enterprise Customer NDR</t>
  </si>
  <si>
    <t>Non-Enterprise User Segment</t>
  </si>
  <si>
    <t>Gross Margin</t>
  </si>
  <si>
    <t>Gross Profit</t>
  </si>
  <si>
    <t>Total Operating Expense</t>
  </si>
  <si>
    <t>EBIT</t>
  </si>
  <si>
    <t>EBT</t>
  </si>
  <si>
    <t>Non-Enterprise ARR</t>
  </si>
  <si>
    <t>ARR % from Non-Enterprise Users</t>
  </si>
  <si>
    <t>Non-Enterprise Customer NDR</t>
  </si>
  <si>
    <t>Existing Non-Enterprise ARR</t>
  </si>
  <si>
    <t>New Non-Enterprise ARR</t>
  </si>
  <si>
    <t>Annual Recurring Revenue (ARR)</t>
  </si>
  <si>
    <t>Non-Enterprise Revenue</t>
  </si>
  <si>
    <t>Enterprise Revenue</t>
  </si>
  <si>
    <t>4Q23</t>
  </si>
  <si>
    <t>1Q24</t>
  </si>
  <si>
    <t>2Q24</t>
  </si>
  <si>
    <t>3Q24</t>
  </si>
  <si>
    <t>4Q24</t>
  </si>
  <si>
    <t>S&amp;M Spend</t>
  </si>
  <si>
    <t>S&amp;M Spend % of Revenue</t>
  </si>
  <si>
    <t>S&amp;M Spend Q/Q</t>
  </si>
  <si>
    <t>Annual Recurring Revenue (ARR) Y/Y</t>
  </si>
  <si>
    <t>Enterprise Revenue Y/Y</t>
  </si>
  <si>
    <t>Non-Enterprise Revenue Y/Y</t>
  </si>
  <si>
    <t>Average ARR per New Enterprise Customer</t>
  </si>
  <si>
    <t>% of Revenue</t>
  </si>
  <si>
    <t>Drivers &amp; Revenue Build</t>
  </si>
  <si>
    <t>LTM "Reinvested" Spend</t>
  </si>
  <si>
    <t>New ARR Return</t>
  </si>
  <si>
    <t>New ARR Y/Y</t>
  </si>
  <si>
    <t>Existing ARR Y/Y</t>
  </si>
  <si>
    <t>P&amp;L GAAP Drivers</t>
  </si>
  <si>
    <t>P&amp;L GAAP</t>
  </si>
  <si>
    <t>Cashflows from Operations</t>
  </si>
  <si>
    <t>Cashflows from Investing</t>
  </si>
  <si>
    <t>Cash Flows from Financing</t>
  </si>
  <si>
    <t>Basic Shares</t>
  </si>
  <si>
    <t>Consolidated Statement fo Cash Flows</t>
  </si>
  <si>
    <t>Shares</t>
  </si>
  <si>
    <t>Last</t>
  </si>
  <si>
    <t>Rev</t>
  </si>
  <si>
    <t>EBITDA</t>
  </si>
  <si>
    <t>ARR Multiple</t>
  </si>
  <si>
    <t>MC</t>
  </si>
  <si>
    <t>Non-current Operating Lease Liabilities</t>
  </si>
  <si>
    <t>Proceeds from Sale of PPE</t>
  </si>
  <si>
    <t xml:space="preserve">Capitalized Software </t>
  </si>
  <si>
    <t>Proceeds from Options Exercise &amp; ESPP</t>
  </si>
  <si>
    <t>Short Term Deposits</t>
  </si>
  <si>
    <t>Preferred</t>
  </si>
  <si>
    <t>Net ARR Q/Q</t>
  </si>
  <si>
    <t>Paid Customers</t>
  </si>
  <si>
    <t>ACV</t>
  </si>
  <si>
    <t>1Q21A</t>
  </si>
  <si>
    <t>2Q21A</t>
  </si>
  <si>
    <t>4Q19A</t>
  </si>
  <si>
    <t>1Q20A</t>
  </si>
  <si>
    <t>2Q20A</t>
  </si>
  <si>
    <t>3Q20A</t>
  </si>
  <si>
    <t>4Q20A</t>
  </si>
  <si>
    <t>3Q21A</t>
  </si>
  <si>
    <t>4Q21A</t>
  </si>
  <si>
    <t>1Q22A</t>
  </si>
  <si>
    <t>2Q22A</t>
  </si>
  <si>
    <t>3Q22A</t>
  </si>
  <si>
    <t>4Q22A</t>
  </si>
  <si>
    <t>1Q23A</t>
  </si>
  <si>
    <t>2Q23E</t>
  </si>
  <si>
    <t>3Q23E</t>
  </si>
  <si>
    <t>FY2019A</t>
  </si>
  <si>
    <t>FY2020A</t>
  </si>
  <si>
    <t>FY2021A</t>
  </si>
  <si>
    <t>FY2022A</t>
  </si>
  <si>
    <t>FY2023E</t>
  </si>
  <si>
    <t>FY2024E</t>
  </si>
  <si>
    <t>4Q23E</t>
  </si>
  <si>
    <t>1Q24E</t>
  </si>
  <si>
    <t>2Q24E</t>
  </si>
  <si>
    <t>3Q24E</t>
  </si>
  <si>
    <t>4Q24E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</si>
</sst>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"/>
  </numFmts>
  <fonts count="8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</cellStyleXfs>
  <cellXfs count="31">
    <xf numFmtId="0" fontId="0" fillId="0" borderId="0" xfId="0"/>
    <xf numFmtId="9" fontId="0" fillId="0" borderId="0" xfId="0" applyNumberFormat="1"/>
    <xf numFmtId="0" fontId="0" fillId="0" borderId="0" xfId="0" quotePrefix="1"/>
    <xf numFmtId="1" fontId="0" fillId="0" borderId="0" xfId="0" applyNumberFormat="1"/>
    <xf numFmtId="0" fontId="3" fillId="0" borderId="0" xfId="0" applyFont="1"/>
    <xf numFmtId="0" fontId="3" fillId="0" borderId="0" xfId="0" quotePrefix="1" applyFont="1"/>
    <xf numFmtId="1" fontId="0" fillId="0" borderId="0" xfId="0" quotePrefix="1" applyNumberFormat="1"/>
    <xf numFmtId="9" fontId="0" fillId="0" borderId="0" xfId="1" quotePrefix="1" applyFont="1"/>
    <xf numFmtId="9" fontId="0" fillId="0" borderId="0" xfId="1" applyFont="1" applyFill="1"/>
    <xf numFmtId="1" fontId="0" fillId="0" borderId="0" xfId="1" quotePrefix="1" applyNumberFormat="1" applyFont="1" applyFill="1"/>
    <xf numFmtId="1" fontId="0" fillId="0" borderId="0" xfId="1" applyNumberFormat="1" applyFont="1" applyFill="1"/>
    <xf numFmtId="9" fontId="5" fillId="0" borderId="0" xfId="1" applyFont="1" applyFill="1"/>
    <xf numFmtId="1" fontId="0" fillId="0" borderId="0" xfId="2" applyNumberFormat="1" applyFont="1" applyFill="1"/>
    <xf numFmtId="0" fontId="0" fillId="0" borderId="0" xfId="0" applyFill="1"/>
    <xf numFmtId="0" fontId="3" fillId="0" borderId="0" xfId="0" applyFont="1" applyFill="1"/>
    <xf numFmtId="0" fontId="3" fillId="0" borderId="0" xfId="0" quotePrefix="1" applyFont="1" applyFill="1"/>
    <xf numFmtId="1" fontId="3" fillId="0" borderId="0" xfId="0" quotePrefix="1" applyNumberFormat="1" applyFont="1" applyFill="1"/>
    <xf numFmtId="9" fontId="0" fillId="0" borderId="0" xfId="0" applyNumberFormat="1" applyFill="1"/>
    <xf numFmtId="0" fontId="0" fillId="0" borderId="0" xfId="0" quotePrefix="1" applyFill="1"/>
    <xf numFmtId="1" fontId="0" fillId="0" borderId="0" xfId="0" applyNumberFormat="1" applyFill="1"/>
    <xf numFmtId="1" fontId="0" fillId="0" borderId="0" xfId="0" quotePrefix="1" applyNumberFormat="1" applyFill="1"/>
    <xf numFmtId="9" fontId="3" fillId="0" borderId="0" xfId="0" applyNumberFormat="1" applyFont="1" applyFill="1"/>
    <xf numFmtId="0" fontId="5" fillId="0" borderId="0" xfId="0" applyFont="1" applyFill="1"/>
    <xf numFmtId="1" fontId="5" fillId="0" borderId="0" xfId="0" applyNumberFormat="1" applyFont="1" applyFill="1"/>
    <xf numFmtId="1" fontId="3" fillId="0" borderId="0" xfId="0" applyNumberFormat="1" applyFont="1" applyFill="1"/>
    <xf numFmtId="164" fontId="0" fillId="0" borderId="0" xfId="0" applyNumberFormat="1" applyFill="1"/>
    <xf numFmtId="2" fontId="0" fillId="0" borderId="0" xfId="0" applyNumberFormat="1" applyFill="1"/>
    <xf numFmtId="0" fontId="6" fillId="0" borderId="0" xfId="0" applyFont="1" applyFill="1"/>
    <xf numFmtId="0" fontId="7" fillId="0" borderId="0" xfId="0" applyFont="1" applyFill="1"/>
    <xf numFmtId="164" fontId="7" fillId="0" borderId="0" xfId="0" applyNumberFormat="1" applyFont="1" applyFill="1"/>
    <xf numFmtId="9" fontId="7" fillId="0" borderId="0" xfId="0" applyNumberFormat="1" applyFont="1" applyFill="1"/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85876-56A2-FF4E-BAE8-37D75770FC0B}">
  <dimension ref="C4:D15"/>
  <sheetViews>
    <sheetView workbookViewId="0">
      <selection activeCell="D15" sqref="D15"/>
    </sheetView>
  </sheetViews>
  <sheetFormatPr baseColWidth="10" defaultRowHeight="16" x14ac:dyDescent="0.2"/>
  <sheetData>
    <row r="4" spans="3:4" x14ac:dyDescent="0.2">
      <c r="C4" t="s">
        <v>107</v>
      </c>
      <c r="D4">
        <v>97</v>
      </c>
    </row>
    <row r="5" spans="3:4" x14ac:dyDescent="0.2">
      <c r="C5" t="s">
        <v>106</v>
      </c>
      <c r="D5">
        <f>Model!M44</f>
        <v>45.477803999999999</v>
      </c>
    </row>
    <row r="6" spans="3:4" x14ac:dyDescent="0.2">
      <c r="C6" t="s">
        <v>111</v>
      </c>
      <c r="D6">
        <f>D5*D4</f>
        <v>4411.3469880000002</v>
      </c>
    </row>
    <row r="9" spans="3:4" x14ac:dyDescent="0.2">
      <c r="C9" t="s">
        <v>108</v>
      </c>
      <c r="D9">
        <f>Model!M29</f>
        <v>136893</v>
      </c>
    </row>
    <row r="10" spans="3:4" x14ac:dyDescent="0.2">
      <c r="C10" t="s">
        <v>55</v>
      </c>
      <c r="D10">
        <f>D9*4</f>
        <v>547572</v>
      </c>
    </row>
    <row r="11" spans="3:4" x14ac:dyDescent="0.2">
      <c r="C11" t="s">
        <v>109</v>
      </c>
      <c r="D11" s="3">
        <f>Model!M37+Model!M96</f>
        <v>-25379</v>
      </c>
    </row>
    <row r="14" spans="3:4" x14ac:dyDescent="0.2">
      <c r="C14" t="s">
        <v>110</v>
      </c>
      <c r="D14">
        <f>D6/D10*1000</f>
        <v>8.0561953277377221</v>
      </c>
    </row>
    <row r="15" spans="3:4" x14ac:dyDescent="0.2">
      <c r="D15">
        <f>D6/(D11*4)*1000</f>
        <v>-43.454696678356122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FB386-02D9-5D4F-8430-D489624025B1}">
  <dimension ref="A1:AD127"/>
  <sheetViews>
    <sheetView zoomScale="119" workbookViewId="0">
      <pane xSplit="1" ySplit="2" topLeftCell="L3" activePane="bottomRight" state="frozen"/>
      <selection pane="topRight" activeCell="B1" sqref="B1"/>
      <selection pane="bottomLeft" activeCell="A3" sqref="A3"/>
      <selection pane="bottomRight" activeCell="M6" sqref="M6"/>
    </sheetView>
  </sheetViews>
  <sheetFormatPr baseColWidth="10" defaultRowHeight="16" outlineLevelCol="1" x14ac:dyDescent="0.2"/>
  <cols>
    <col min="1" max="1" width="33.83203125" style="13" customWidth="1"/>
    <col min="2" max="6" width="12" style="13" customWidth="1" outlineLevel="1"/>
    <col min="7" max="24" width="11" style="13" customWidth="1"/>
    <col min="25" max="16384" width="10.83203125" style="13"/>
  </cols>
  <sheetData>
    <row r="1" spans="1:30" x14ac:dyDescent="0.2">
      <c r="B1" s="13" t="s">
        <v>123</v>
      </c>
      <c r="C1" s="13" t="s">
        <v>124</v>
      </c>
      <c r="D1" s="13" t="s">
        <v>125</v>
      </c>
      <c r="E1" s="13" t="s">
        <v>126</v>
      </c>
      <c r="F1" s="13" t="s">
        <v>127</v>
      </c>
      <c r="G1" s="13" t="s">
        <v>121</v>
      </c>
      <c r="H1" s="13" t="s">
        <v>122</v>
      </c>
      <c r="I1" s="13" t="s">
        <v>128</v>
      </c>
      <c r="J1" s="13" t="s">
        <v>129</v>
      </c>
      <c r="K1" s="13" t="s">
        <v>130</v>
      </c>
      <c r="L1" s="13" t="s">
        <v>131</v>
      </c>
      <c r="M1" s="13" t="s">
        <v>132</v>
      </c>
      <c r="N1" s="13" t="s">
        <v>133</v>
      </c>
      <c r="O1" s="13" t="s">
        <v>134</v>
      </c>
      <c r="P1" s="13" t="s">
        <v>135</v>
      </c>
      <c r="Q1" s="13" t="s">
        <v>136</v>
      </c>
      <c r="R1" s="13" t="s">
        <v>143</v>
      </c>
      <c r="S1" s="13" t="s">
        <v>144</v>
      </c>
      <c r="T1" s="13" t="s">
        <v>145</v>
      </c>
      <c r="U1" s="13" t="s">
        <v>146</v>
      </c>
      <c r="V1" s="13" t="s">
        <v>147</v>
      </c>
      <c r="Y1" t="s">
        <v>137</v>
      </c>
      <c r="Z1" t="s">
        <v>138</v>
      </c>
      <c r="AA1" t="s">
        <v>139</v>
      </c>
      <c r="AB1" t="s">
        <v>140</v>
      </c>
      <c r="AC1" s="13" t="s">
        <v>141</v>
      </c>
      <c r="AD1" s="13" t="s">
        <v>142</v>
      </c>
    </row>
    <row r="3" spans="1:30" s="14" customFormat="1" x14ac:dyDescent="0.2">
      <c r="A3" s="14" t="s">
        <v>94</v>
      </c>
    </row>
    <row r="5" spans="1:30" s="14" customFormat="1" x14ac:dyDescent="0.2">
      <c r="A5" s="15" t="s">
        <v>55</v>
      </c>
      <c r="B5" s="15"/>
      <c r="C5" s="15"/>
      <c r="D5" s="15"/>
      <c r="E5" s="15"/>
      <c r="F5" s="15">
        <f>F21</f>
        <v>200568</v>
      </c>
      <c r="G5" s="15">
        <v>235888</v>
      </c>
      <c r="H5" s="15">
        <f>Model!H29*4</f>
        <v>282460</v>
      </c>
      <c r="I5" s="15">
        <f>Model!I29*4</f>
        <v>332072</v>
      </c>
      <c r="J5" s="15">
        <f>Model!J29*4</f>
        <v>382180</v>
      </c>
      <c r="K5" s="15">
        <f>Model!K29*4</f>
        <v>433988</v>
      </c>
      <c r="L5" s="15">
        <f>Model!L29*4</f>
        <v>494872</v>
      </c>
      <c r="M5" s="15">
        <f>Model!M29*4</f>
        <v>547572</v>
      </c>
      <c r="N5" s="15">
        <f>Model!N29*4</f>
        <v>599684</v>
      </c>
      <c r="O5" s="16">
        <f t="shared" ref="O5:V5" si="0">O7+O8</f>
        <v>697216.2</v>
      </c>
      <c r="P5" s="16">
        <f t="shared" si="0"/>
        <v>734311.99749999994</v>
      </c>
      <c r="Q5" s="16">
        <f t="shared" si="0"/>
        <v>811104.62412499986</v>
      </c>
      <c r="R5" s="16">
        <f t="shared" si="0"/>
        <v>872442.48898687493</v>
      </c>
      <c r="S5" s="16">
        <f>S7+S8</f>
        <v>971769.77130384604</v>
      </c>
      <c r="T5" s="16">
        <f t="shared" si="0"/>
        <v>1015647.6278234036</v>
      </c>
      <c r="U5" s="16">
        <f t="shared" si="0"/>
        <v>1103238.0835695046</v>
      </c>
      <c r="V5" s="16">
        <f t="shared" si="0"/>
        <v>1173875.0798730471</v>
      </c>
      <c r="AB5" s="15"/>
    </row>
    <row r="6" spans="1:30" x14ac:dyDescent="0.2">
      <c r="A6" s="13" t="s">
        <v>0</v>
      </c>
      <c r="B6" s="17">
        <v>1</v>
      </c>
      <c r="C6" s="17"/>
      <c r="F6" s="17">
        <v>1.05</v>
      </c>
      <c r="G6" s="17">
        <v>1.07</v>
      </c>
      <c r="H6" s="17">
        <v>1.1000000000000001</v>
      </c>
      <c r="I6" s="17">
        <v>1.1499999999999999</v>
      </c>
      <c r="J6" s="17">
        <v>1.2</v>
      </c>
      <c r="K6" s="17">
        <v>1.25</v>
      </c>
      <c r="L6" s="17">
        <v>1.25</v>
      </c>
      <c r="M6" s="30">
        <v>1.2</v>
      </c>
      <c r="N6" s="8">
        <v>1.2</v>
      </c>
      <c r="O6" s="8">
        <v>1.2</v>
      </c>
      <c r="P6" s="8">
        <v>1.1499999999999999</v>
      </c>
      <c r="Q6" s="8">
        <v>1.1499999999999999</v>
      </c>
      <c r="R6" s="8">
        <v>1.1499999999999999</v>
      </c>
      <c r="S6" s="8">
        <v>1.1000000000000001</v>
      </c>
      <c r="T6" s="8">
        <v>1.1000000000000001</v>
      </c>
      <c r="U6" s="8">
        <v>1.1000000000000001</v>
      </c>
      <c r="V6" s="8">
        <v>1.1000000000000001</v>
      </c>
      <c r="AB6" s="17"/>
    </row>
    <row r="7" spans="1:30" x14ac:dyDescent="0.2">
      <c r="A7" s="18" t="s">
        <v>98</v>
      </c>
      <c r="B7" s="18"/>
      <c r="C7" s="18"/>
      <c r="D7" s="18"/>
      <c r="E7" s="18"/>
      <c r="F7" s="18"/>
      <c r="G7" s="18"/>
      <c r="H7" s="18"/>
      <c r="I7" s="18"/>
      <c r="J7" s="19">
        <f>J6*F5</f>
        <v>240681.59999999998</v>
      </c>
      <c r="K7" s="19">
        <f>K6*G5</f>
        <v>294860</v>
      </c>
      <c r="L7" s="19">
        <f>L6*H5</f>
        <v>353075</v>
      </c>
      <c r="M7" s="19">
        <f>M6*I5</f>
        <v>398486.39999999997</v>
      </c>
      <c r="N7" s="19">
        <f>N6*J5</f>
        <v>458616</v>
      </c>
      <c r="O7" s="19">
        <f t="shared" ref="O7:V7" si="1">K5*O6</f>
        <v>520785.6</v>
      </c>
      <c r="P7" s="19">
        <f t="shared" si="1"/>
        <v>569102.79999999993</v>
      </c>
      <c r="Q7" s="19">
        <f>M5*Q6</f>
        <v>629707.79999999993</v>
      </c>
      <c r="R7" s="19">
        <f t="shared" si="1"/>
        <v>689636.6</v>
      </c>
      <c r="S7" s="19">
        <f t="shared" si="1"/>
        <v>766937.82000000007</v>
      </c>
      <c r="T7" s="19">
        <f t="shared" si="1"/>
        <v>807743.19724999997</v>
      </c>
      <c r="U7" s="19">
        <f t="shared" si="1"/>
        <v>892215.08653749991</v>
      </c>
      <c r="V7" s="19">
        <f t="shared" si="1"/>
        <v>959686.73788556247</v>
      </c>
      <c r="AB7" s="19"/>
    </row>
    <row r="8" spans="1:30" x14ac:dyDescent="0.2">
      <c r="A8" s="18" t="s">
        <v>97</v>
      </c>
      <c r="B8" s="18"/>
      <c r="C8" s="18"/>
      <c r="D8" s="18"/>
      <c r="E8" s="18"/>
      <c r="F8" s="18"/>
      <c r="G8" s="18"/>
      <c r="H8" s="18"/>
      <c r="I8" s="18"/>
      <c r="J8" s="19">
        <f>J5-J7</f>
        <v>141498.40000000002</v>
      </c>
      <c r="K8" s="19">
        <f>K5-K7</f>
        <v>139128</v>
      </c>
      <c r="L8" s="19">
        <f>L5-L7</f>
        <v>141797</v>
      </c>
      <c r="M8" s="19">
        <f>M5-M7</f>
        <v>149085.60000000003</v>
      </c>
      <c r="N8" s="19">
        <f>N5-N7</f>
        <v>141068</v>
      </c>
      <c r="O8" s="19">
        <f t="shared" ref="O8:V8" si="2">N13*(O14+1)</f>
        <v>176430.59999999998</v>
      </c>
      <c r="P8" s="19">
        <f t="shared" si="2"/>
        <v>165209.19749999998</v>
      </c>
      <c r="Q8" s="19">
        <f t="shared" si="2"/>
        <v>181396.82412499998</v>
      </c>
      <c r="R8" s="19">
        <f t="shared" si="2"/>
        <v>182805.88898687498</v>
      </c>
      <c r="S8" s="19">
        <f t="shared" si="2"/>
        <v>204831.95130384591</v>
      </c>
      <c r="T8" s="19">
        <f t="shared" si="2"/>
        <v>207904.4305734036</v>
      </c>
      <c r="U8" s="19">
        <f t="shared" si="2"/>
        <v>211022.99703200464</v>
      </c>
      <c r="V8" s="19">
        <f t="shared" si="2"/>
        <v>214188.34198748469</v>
      </c>
      <c r="AB8" s="19"/>
    </row>
    <row r="9" spans="1:30" x14ac:dyDescent="0.2">
      <c r="A9" s="18" t="s">
        <v>118</v>
      </c>
      <c r="B9" s="18"/>
      <c r="C9" s="18"/>
      <c r="D9" s="18"/>
      <c r="E9" s="18"/>
      <c r="F9" s="18"/>
      <c r="G9" s="18">
        <f>G5-F5</f>
        <v>35320</v>
      </c>
      <c r="H9" s="18">
        <f>H5-G5</f>
        <v>46572</v>
      </c>
      <c r="I9" s="18">
        <f t="shared" ref="I9:O9" si="3">I5-H5</f>
        <v>49612</v>
      </c>
      <c r="J9" s="18">
        <f t="shared" si="3"/>
        <v>50108</v>
      </c>
      <c r="K9" s="18">
        <f t="shared" si="3"/>
        <v>51808</v>
      </c>
      <c r="L9" s="18">
        <f t="shared" si="3"/>
        <v>60884</v>
      </c>
      <c r="M9" s="18">
        <f t="shared" si="3"/>
        <v>52700</v>
      </c>
      <c r="N9" s="18">
        <f t="shared" si="3"/>
        <v>52112</v>
      </c>
      <c r="O9" s="20">
        <f t="shared" si="3"/>
        <v>97532.199999999953</v>
      </c>
      <c r="P9" s="20">
        <f t="shared" ref="P9:V9" si="4">P5-O5</f>
        <v>37095.797499999986</v>
      </c>
      <c r="Q9" s="20">
        <f t="shared" si="4"/>
        <v>76792.626624999917</v>
      </c>
      <c r="R9" s="20">
        <f>R5-Q5</f>
        <v>61337.864861875074</v>
      </c>
      <c r="S9" s="20">
        <f>S5-R5</f>
        <v>99327.282316971105</v>
      </c>
      <c r="T9" s="20">
        <f t="shared" si="4"/>
        <v>43877.856519557536</v>
      </c>
      <c r="U9" s="20">
        <f>U5-T5</f>
        <v>87590.455746100983</v>
      </c>
      <c r="V9" s="20">
        <f t="shared" si="4"/>
        <v>70636.996303542517</v>
      </c>
      <c r="AB9" s="19"/>
    </row>
    <row r="11" spans="1:30" x14ac:dyDescent="0.2">
      <c r="A11" s="18" t="s">
        <v>86</v>
      </c>
      <c r="B11" s="18"/>
      <c r="C11" s="18"/>
      <c r="D11" s="18"/>
      <c r="E11" s="18"/>
      <c r="F11" s="9">
        <f>F34</f>
        <v>56901</v>
      </c>
      <c r="G11" s="9">
        <f>G34</f>
        <v>63048</v>
      </c>
      <c r="H11" s="9">
        <f t="shared" ref="H11:N11" si="5">H34</f>
        <v>61057</v>
      </c>
      <c r="I11" s="9">
        <f t="shared" si="5"/>
        <v>67443</v>
      </c>
      <c r="J11" s="9">
        <f t="shared" si="5"/>
        <v>76535</v>
      </c>
      <c r="K11" s="9">
        <f t="shared" si="5"/>
        <v>115973</v>
      </c>
      <c r="L11" s="9">
        <f t="shared" si="5"/>
        <v>96740</v>
      </c>
      <c r="M11" s="9">
        <f t="shared" si="5"/>
        <v>90970</v>
      </c>
      <c r="N11" s="9">
        <f t="shared" si="5"/>
        <v>88385</v>
      </c>
      <c r="O11" s="9">
        <f t="shared" ref="O11:V11" si="6">O34</f>
        <v>91036.55</v>
      </c>
      <c r="P11" s="9">
        <f t="shared" si="6"/>
        <v>92402.098249999995</v>
      </c>
      <c r="Q11" s="9">
        <f t="shared" si="6"/>
        <v>93788.129723749982</v>
      </c>
      <c r="R11" s="9">
        <f t="shared" si="6"/>
        <v>95194.95166960622</v>
      </c>
      <c r="S11" s="9">
        <f t="shared" si="6"/>
        <v>96622.87594465031</v>
      </c>
      <c r="T11" s="9">
        <f t="shared" si="6"/>
        <v>98072.219083820062</v>
      </c>
      <c r="U11" s="9">
        <f t="shared" si="6"/>
        <v>99543.302370077348</v>
      </c>
      <c r="V11" s="9">
        <f t="shared" si="6"/>
        <v>101036.45190562849</v>
      </c>
      <c r="AB11" s="19"/>
    </row>
    <row r="12" spans="1:30" x14ac:dyDescent="0.2">
      <c r="A12" s="13" t="s">
        <v>93</v>
      </c>
      <c r="F12" s="8">
        <f>F11/F29</f>
        <v>1.134797176020103</v>
      </c>
      <c r="G12" s="8">
        <f>G11/G29</f>
        <v>1.0691175473105881</v>
      </c>
      <c r="H12" s="8">
        <f t="shared" ref="H12:V12" si="7">H11/H29</f>
        <v>0.86464632160305888</v>
      </c>
      <c r="I12" s="8">
        <f t="shared" si="7"/>
        <v>0.81239008407815172</v>
      </c>
      <c r="J12" s="8">
        <f t="shared" si="7"/>
        <v>0.80103616097127006</v>
      </c>
      <c r="K12" s="8">
        <f t="shared" si="7"/>
        <v>1.0689051310174476</v>
      </c>
      <c r="L12" s="8">
        <f t="shared" si="7"/>
        <v>0.78193957225302702</v>
      </c>
      <c r="M12" s="8">
        <f t="shared" si="7"/>
        <v>0.66453361384438936</v>
      </c>
      <c r="N12" s="8">
        <f t="shared" si="7"/>
        <v>0.58954382641524539</v>
      </c>
      <c r="O12" s="8">
        <f t="shared" si="7"/>
        <v>0.52228591360900689</v>
      </c>
      <c r="P12" s="8">
        <f t="shared" si="7"/>
        <v>0.50333971698453694</v>
      </c>
      <c r="Q12" s="8">
        <f t="shared" si="7"/>
        <v>0.46252050319612642</v>
      </c>
      <c r="R12" s="8">
        <f t="shared" si="7"/>
        <v>0.43645261605794322</v>
      </c>
      <c r="S12" s="8">
        <f t="shared" si="7"/>
        <v>0.39771920797663485</v>
      </c>
      <c r="T12" s="8">
        <f t="shared" si="7"/>
        <v>0.38624505742801751</v>
      </c>
      <c r="U12" s="8">
        <f t="shared" si="7"/>
        <v>0.36091322028335715</v>
      </c>
      <c r="V12" s="8">
        <f t="shared" si="7"/>
        <v>0.34428348855162832</v>
      </c>
    </row>
    <row r="13" spans="1:30" x14ac:dyDescent="0.2">
      <c r="A13" s="13" t="s">
        <v>95</v>
      </c>
      <c r="H13" s="8"/>
      <c r="I13" s="8"/>
      <c r="J13" s="10">
        <f>J11+I11+H11+G11</f>
        <v>268083</v>
      </c>
      <c r="K13" s="10">
        <f t="shared" ref="K13:V13" si="8">K11+J11+I11+H11</f>
        <v>321008</v>
      </c>
      <c r="L13" s="10">
        <f t="shared" si="8"/>
        <v>356691</v>
      </c>
      <c r="M13" s="10">
        <f t="shared" si="8"/>
        <v>380218</v>
      </c>
      <c r="N13" s="10">
        <f t="shared" si="8"/>
        <v>392068</v>
      </c>
      <c r="O13" s="10">
        <f t="shared" si="8"/>
        <v>367131.55</v>
      </c>
      <c r="P13" s="10">
        <f t="shared" si="8"/>
        <v>362793.64824999997</v>
      </c>
      <c r="Q13" s="10">
        <f t="shared" si="8"/>
        <v>365611.77797374997</v>
      </c>
      <c r="R13" s="10">
        <f t="shared" si="8"/>
        <v>372421.72964335617</v>
      </c>
      <c r="S13" s="10">
        <f t="shared" si="8"/>
        <v>378008.05558800651</v>
      </c>
      <c r="T13" s="10">
        <f t="shared" si="8"/>
        <v>383678.17642182659</v>
      </c>
      <c r="U13" s="10">
        <f t="shared" si="8"/>
        <v>389433.34906815394</v>
      </c>
      <c r="V13" s="10">
        <f t="shared" si="8"/>
        <v>395274.84930417623</v>
      </c>
    </row>
    <row r="14" spans="1:30" x14ac:dyDescent="0.2">
      <c r="A14" s="13" t="s">
        <v>96</v>
      </c>
      <c r="K14" s="8">
        <f>K8/J13-1</f>
        <v>-0.48102639854075047</v>
      </c>
      <c r="L14" s="8">
        <f>L8/K13-1</f>
        <v>-0.55827580621043715</v>
      </c>
      <c r="M14" s="8">
        <f>M8/L13-1</f>
        <v>-0.58203150626172229</v>
      </c>
      <c r="N14" s="8">
        <f>N8/M13-1</f>
        <v>-0.62898126864062198</v>
      </c>
      <c r="O14" s="17">
        <v>-0.55000000000000004</v>
      </c>
      <c r="P14" s="17">
        <v>-0.55000000000000004</v>
      </c>
      <c r="Q14" s="17">
        <v>-0.5</v>
      </c>
      <c r="R14" s="17">
        <v>-0.5</v>
      </c>
      <c r="S14" s="17">
        <v>-0.45</v>
      </c>
      <c r="T14" s="17">
        <v>-0.45</v>
      </c>
      <c r="U14" s="17">
        <v>-0.45</v>
      </c>
      <c r="V14" s="17">
        <v>-0.45</v>
      </c>
    </row>
    <row r="16" spans="1:30" x14ac:dyDescent="0.2">
      <c r="A16" s="13" t="s">
        <v>119</v>
      </c>
      <c r="J16" s="13">
        <v>152048</v>
      </c>
      <c r="N16" s="13">
        <v>186477</v>
      </c>
    </row>
    <row r="17" spans="1:30" x14ac:dyDescent="0.2">
      <c r="A17" s="13" t="s">
        <v>120</v>
      </c>
      <c r="N17" s="12">
        <f>N5/4/N16*1000</f>
        <v>803.96510025365058</v>
      </c>
    </row>
    <row r="18" spans="1:30" x14ac:dyDescent="0.2"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</row>
    <row r="19" spans="1:30" s="14" customFormat="1" x14ac:dyDescent="0.2">
      <c r="A19" s="14" t="s">
        <v>100</v>
      </c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</row>
    <row r="20" spans="1:30" x14ac:dyDescent="0.2"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</row>
    <row r="21" spans="1:30" x14ac:dyDescent="0.2">
      <c r="A21" s="13" t="s">
        <v>78</v>
      </c>
      <c r="F21" s="13">
        <f>F29*4</f>
        <v>200568</v>
      </c>
      <c r="G21" s="13">
        <f t="shared" ref="G21:O21" si="9">G29*4</f>
        <v>235888</v>
      </c>
      <c r="H21" s="13">
        <f t="shared" si="9"/>
        <v>282460</v>
      </c>
      <c r="I21" s="13">
        <f t="shared" si="9"/>
        <v>332072</v>
      </c>
      <c r="J21" s="13">
        <f t="shared" si="9"/>
        <v>382180</v>
      </c>
      <c r="K21" s="13">
        <f t="shared" si="9"/>
        <v>433988</v>
      </c>
      <c r="L21" s="13">
        <f t="shared" si="9"/>
        <v>494872</v>
      </c>
      <c r="M21" s="13">
        <f>M29*4</f>
        <v>547572</v>
      </c>
      <c r="N21" s="13">
        <f t="shared" si="9"/>
        <v>599684</v>
      </c>
      <c r="O21" s="19">
        <f t="shared" si="9"/>
        <v>697216.2</v>
      </c>
      <c r="P21" s="19">
        <f t="shared" ref="P21:V21" si="10">P29*4</f>
        <v>734311.99749999994</v>
      </c>
      <c r="Q21" s="19">
        <f t="shared" si="10"/>
        <v>811104.62412499986</v>
      </c>
      <c r="R21" s="19">
        <f t="shared" si="10"/>
        <v>872442.48898687493</v>
      </c>
      <c r="S21" s="19">
        <f t="shared" si="10"/>
        <v>971769.77130384604</v>
      </c>
      <c r="T21" s="19">
        <f t="shared" si="10"/>
        <v>1015647.6278234036</v>
      </c>
      <c r="U21" s="19">
        <f t="shared" si="10"/>
        <v>1103238.0835695046</v>
      </c>
      <c r="V21" s="19">
        <f t="shared" si="10"/>
        <v>1173875.0798730471</v>
      </c>
      <c r="AB21" s="19">
        <f>N21</f>
        <v>599684</v>
      </c>
      <c r="AC21" s="19">
        <f>R21</f>
        <v>872442.48898687493</v>
      </c>
      <c r="AD21" s="19">
        <f>V21</f>
        <v>1173875.0798730471</v>
      </c>
    </row>
    <row r="22" spans="1:30" x14ac:dyDescent="0.2">
      <c r="A22" s="13" t="s">
        <v>80</v>
      </c>
      <c r="I22" s="19">
        <f>Drivers!I23/4</f>
        <v>14943.24</v>
      </c>
      <c r="J22" s="19">
        <f>Drivers!J23/4</f>
        <v>19109</v>
      </c>
      <c r="K22" s="19">
        <f>Drivers!K23/4</f>
        <v>23869.34</v>
      </c>
      <c r="L22" s="19">
        <f>Drivers!L23/4</f>
        <v>29692.32</v>
      </c>
      <c r="M22" s="19">
        <f>Drivers!M23/4</f>
        <v>35592.18</v>
      </c>
      <c r="N22" s="19">
        <f>Drivers!N23/4</f>
        <v>38979.46</v>
      </c>
      <c r="O22" s="19">
        <f>Drivers!X23/4</f>
        <v>45319.053</v>
      </c>
      <c r="P22" s="19">
        <f>Drivers!Y23/4</f>
        <v>47730.279837499998</v>
      </c>
      <c r="Q22" s="19">
        <f>Drivers!Z23/4</f>
        <v>52721.800568124992</v>
      </c>
      <c r="R22" s="19">
        <f>Drivers!AA23/4</f>
        <v>56708.761784146875</v>
      </c>
      <c r="S22" s="19">
        <f>Drivers!AB23/4</f>
        <v>63165.035134749996</v>
      </c>
      <c r="T22" s="19">
        <f>Drivers!AC23/4</f>
        <v>66017.095808521233</v>
      </c>
      <c r="U22" s="19">
        <f>Drivers!AD23/4</f>
        <v>71710.475432017804</v>
      </c>
      <c r="V22" s="19">
        <f>Drivers!AE23/4</f>
        <v>76301.88019174806</v>
      </c>
      <c r="W22" s="19"/>
    </row>
    <row r="23" spans="1:30" x14ac:dyDescent="0.2">
      <c r="A23" s="13" t="s">
        <v>79</v>
      </c>
      <c r="I23" s="19">
        <f>Drivers!I36/4</f>
        <v>68074.759999999995</v>
      </c>
      <c r="J23" s="19">
        <f>Drivers!J36/4</f>
        <v>76436</v>
      </c>
      <c r="K23" s="19">
        <f>Drivers!K36/4</f>
        <v>84627.66</v>
      </c>
      <c r="L23" s="19">
        <f>Drivers!L36/4</f>
        <v>94025.68</v>
      </c>
      <c r="M23" s="19">
        <f>Drivers!M36/4</f>
        <v>101300.82</v>
      </c>
      <c r="N23" s="19">
        <f>Drivers!N36/4</f>
        <v>110941.54000000001</v>
      </c>
      <c r="O23" s="19">
        <f>Drivers!X36/4</f>
        <v>128984.99699999999</v>
      </c>
      <c r="P23" s="19">
        <f>Drivers!Y36/4</f>
        <v>135847.7195375</v>
      </c>
      <c r="Q23" s="19">
        <f>Drivers!Z36/4</f>
        <v>150054.35546312499</v>
      </c>
      <c r="R23" s="19">
        <f>Drivers!AA36/4</f>
        <v>161401.86046257184</v>
      </c>
      <c r="S23" s="19">
        <f>Drivers!AB36/4</f>
        <v>179777.4076912115</v>
      </c>
      <c r="T23" s="19">
        <f>Drivers!AC36/4</f>
        <v>187894.81114732966</v>
      </c>
      <c r="U23" s="19">
        <f>Drivers!AD36/4</f>
        <v>204099.04546035832</v>
      </c>
      <c r="V23" s="19">
        <f>Drivers!AE36/4</f>
        <v>217166.88977651371</v>
      </c>
      <c r="W23" s="19"/>
    </row>
    <row r="24" spans="1:30" x14ac:dyDescent="0.2"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</row>
    <row r="25" spans="1:30" s="22" customFormat="1" x14ac:dyDescent="0.2">
      <c r="A25" s="22" t="s">
        <v>89</v>
      </c>
      <c r="I25" s="23"/>
      <c r="J25" s="23"/>
      <c r="K25" s="11">
        <f>K21/G21-1</f>
        <v>0.83980533134368862</v>
      </c>
      <c r="L25" s="11">
        <f t="shared" ref="L25" si="11">L21/H21-1</f>
        <v>0.75200736387453082</v>
      </c>
      <c r="M25" s="11">
        <f t="shared" ref="M25:N25" si="12">M21/I21-1</f>
        <v>0.64895564817268547</v>
      </c>
      <c r="N25" s="11">
        <f t="shared" si="12"/>
        <v>0.56911403003820182</v>
      </c>
      <c r="O25" s="11">
        <f t="shared" ref="O25:V27" si="13">O21/K21-1</f>
        <v>0.60653336036941097</v>
      </c>
      <c r="P25" s="11">
        <f t="shared" si="13"/>
        <v>0.48384228143843244</v>
      </c>
      <c r="Q25" s="11">
        <f t="shared" si="13"/>
        <v>0.48127483531846016</v>
      </c>
      <c r="R25" s="11">
        <f t="shared" si="13"/>
        <v>0.4548370291468089</v>
      </c>
      <c r="S25" s="11">
        <f t="shared" si="13"/>
        <v>0.39378541592098126</v>
      </c>
      <c r="T25" s="11">
        <f t="shared" si="13"/>
        <v>0.38312819521024322</v>
      </c>
      <c r="U25" s="11">
        <f t="shared" si="13"/>
        <v>0.36016741953561326</v>
      </c>
      <c r="V25" s="11">
        <f t="shared" si="13"/>
        <v>0.34550425350811498</v>
      </c>
      <c r="W25" s="23"/>
    </row>
    <row r="26" spans="1:30" s="22" customFormat="1" x14ac:dyDescent="0.2">
      <c r="A26" s="22" t="s">
        <v>90</v>
      </c>
      <c r="I26" s="23"/>
      <c r="J26" s="23"/>
      <c r="K26" s="23"/>
      <c r="L26" s="23"/>
      <c r="M26" s="11">
        <f>M22/I22-1</f>
        <v>1.3818248251383234</v>
      </c>
      <c r="N26" s="11">
        <f>N22/J22-1</f>
        <v>1.0398482390496624</v>
      </c>
      <c r="O26" s="11">
        <f t="shared" si="13"/>
        <v>0.89863033498203126</v>
      </c>
      <c r="P26" s="11">
        <f t="shared" si="13"/>
        <v>0.60749580489163524</v>
      </c>
      <c r="Q26" s="11">
        <f>Q22/M22-1</f>
        <v>0.48127483531846016</v>
      </c>
      <c r="R26" s="11">
        <f t="shared" si="13"/>
        <v>0.4548370291468089</v>
      </c>
      <c r="S26" s="11">
        <f t="shared" si="13"/>
        <v>0.39378541592098126</v>
      </c>
      <c r="T26" s="11">
        <f t="shared" si="13"/>
        <v>0.38312819521024322</v>
      </c>
      <c r="U26" s="11">
        <f t="shared" si="13"/>
        <v>0.36016741953561326</v>
      </c>
      <c r="V26" s="11">
        <f t="shared" si="13"/>
        <v>0.34550425350811498</v>
      </c>
      <c r="W26" s="23"/>
    </row>
    <row r="27" spans="1:30" s="22" customFormat="1" x14ac:dyDescent="0.2">
      <c r="A27" s="22" t="s">
        <v>91</v>
      </c>
      <c r="I27" s="23"/>
      <c r="J27" s="23"/>
      <c r="K27" s="23"/>
      <c r="L27" s="23"/>
      <c r="M27" s="11">
        <f>M23/I23-1</f>
        <v>0.48808192639974068</v>
      </c>
      <c r="N27" s="11">
        <f>N23/J23-1</f>
        <v>0.45143047778533685</v>
      </c>
      <c r="O27" s="11">
        <f t="shared" si="13"/>
        <v>0.52414703419662056</v>
      </c>
      <c r="P27" s="11">
        <f t="shared" si="13"/>
        <v>0.44479380034794769</v>
      </c>
      <c r="Q27" s="11">
        <f t="shared" si="13"/>
        <v>0.48127483531846016</v>
      </c>
      <c r="R27" s="11">
        <f t="shared" si="13"/>
        <v>0.45483702914680868</v>
      </c>
      <c r="S27" s="11">
        <f t="shared" si="13"/>
        <v>0.39378541592098126</v>
      </c>
      <c r="T27" s="11">
        <f t="shared" si="13"/>
        <v>0.38312819521024322</v>
      </c>
      <c r="U27" s="11">
        <f t="shared" si="13"/>
        <v>0.36016741953561304</v>
      </c>
      <c r="V27" s="11">
        <f t="shared" si="13"/>
        <v>0.3455042535081152</v>
      </c>
      <c r="W27" s="23"/>
    </row>
    <row r="28" spans="1:30" x14ac:dyDescent="0.2"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</row>
    <row r="29" spans="1:30" s="14" customFormat="1" x14ac:dyDescent="0.2">
      <c r="A29" s="14" t="s">
        <v>1</v>
      </c>
      <c r="F29" s="14">
        <v>50142</v>
      </c>
      <c r="G29" s="14">
        <v>58972</v>
      </c>
      <c r="H29" s="14">
        <v>70615</v>
      </c>
      <c r="I29" s="14">
        <v>83018</v>
      </c>
      <c r="J29" s="14">
        <f>AA29-I29-H29-G29</f>
        <v>95545</v>
      </c>
      <c r="K29" s="14">
        <v>108497</v>
      </c>
      <c r="L29" s="14">
        <v>123718</v>
      </c>
      <c r="M29" s="27">
        <v>136893</v>
      </c>
      <c r="N29" s="24">
        <v>149921</v>
      </c>
      <c r="O29" s="24">
        <f t="shared" ref="O29:V29" si="14">O5/4</f>
        <v>174304.05</v>
      </c>
      <c r="P29" s="24">
        <f t="shared" si="14"/>
        <v>183577.99937499998</v>
      </c>
      <c r="Q29" s="24">
        <f t="shared" si="14"/>
        <v>202776.15603124996</v>
      </c>
      <c r="R29" s="24">
        <f t="shared" si="14"/>
        <v>218110.62224671873</v>
      </c>
      <c r="S29" s="24">
        <f t="shared" si="14"/>
        <v>242942.44282596151</v>
      </c>
      <c r="T29" s="24">
        <f t="shared" si="14"/>
        <v>253911.90695585089</v>
      </c>
      <c r="U29" s="24">
        <f t="shared" si="14"/>
        <v>275809.52089237614</v>
      </c>
      <c r="V29" s="24">
        <f t="shared" si="14"/>
        <v>293468.76996826177</v>
      </c>
      <c r="Y29" s="14">
        <v>78089</v>
      </c>
      <c r="Z29" s="14">
        <v>161123</v>
      </c>
      <c r="AA29" s="14">
        <v>308150</v>
      </c>
      <c r="AB29" s="24">
        <f>SUM(K29:N29)</f>
        <v>519029</v>
      </c>
      <c r="AC29" s="24">
        <f>SUM(O29:R29)</f>
        <v>778768.8276529687</v>
      </c>
      <c r="AD29" s="24">
        <f>SUM(S29:V29)</f>
        <v>1066132.6406424502</v>
      </c>
    </row>
    <row r="30" spans="1:30" x14ac:dyDescent="0.2">
      <c r="A30" s="13" t="s">
        <v>2</v>
      </c>
      <c r="F30" s="13">
        <v>6681</v>
      </c>
      <c r="G30" s="13">
        <v>7924</v>
      </c>
      <c r="H30" s="13">
        <v>9108</v>
      </c>
      <c r="I30" s="13">
        <v>10213</v>
      </c>
      <c r="J30" s="13">
        <f>AA30-I30-H30-G30</f>
        <v>11768</v>
      </c>
      <c r="K30" s="13">
        <v>14609</v>
      </c>
      <c r="L30" s="13">
        <v>16730</v>
      </c>
      <c r="M30" s="28">
        <v>17830</v>
      </c>
      <c r="N30" s="19">
        <v>17359</v>
      </c>
      <c r="O30" s="19">
        <f t="shared" ref="O30:V30" si="15">O29*(1-O32)</f>
        <v>22659.5265</v>
      </c>
      <c r="P30" s="19">
        <f t="shared" si="15"/>
        <v>23865.139918749999</v>
      </c>
      <c r="Q30" s="19">
        <f t="shared" si="15"/>
        <v>26360.900284062496</v>
      </c>
      <c r="R30" s="19">
        <f t="shared" si="15"/>
        <v>28354.380892073437</v>
      </c>
      <c r="S30" s="19">
        <f t="shared" si="15"/>
        <v>31582.517567374998</v>
      </c>
      <c r="T30" s="19">
        <f t="shared" si="15"/>
        <v>33008.547904260617</v>
      </c>
      <c r="U30" s="19">
        <f t="shared" si="15"/>
        <v>35855.237716008902</v>
      </c>
      <c r="V30" s="19">
        <f t="shared" si="15"/>
        <v>38150.94009587403</v>
      </c>
      <c r="Y30" s="13">
        <v>11978</v>
      </c>
      <c r="Z30" s="13">
        <v>22488</v>
      </c>
      <c r="AA30" s="13">
        <v>39013</v>
      </c>
      <c r="AB30" s="24">
        <f>SUM(K30:N30)</f>
        <v>66528</v>
      </c>
      <c r="AC30" s="24">
        <f>SUM(O30:R30)</f>
        <v>101239.94759488595</v>
      </c>
      <c r="AD30" s="24">
        <f>SUM(S30:V30)</f>
        <v>138597.24328351853</v>
      </c>
    </row>
    <row r="31" spans="1:30" x14ac:dyDescent="0.2">
      <c r="A31" s="13" t="s">
        <v>69</v>
      </c>
      <c r="F31" s="13">
        <f t="shared" ref="F31" si="16">F29-F30</f>
        <v>43461</v>
      </c>
      <c r="G31" s="13">
        <f t="shared" ref="G31:N31" si="17">G29-G30</f>
        <v>51048</v>
      </c>
      <c r="H31" s="13">
        <f t="shared" si="17"/>
        <v>61507</v>
      </c>
      <c r="I31" s="13">
        <f t="shared" si="17"/>
        <v>72805</v>
      </c>
      <c r="J31" s="13">
        <f t="shared" si="17"/>
        <v>83777</v>
      </c>
      <c r="K31" s="13">
        <f t="shared" si="17"/>
        <v>93888</v>
      </c>
      <c r="L31" s="13">
        <f t="shared" si="17"/>
        <v>106988</v>
      </c>
      <c r="M31" s="13">
        <f t="shared" si="17"/>
        <v>119063</v>
      </c>
      <c r="N31" s="13">
        <f t="shared" si="17"/>
        <v>132562</v>
      </c>
      <c r="O31" s="19">
        <f t="shared" ref="O31:V31" si="18">O29-O30</f>
        <v>151644.52349999998</v>
      </c>
      <c r="P31" s="19">
        <f t="shared" si="18"/>
        <v>159712.85945624998</v>
      </c>
      <c r="Q31" s="19">
        <f t="shared" si="18"/>
        <v>176415.25574718748</v>
      </c>
      <c r="R31" s="19">
        <f t="shared" si="18"/>
        <v>189756.24135464529</v>
      </c>
      <c r="S31" s="19">
        <f t="shared" si="18"/>
        <v>211359.9252585865</v>
      </c>
      <c r="T31" s="19">
        <f t="shared" si="18"/>
        <v>220903.35905159026</v>
      </c>
      <c r="U31" s="19">
        <f t="shared" si="18"/>
        <v>239954.28317636723</v>
      </c>
      <c r="V31" s="19">
        <f t="shared" si="18"/>
        <v>255317.82987238775</v>
      </c>
      <c r="Y31" s="13">
        <f>Y29-Y30</f>
        <v>66111</v>
      </c>
      <c r="Z31" s="13">
        <f>Z29-Z30</f>
        <v>138635</v>
      </c>
      <c r="AA31" s="13">
        <f>AA29-AA30</f>
        <v>269137</v>
      </c>
    </row>
    <row r="32" spans="1:30" x14ac:dyDescent="0.2">
      <c r="A32" s="13" t="s">
        <v>68</v>
      </c>
      <c r="F32" s="8">
        <f t="shared" ref="F32" si="19">F31/F29</f>
        <v>0.86675840612660049</v>
      </c>
      <c r="G32" s="8">
        <f t="shared" ref="G32:N32" si="20">G31/G29</f>
        <v>0.86563114698500987</v>
      </c>
      <c r="H32" s="8">
        <f t="shared" si="20"/>
        <v>0.87101890533172843</v>
      </c>
      <c r="I32" s="8">
        <f t="shared" si="20"/>
        <v>0.87697848659326894</v>
      </c>
      <c r="J32" s="8">
        <f t="shared" si="20"/>
        <v>0.8768329059605422</v>
      </c>
      <c r="K32" s="8">
        <f t="shared" si="20"/>
        <v>0.86535111569905154</v>
      </c>
      <c r="L32" s="8">
        <f t="shared" si="20"/>
        <v>0.86477311304741433</v>
      </c>
      <c r="M32" s="8">
        <f t="shared" si="20"/>
        <v>0.86975228828354989</v>
      </c>
      <c r="N32" s="8">
        <f t="shared" si="20"/>
        <v>0.884212351838635</v>
      </c>
      <c r="O32" s="8">
        <v>0.87</v>
      </c>
      <c r="P32" s="8">
        <v>0.87</v>
      </c>
      <c r="Q32" s="8">
        <v>0.87</v>
      </c>
      <c r="R32" s="8">
        <v>0.87</v>
      </c>
      <c r="S32" s="8">
        <v>0.87</v>
      </c>
      <c r="T32" s="8">
        <v>0.87</v>
      </c>
      <c r="U32" s="8">
        <v>0.87</v>
      </c>
      <c r="V32" s="8">
        <v>0.87</v>
      </c>
      <c r="W32" s="8"/>
      <c r="Y32" s="8">
        <f>Y31/Y29</f>
        <v>0.84661091831115776</v>
      </c>
      <c r="Z32" s="8">
        <f>Z31/Z29</f>
        <v>0.86042960967707904</v>
      </c>
      <c r="AA32" s="8">
        <f>AA31/AA29</f>
        <v>0.87339607334090541</v>
      </c>
    </row>
    <row r="33" spans="1:29" x14ac:dyDescent="0.2">
      <c r="A33" s="13" t="s">
        <v>3</v>
      </c>
      <c r="F33" s="13">
        <v>11428</v>
      </c>
      <c r="G33" s="13">
        <v>15581</v>
      </c>
      <c r="H33" s="13">
        <v>16271</v>
      </c>
      <c r="I33" s="13">
        <v>19875</v>
      </c>
      <c r="J33" s="13">
        <f>AA33-I33-H33-G33</f>
        <v>21959</v>
      </c>
      <c r="K33" s="13">
        <v>26541</v>
      </c>
      <c r="L33" s="13">
        <v>33962</v>
      </c>
      <c r="M33" s="28">
        <v>33984</v>
      </c>
      <c r="N33" s="19">
        <v>32560</v>
      </c>
      <c r="O33" s="19">
        <f t="shared" ref="O33:V33" si="21">N33*1.015</f>
        <v>33048.399999999994</v>
      </c>
      <c r="P33" s="19">
        <f t="shared" si="21"/>
        <v>33544.125999999989</v>
      </c>
      <c r="Q33" s="19">
        <f t="shared" si="21"/>
        <v>34047.287889999985</v>
      </c>
      <c r="R33" s="19">
        <f t="shared" si="21"/>
        <v>34557.997208349982</v>
      </c>
      <c r="S33" s="19">
        <f t="shared" si="21"/>
        <v>35076.367166475226</v>
      </c>
      <c r="T33" s="19">
        <f t="shared" si="21"/>
        <v>35602.512673972349</v>
      </c>
      <c r="U33" s="19">
        <f t="shared" si="21"/>
        <v>36136.55036408193</v>
      </c>
      <c r="V33" s="19">
        <f t="shared" si="21"/>
        <v>36678.598619543154</v>
      </c>
      <c r="Y33" s="13">
        <v>24637</v>
      </c>
      <c r="Z33" s="13">
        <v>43480</v>
      </c>
      <c r="AA33" s="13">
        <v>73686</v>
      </c>
    </row>
    <row r="34" spans="1:29" x14ac:dyDescent="0.2">
      <c r="A34" s="13" t="s">
        <v>4</v>
      </c>
      <c r="F34" s="13">
        <v>56901</v>
      </c>
      <c r="G34" s="13">
        <v>63048</v>
      </c>
      <c r="H34" s="13">
        <v>61057</v>
      </c>
      <c r="I34" s="13">
        <v>67443</v>
      </c>
      <c r="J34" s="13">
        <f>AA34-I34-H34-G34</f>
        <v>76535</v>
      </c>
      <c r="K34" s="13">
        <v>115973</v>
      </c>
      <c r="L34" s="13">
        <v>96740</v>
      </c>
      <c r="M34" s="28">
        <v>90970</v>
      </c>
      <c r="N34" s="19">
        <v>88385</v>
      </c>
      <c r="O34" s="19">
        <f t="shared" ref="O34:V34" si="22">N34*(1+O48)</f>
        <v>91036.55</v>
      </c>
      <c r="P34" s="19">
        <f t="shared" si="22"/>
        <v>92402.098249999995</v>
      </c>
      <c r="Q34" s="19">
        <f t="shared" si="22"/>
        <v>93788.129723749982</v>
      </c>
      <c r="R34" s="19">
        <f t="shared" si="22"/>
        <v>95194.95166960622</v>
      </c>
      <c r="S34" s="19">
        <f t="shared" si="22"/>
        <v>96622.87594465031</v>
      </c>
      <c r="T34" s="19">
        <f t="shared" si="22"/>
        <v>98072.219083820062</v>
      </c>
      <c r="U34" s="19">
        <f t="shared" si="22"/>
        <v>99543.302370077348</v>
      </c>
      <c r="V34" s="19">
        <f t="shared" si="22"/>
        <v>101036.45190562849</v>
      </c>
      <c r="Y34" s="13">
        <v>118534</v>
      </c>
      <c r="Z34" s="13">
        <v>191353</v>
      </c>
      <c r="AA34" s="13">
        <v>268083</v>
      </c>
    </row>
    <row r="35" spans="1:29" x14ac:dyDescent="0.2">
      <c r="A35" s="13" t="s">
        <v>5</v>
      </c>
      <c r="F35" s="13">
        <v>36828</v>
      </c>
      <c r="G35" s="13">
        <v>10266</v>
      </c>
      <c r="H35" s="13">
        <v>11648</v>
      </c>
      <c r="I35" s="13">
        <v>14698</v>
      </c>
      <c r="J35" s="13">
        <v>16881</v>
      </c>
      <c r="K35" s="13">
        <v>18870</v>
      </c>
      <c r="L35" s="13">
        <v>22466</v>
      </c>
      <c r="M35" s="28">
        <v>22348</v>
      </c>
      <c r="N35" s="19">
        <v>21717</v>
      </c>
      <c r="O35" s="19">
        <f t="shared" ref="O35:V35" si="23">N35*1.04</f>
        <v>22585.68</v>
      </c>
      <c r="P35" s="19">
        <f t="shared" si="23"/>
        <v>23489.107200000002</v>
      </c>
      <c r="Q35" s="19">
        <f t="shared" si="23"/>
        <v>24428.671488000004</v>
      </c>
      <c r="R35" s="19">
        <f t="shared" si="23"/>
        <v>25405.818347520006</v>
      </c>
      <c r="S35" s="19">
        <f t="shared" si="23"/>
        <v>26422.051081420806</v>
      </c>
      <c r="T35" s="19">
        <f t="shared" si="23"/>
        <v>27478.933124677638</v>
      </c>
      <c r="U35" s="19">
        <f t="shared" si="23"/>
        <v>28578.090449664745</v>
      </c>
      <c r="V35" s="19">
        <f t="shared" si="23"/>
        <v>29721.214067651337</v>
      </c>
      <c r="Y35" s="13">
        <v>15458</v>
      </c>
      <c r="Z35" s="13">
        <v>54339</v>
      </c>
      <c r="AA35" s="13">
        <v>53493</v>
      </c>
    </row>
    <row r="36" spans="1:29" x14ac:dyDescent="0.2">
      <c r="A36" s="13" t="s">
        <v>70</v>
      </c>
      <c r="F36" s="13">
        <f t="shared" ref="F36" si="24">F33+F34+F35</f>
        <v>105157</v>
      </c>
      <c r="G36" s="13">
        <f t="shared" ref="G36:V36" si="25">G33+G34+G35</f>
        <v>88895</v>
      </c>
      <c r="H36" s="13">
        <f t="shared" si="25"/>
        <v>88976</v>
      </c>
      <c r="I36" s="13">
        <f t="shared" si="25"/>
        <v>102016</v>
      </c>
      <c r="J36" s="13">
        <f t="shared" si="25"/>
        <v>115375</v>
      </c>
      <c r="K36" s="13">
        <f t="shared" si="25"/>
        <v>161384</v>
      </c>
      <c r="L36" s="13">
        <f t="shared" si="25"/>
        <v>153168</v>
      </c>
      <c r="M36" s="19">
        <f t="shared" si="25"/>
        <v>147302</v>
      </c>
      <c r="N36" s="19">
        <f t="shared" si="25"/>
        <v>142662</v>
      </c>
      <c r="O36" s="19">
        <f t="shared" si="25"/>
        <v>146670.63</v>
      </c>
      <c r="P36" s="19">
        <f t="shared" si="25"/>
        <v>149435.33145</v>
      </c>
      <c r="Q36" s="19">
        <f t="shared" si="25"/>
        <v>152264.08910174997</v>
      </c>
      <c r="R36" s="19">
        <f t="shared" si="25"/>
        <v>155158.76722547621</v>
      </c>
      <c r="S36" s="19">
        <f t="shared" si="25"/>
        <v>158121.29419254634</v>
      </c>
      <c r="T36" s="19">
        <f t="shared" si="25"/>
        <v>161153.66488247004</v>
      </c>
      <c r="U36" s="19">
        <f t="shared" si="25"/>
        <v>164257.94318382401</v>
      </c>
      <c r="V36" s="19">
        <f t="shared" si="25"/>
        <v>167436.26459282299</v>
      </c>
      <c r="Y36" s="13">
        <f>Y33+Y34+Y35</f>
        <v>158629</v>
      </c>
      <c r="Z36" s="13">
        <f>Z33+Z34+Z35</f>
        <v>289172</v>
      </c>
      <c r="AA36" s="13">
        <f>AA33+AA34+AA35</f>
        <v>395262</v>
      </c>
    </row>
    <row r="37" spans="1:29" x14ac:dyDescent="0.2">
      <c r="A37" s="13" t="s">
        <v>71</v>
      </c>
      <c r="F37" s="13">
        <f t="shared" ref="F37" si="26">F31-F36</f>
        <v>-61696</v>
      </c>
      <c r="G37" s="13">
        <f t="shared" ref="G37:V37" si="27">G31-G36</f>
        <v>-37847</v>
      </c>
      <c r="H37" s="13">
        <f t="shared" si="27"/>
        <v>-27469</v>
      </c>
      <c r="I37" s="13">
        <f t="shared" si="27"/>
        <v>-29211</v>
      </c>
      <c r="J37" s="13">
        <f t="shared" si="27"/>
        <v>-31598</v>
      </c>
      <c r="K37" s="13">
        <f t="shared" si="27"/>
        <v>-67496</v>
      </c>
      <c r="L37" s="13">
        <f t="shared" si="27"/>
        <v>-46180</v>
      </c>
      <c r="M37" s="19">
        <f t="shared" si="27"/>
        <v>-28239</v>
      </c>
      <c r="N37" s="19">
        <f t="shared" si="27"/>
        <v>-10100</v>
      </c>
      <c r="O37" s="19">
        <f t="shared" si="27"/>
        <v>4973.8934999999765</v>
      </c>
      <c r="P37" s="19">
        <f t="shared" si="27"/>
        <v>10277.528006249981</v>
      </c>
      <c r="Q37" s="19">
        <f t="shared" si="27"/>
        <v>24151.166645437508</v>
      </c>
      <c r="R37" s="19">
        <f t="shared" si="27"/>
        <v>34597.474129169073</v>
      </c>
      <c r="S37" s="19">
        <f t="shared" si="27"/>
        <v>53238.631066040165</v>
      </c>
      <c r="T37" s="19">
        <f t="shared" si="27"/>
        <v>59749.694169120223</v>
      </c>
      <c r="U37" s="19">
        <f t="shared" si="27"/>
        <v>75696.339992543217</v>
      </c>
      <c r="V37" s="19">
        <f t="shared" si="27"/>
        <v>87881.565279564762</v>
      </c>
      <c r="Y37" s="13">
        <f>Y31-Y36</f>
        <v>-92518</v>
      </c>
      <c r="Z37" s="13">
        <f>Z31-Z36</f>
        <v>-150537</v>
      </c>
      <c r="AA37" s="13">
        <f>AA31-AA36</f>
        <v>-126125</v>
      </c>
    </row>
    <row r="38" spans="1:29" x14ac:dyDescent="0.2">
      <c r="A38" s="13" t="s">
        <v>54</v>
      </c>
      <c r="F38" s="13">
        <v>-203</v>
      </c>
      <c r="G38" s="13">
        <v>-406</v>
      </c>
      <c r="H38" s="13">
        <v>-359</v>
      </c>
      <c r="I38" s="13">
        <v>-220</v>
      </c>
      <c r="J38" s="13">
        <v>147</v>
      </c>
      <c r="K38" s="13">
        <v>1993</v>
      </c>
      <c r="L38" s="13">
        <v>2452</v>
      </c>
      <c r="M38" s="28">
        <v>6972</v>
      </c>
      <c r="N38" s="19">
        <v>11137</v>
      </c>
      <c r="Y38" s="13">
        <f>2359+769</f>
        <v>3128</v>
      </c>
      <c r="Z38" s="13">
        <f>1537-1011</f>
        <v>526</v>
      </c>
      <c r="AA38" s="13">
        <f>875-1713</f>
        <v>-838</v>
      </c>
    </row>
    <row r="39" spans="1:29" x14ac:dyDescent="0.2">
      <c r="A39" s="13" t="s">
        <v>72</v>
      </c>
      <c r="F39" s="13">
        <f>F37+F38</f>
        <v>-61899</v>
      </c>
      <c r="G39" s="13">
        <f>G37+G38</f>
        <v>-38253</v>
      </c>
      <c r="H39" s="13">
        <f t="shared" ref="H39:Y39" si="28">H37+H38</f>
        <v>-27828</v>
      </c>
      <c r="I39" s="13">
        <f t="shared" si="28"/>
        <v>-29431</v>
      </c>
      <c r="J39" s="13">
        <f t="shared" si="28"/>
        <v>-31451</v>
      </c>
      <c r="K39" s="13">
        <f t="shared" si="28"/>
        <v>-65503</v>
      </c>
      <c r="L39" s="13">
        <f t="shared" si="28"/>
        <v>-43728</v>
      </c>
      <c r="M39" s="13">
        <f t="shared" si="28"/>
        <v>-21267</v>
      </c>
      <c r="N39" s="13">
        <f t="shared" si="28"/>
        <v>1037</v>
      </c>
      <c r="O39" s="19">
        <f t="shared" ref="O39" si="29">O37+O38</f>
        <v>4973.8934999999765</v>
      </c>
      <c r="P39" s="19">
        <f t="shared" ref="P39" si="30">P37+P38</f>
        <v>10277.528006249981</v>
      </c>
      <c r="Q39" s="19">
        <f t="shared" ref="Q39" si="31">Q37+Q38</f>
        <v>24151.166645437508</v>
      </c>
      <c r="R39" s="19">
        <f t="shared" ref="R39" si="32">R37+R38</f>
        <v>34597.474129169073</v>
      </c>
      <c r="S39" s="19">
        <f t="shared" ref="S39" si="33">S37+S38</f>
        <v>53238.631066040165</v>
      </c>
      <c r="T39" s="19">
        <f t="shared" ref="T39" si="34">T37+T38</f>
        <v>59749.694169120223</v>
      </c>
      <c r="U39" s="19">
        <f t="shared" ref="U39" si="35">U37+U38</f>
        <v>75696.339992543217</v>
      </c>
      <c r="V39" s="19">
        <f t="shared" ref="V39" si="36">V37+V38</f>
        <v>87881.565279564762</v>
      </c>
      <c r="Y39" s="13">
        <f t="shared" si="28"/>
        <v>-89390</v>
      </c>
      <c r="Z39" s="13">
        <f t="shared" ref="Z39" si="37">Z37+Z38</f>
        <v>-150011</v>
      </c>
      <c r="AA39" s="13">
        <f t="shared" ref="AA39" si="38">AA37+AA38</f>
        <v>-126963</v>
      </c>
    </row>
    <row r="40" spans="1:29" x14ac:dyDescent="0.2">
      <c r="A40" s="13" t="s">
        <v>6</v>
      </c>
      <c r="F40" s="13">
        <v>-962</v>
      </c>
      <c r="G40" s="13">
        <v>-699</v>
      </c>
      <c r="H40" s="13">
        <v>-1063</v>
      </c>
      <c r="I40" s="13">
        <v>585</v>
      </c>
      <c r="J40" s="13">
        <f>AA40-I40-H40-G40</f>
        <v>-1154</v>
      </c>
      <c r="K40" s="13">
        <v>-1175</v>
      </c>
      <c r="L40" s="13">
        <v>-1943</v>
      </c>
      <c r="M40" s="28">
        <v>-1763</v>
      </c>
      <c r="N40" s="13">
        <v>-2525</v>
      </c>
      <c r="Y40" s="13">
        <v>-683</v>
      </c>
      <c r="Z40" s="13">
        <v>-2192</v>
      </c>
      <c r="AA40" s="13">
        <v>-2331</v>
      </c>
    </row>
    <row r="41" spans="1:29" x14ac:dyDescent="0.2">
      <c r="A41" s="13" t="s">
        <v>117</v>
      </c>
      <c r="F41" s="13">
        <v>-4717</v>
      </c>
    </row>
    <row r="42" spans="1:29" x14ac:dyDescent="0.2">
      <c r="A42" s="13" t="s">
        <v>21</v>
      </c>
      <c r="F42" s="13">
        <f>F39+F40+F41</f>
        <v>-67578</v>
      </c>
      <c r="G42" s="13">
        <f>G39+G40</f>
        <v>-38952</v>
      </c>
      <c r="H42" s="13">
        <f t="shared" ref="H42:N42" si="39">H39+H40</f>
        <v>-28891</v>
      </c>
      <c r="I42" s="13">
        <f t="shared" si="39"/>
        <v>-28846</v>
      </c>
      <c r="J42" s="13">
        <f t="shared" si="39"/>
        <v>-32605</v>
      </c>
      <c r="K42" s="13">
        <f t="shared" si="39"/>
        <v>-66678</v>
      </c>
      <c r="L42" s="13">
        <f t="shared" si="39"/>
        <v>-45671</v>
      </c>
      <c r="M42" s="19">
        <f t="shared" si="39"/>
        <v>-23030</v>
      </c>
      <c r="N42" s="19">
        <f t="shared" si="39"/>
        <v>-1488</v>
      </c>
      <c r="O42" s="19">
        <f t="shared" ref="O42" si="40">O39+O40</f>
        <v>4973.8934999999765</v>
      </c>
      <c r="P42" s="19">
        <f t="shared" ref="P42" si="41">P39+P40</f>
        <v>10277.528006249981</v>
      </c>
      <c r="Q42" s="19">
        <f t="shared" ref="Q42" si="42">Q39+Q40</f>
        <v>24151.166645437508</v>
      </c>
      <c r="R42" s="19">
        <f t="shared" ref="R42" si="43">R39+R40</f>
        <v>34597.474129169073</v>
      </c>
      <c r="S42" s="19">
        <f t="shared" ref="S42" si="44">S39+S40</f>
        <v>53238.631066040165</v>
      </c>
      <c r="T42" s="19">
        <f t="shared" ref="T42" si="45">T39+T40</f>
        <v>59749.694169120223</v>
      </c>
      <c r="U42" s="19">
        <f t="shared" ref="U42" si="46">U39+U40</f>
        <v>75696.339992543217</v>
      </c>
      <c r="V42" s="19">
        <f t="shared" ref="V42" si="47">V39+V40</f>
        <v>87881.565279564762</v>
      </c>
      <c r="Y42" s="13">
        <f>Y39+Y40</f>
        <v>-90073</v>
      </c>
      <c r="Z42" s="13">
        <f t="shared" ref="Z42" si="48">Z39+Z40</f>
        <v>-152203</v>
      </c>
      <c r="AA42" s="13">
        <f t="shared" ref="AA42" si="49">AA39+AA40</f>
        <v>-129294</v>
      </c>
    </row>
    <row r="43" spans="1:29" x14ac:dyDescent="0.2">
      <c r="A43" s="13" t="s">
        <v>7</v>
      </c>
      <c r="G43" s="13">
        <v>-38952</v>
      </c>
      <c r="H43" s="13">
        <v>-28891</v>
      </c>
      <c r="I43" s="13">
        <v>-28846</v>
      </c>
      <c r="J43" s="13">
        <f>AA43-I43-H43-G43</f>
        <v>-32605</v>
      </c>
      <c r="K43" s="13">
        <v>-66678</v>
      </c>
      <c r="L43" s="13">
        <v>-45671</v>
      </c>
      <c r="M43" s="28">
        <v>-23030</v>
      </c>
      <c r="N43" s="13">
        <v>-1488</v>
      </c>
      <c r="Y43" s="13">
        <v>-91611</v>
      </c>
      <c r="Z43" s="13">
        <v>-152203</v>
      </c>
      <c r="AA43" s="13">
        <v>-129294</v>
      </c>
    </row>
    <row r="44" spans="1:29" x14ac:dyDescent="0.2">
      <c r="A44" s="13" t="s">
        <v>104</v>
      </c>
      <c r="F44" s="13">
        <v>12.33489</v>
      </c>
      <c r="G44" s="25">
        <v>12.392298</v>
      </c>
      <c r="H44" s="25">
        <f>AA44*4-G44-I44-J44</f>
        <v>19.926300000000005</v>
      </c>
      <c r="I44" s="25">
        <v>44.267434000000002</v>
      </c>
      <c r="J44" s="25">
        <v>44.741992000000003</v>
      </c>
      <c r="K44" s="25">
        <v>44.978893999999997</v>
      </c>
      <c r="L44" s="25">
        <v>45.074911999999998</v>
      </c>
      <c r="M44" s="29">
        <v>45.477803999999999</v>
      </c>
      <c r="N44" s="25">
        <v>47.658999999999999</v>
      </c>
      <c r="P44" s="25"/>
      <c r="Q44" s="25"/>
      <c r="R44" s="25"/>
      <c r="S44" s="25"/>
      <c r="T44" s="25"/>
      <c r="U44" s="25"/>
      <c r="V44" s="25"/>
      <c r="W44" s="25"/>
      <c r="X44" s="25"/>
      <c r="Y44" s="25">
        <v>11.348428</v>
      </c>
      <c r="Z44" s="25">
        <v>12.048909</v>
      </c>
      <c r="AA44" s="25">
        <v>30.332006</v>
      </c>
      <c r="AB44" s="25"/>
      <c r="AC44" s="25"/>
    </row>
    <row r="45" spans="1:29" x14ac:dyDescent="0.2">
      <c r="N45" s="25"/>
    </row>
    <row r="47" spans="1:29" x14ac:dyDescent="0.2">
      <c r="A47" s="14" t="s">
        <v>99</v>
      </c>
      <c r="B47" s="14"/>
      <c r="C47" s="14"/>
      <c r="D47" s="14"/>
      <c r="E47" s="14"/>
      <c r="F47" s="14"/>
    </row>
    <row r="48" spans="1:29" x14ac:dyDescent="0.2">
      <c r="A48" s="13" t="s">
        <v>88</v>
      </c>
      <c r="G48" s="26"/>
      <c r="H48" s="8">
        <f>H34/G34-1</f>
        <v>-3.1579114325593238E-2</v>
      </c>
      <c r="I48" s="8">
        <f t="shared" ref="I48:M48" si="50">I34/H34-1</f>
        <v>0.10459079221055734</v>
      </c>
      <c r="J48" s="8">
        <f t="shared" si="50"/>
        <v>0.13481013596666824</v>
      </c>
      <c r="K48" s="8">
        <f t="shared" si="50"/>
        <v>0.51529365649702741</v>
      </c>
      <c r="L48" s="8">
        <f t="shared" si="50"/>
        <v>-0.16584032490321021</v>
      </c>
      <c r="M48" s="8">
        <f t="shared" si="50"/>
        <v>-5.9644407690717438E-2</v>
      </c>
      <c r="N48" s="17"/>
      <c r="O48" s="17">
        <v>0.03</v>
      </c>
      <c r="P48" s="17">
        <v>1.4999999999999999E-2</v>
      </c>
      <c r="Q48" s="17">
        <v>1.4999999999999999E-2</v>
      </c>
      <c r="R48" s="17">
        <v>1.4999999999999999E-2</v>
      </c>
      <c r="S48" s="17">
        <v>1.4999999999999999E-2</v>
      </c>
      <c r="T48" s="17">
        <v>1.4999999999999999E-2</v>
      </c>
      <c r="U48" s="17">
        <v>1.4999999999999999E-2</v>
      </c>
      <c r="V48" s="17">
        <v>1.4999999999999999E-2</v>
      </c>
    </row>
    <row r="49" spans="1:22" x14ac:dyDescent="0.2">
      <c r="A49" s="13" t="s">
        <v>87</v>
      </c>
      <c r="G49" s="8">
        <f t="shared" ref="G49:V49" si="51">G34/G29</f>
        <v>1.0691175473105881</v>
      </c>
      <c r="H49" s="8">
        <f t="shared" si="51"/>
        <v>0.86464632160305888</v>
      </c>
      <c r="I49" s="8">
        <f t="shared" si="51"/>
        <v>0.81239008407815172</v>
      </c>
      <c r="J49" s="8">
        <f t="shared" si="51"/>
        <v>0.80103616097127006</v>
      </c>
      <c r="K49" s="8">
        <f t="shared" si="51"/>
        <v>1.0689051310174476</v>
      </c>
      <c r="L49" s="8">
        <f t="shared" si="51"/>
        <v>0.78193957225302702</v>
      </c>
      <c r="M49" s="8">
        <f t="shared" si="51"/>
        <v>0.66453361384438936</v>
      </c>
      <c r="N49" s="8"/>
      <c r="O49" s="8">
        <f t="shared" si="51"/>
        <v>0.52228591360900689</v>
      </c>
      <c r="P49" s="8">
        <f t="shared" si="51"/>
        <v>0.50333971698453694</v>
      </c>
      <c r="Q49" s="8">
        <f t="shared" si="51"/>
        <v>0.46252050319612642</v>
      </c>
      <c r="R49" s="8">
        <f t="shared" si="51"/>
        <v>0.43645261605794322</v>
      </c>
      <c r="S49" s="8">
        <f t="shared" si="51"/>
        <v>0.39771920797663485</v>
      </c>
      <c r="T49" s="8">
        <f t="shared" si="51"/>
        <v>0.38624505742801751</v>
      </c>
      <c r="U49" s="8">
        <f t="shared" si="51"/>
        <v>0.36091322028335715</v>
      </c>
      <c r="V49" s="8">
        <f t="shared" si="51"/>
        <v>0.34428348855162832</v>
      </c>
    </row>
    <row r="52" spans="1:22" x14ac:dyDescent="0.2">
      <c r="K52" s="8">
        <f>K29/G29-1</f>
        <v>0.83980533134368862</v>
      </c>
      <c r="L52" s="8">
        <f>L29/H29-1</f>
        <v>0.75200736387453082</v>
      </c>
      <c r="M52" s="8">
        <f>M29/I29-1</f>
        <v>0.64895564817268547</v>
      </c>
      <c r="N52" s="8"/>
      <c r="O52" s="8">
        <f t="shared" ref="O52:V52" si="52">O29/K29-1</f>
        <v>0.60653336036941097</v>
      </c>
      <c r="P52" s="8">
        <f t="shared" si="52"/>
        <v>0.48384228143843244</v>
      </c>
      <c r="Q52" s="8">
        <f t="shared" si="52"/>
        <v>0.48127483531846016</v>
      </c>
      <c r="R52" s="8">
        <f t="shared" si="52"/>
        <v>0.4548370291468089</v>
      </c>
      <c r="S52" s="8">
        <f t="shared" si="52"/>
        <v>0.39378541592098126</v>
      </c>
      <c r="T52" s="8">
        <f t="shared" si="52"/>
        <v>0.38312819521024322</v>
      </c>
      <c r="U52" s="8">
        <f t="shared" si="52"/>
        <v>0.36016741953561326</v>
      </c>
      <c r="V52" s="8">
        <f t="shared" si="52"/>
        <v>0.34550425350811498</v>
      </c>
    </row>
    <row r="63" spans="1:22" x14ac:dyDescent="0.2">
      <c r="A63" s="14" t="s">
        <v>25</v>
      </c>
      <c r="B63" s="14"/>
      <c r="C63" s="14"/>
      <c r="D63" s="14"/>
      <c r="E63" s="14"/>
      <c r="F63" s="14"/>
    </row>
    <row r="64" spans="1:22" x14ac:dyDescent="0.2">
      <c r="A64" s="13" t="s">
        <v>26</v>
      </c>
      <c r="G64" s="13">
        <v>124281</v>
      </c>
      <c r="H64" s="13">
        <v>865328</v>
      </c>
      <c r="I64" s="13">
        <v>876220</v>
      </c>
      <c r="J64" s="13">
        <v>886812</v>
      </c>
      <c r="K64" s="13">
        <v>849576</v>
      </c>
      <c r="L64" s="13">
        <v>834620</v>
      </c>
      <c r="M64" s="28">
        <v>852568</v>
      </c>
    </row>
    <row r="65" spans="1:13" x14ac:dyDescent="0.2">
      <c r="A65" s="13" t="s">
        <v>116</v>
      </c>
      <c r="G65" s="13">
        <v>10000</v>
      </c>
      <c r="H65" s="13">
        <v>10051</v>
      </c>
    </row>
    <row r="66" spans="1:13" x14ac:dyDescent="0.2">
      <c r="A66" s="13" t="s">
        <v>27</v>
      </c>
      <c r="G66" s="13">
        <v>4897</v>
      </c>
      <c r="H66" s="13">
        <v>4364</v>
      </c>
      <c r="I66" s="13">
        <v>6958</v>
      </c>
      <c r="J66" s="13">
        <v>8509</v>
      </c>
      <c r="K66" s="13">
        <v>9894</v>
      </c>
      <c r="L66" s="13">
        <v>9510</v>
      </c>
      <c r="M66" s="28">
        <v>14466</v>
      </c>
    </row>
    <row r="67" spans="1:13" x14ac:dyDescent="0.2">
      <c r="A67" s="13" t="s">
        <v>28</v>
      </c>
      <c r="G67" s="13">
        <v>6572</v>
      </c>
      <c r="H67" s="13">
        <v>6901</v>
      </c>
      <c r="I67" s="13">
        <v>15402</v>
      </c>
      <c r="J67" s="13">
        <v>18172</v>
      </c>
      <c r="K67" s="13">
        <v>15676</v>
      </c>
      <c r="L67" s="13">
        <v>24314</v>
      </c>
      <c r="M67" s="28">
        <v>22510</v>
      </c>
    </row>
    <row r="68" spans="1:13" x14ac:dyDescent="0.2">
      <c r="A68" s="13" t="s">
        <v>29</v>
      </c>
      <c r="G68" s="13">
        <f>G64+G65+G66+G67</f>
        <v>145750</v>
      </c>
      <c r="H68" s="13">
        <f>H64+H65+H66+H67</f>
        <v>886644</v>
      </c>
      <c r="I68" s="13">
        <f t="shared" ref="I68:M68" si="53">I64+I65+I66+I67</f>
        <v>898580</v>
      </c>
      <c r="J68" s="13">
        <f t="shared" si="53"/>
        <v>913493</v>
      </c>
      <c r="K68" s="13">
        <f t="shared" si="53"/>
        <v>875146</v>
      </c>
      <c r="L68" s="13">
        <f t="shared" si="53"/>
        <v>868444</v>
      </c>
      <c r="M68" s="13">
        <f t="shared" si="53"/>
        <v>889544</v>
      </c>
    </row>
    <row r="70" spans="1:13" x14ac:dyDescent="0.2">
      <c r="A70" s="13" t="s">
        <v>30</v>
      </c>
      <c r="G70" s="13">
        <v>11486</v>
      </c>
      <c r="H70" s="13">
        <v>13905</v>
      </c>
      <c r="I70" s="13">
        <v>18490</v>
      </c>
      <c r="J70" s="13">
        <v>19599</v>
      </c>
      <c r="K70" s="13">
        <v>22583</v>
      </c>
      <c r="L70" s="13">
        <v>26694</v>
      </c>
      <c r="M70" s="28">
        <v>31645</v>
      </c>
    </row>
    <row r="71" spans="1:13" x14ac:dyDescent="0.2">
      <c r="A71" s="13" t="s">
        <v>34</v>
      </c>
      <c r="K71" s="13">
        <v>62144</v>
      </c>
      <c r="L71" s="13">
        <v>64456</v>
      </c>
      <c r="M71" s="28">
        <v>88710</v>
      </c>
    </row>
    <row r="72" spans="1:13" x14ac:dyDescent="0.2">
      <c r="A72" s="13" t="s">
        <v>31</v>
      </c>
      <c r="G72" s="13">
        <v>3243</v>
      </c>
      <c r="H72" s="13">
        <v>2100</v>
      </c>
      <c r="I72" s="13">
        <v>132</v>
      </c>
      <c r="J72" s="13">
        <v>100</v>
      </c>
      <c r="K72" s="13">
        <v>100</v>
      </c>
      <c r="L72" s="13">
        <v>100</v>
      </c>
      <c r="M72" s="28">
        <v>176</v>
      </c>
    </row>
    <row r="73" spans="1:13" x14ac:dyDescent="0.2">
      <c r="A73" s="13" t="s">
        <v>32</v>
      </c>
      <c r="G73" s="13">
        <f t="shared" ref="G73:M73" si="54">G68+G70+G71+G72</f>
        <v>160479</v>
      </c>
      <c r="H73" s="13">
        <f t="shared" si="54"/>
        <v>902649</v>
      </c>
      <c r="I73" s="13">
        <f t="shared" si="54"/>
        <v>917202</v>
      </c>
      <c r="J73" s="13">
        <f t="shared" si="54"/>
        <v>933192</v>
      </c>
      <c r="K73" s="13">
        <f t="shared" si="54"/>
        <v>959973</v>
      </c>
      <c r="L73" s="13">
        <f t="shared" si="54"/>
        <v>959694</v>
      </c>
      <c r="M73" s="13">
        <f t="shared" si="54"/>
        <v>1010075</v>
      </c>
    </row>
    <row r="75" spans="1:13" x14ac:dyDescent="0.2">
      <c r="A75" s="13" t="s">
        <v>16</v>
      </c>
      <c r="G75" s="13">
        <v>29677</v>
      </c>
      <c r="H75" s="13">
        <v>25325</v>
      </c>
      <c r="I75" s="13">
        <v>22371</v>
      </c>
      <c r="J75" s="13">
        <v>23612</v>
      </c>
      <c r="K75" s="13">
        <v>17632</v>
      </c>
      <c r="L75" s="13">
        <v>10917</v>
      </c>
      <c r="M75" s="28">
        <v>6827</v>
      </c>
    </row>
    <row r="76" spans="1:13" x14ac:dyDescent="0.2">
      <c r="A76" s="13" t="s">
        <v>33</v>
      </c>
      <c r="G76" s="13">
        <v>28526</v>
      </c>
      <c r="H76" s="13">
        <v>34529</v>
      </c>
      <c r="I76" s="13">
        <v>64456</v>
      </c>
      <c r="J76" s="13">
        <v>70135</v>
      </c>
      <c r="K76" s="13">
        <v>55238</v>
      </c>
      <c r="L76" s="13">
        <v>68238</v>
      </c>
      <c r="M76" s="28">
        <v>75957</v>
      </c>
    </row>
    <row r="77" spans="1:13" x14ac:dyDescent="0.2">
      <c r="A77" s="13" t="s">
        <v>17</v>
      </c>
      <c r="G77" s="13">
        <v>87703</v>
      </c>
      <c r="H77" s="13">
        <v>101923</v>
      </c>
      <c r="I77" s="13">
        <v>117174</v>
      </c>
      <c r="J77" s="13">
        <v>134438</v>
      </c>
      <c r="K77" s="13">
        <v>160930</v>
      </c>
      <c r="L77" s="13">
        <v>177882</v>
      </c>
      <c r="M77" s="28">
        <v>189385</v>
      </c>
    </row>
    <row r="78" spans="1:13" x14ac:dyDescent="0.2">
      <c r="A78" s="13" t="s">
        <v>35</v>
      </c>
      <c r="G78" s="13">
        <v>21037</v>
      </c>
      <c r="H78" s="13">
        <v>21035</v>
      </c>
      <c r="K78" s="13">
        <v>10731</v>
      </c>
      <c r="L78" s="13">
        <v>10885</v>
      </c>
      <c r="M78" s="28">
        <v>16874</v>
      </c>
    </row>
    <row r="79" spans="1:13" x14ac:dyDescent="0.2">
      <c r="A79" s="13" t="s">
        <v>36</v>
      </c>
      <c r="G79" s="13">
        <f t="shared" ref="G79:M79" si="55">G75+G76+G77+G78</f>
        <v>166943</v>
      </c>
      <c r="H79" s="13">
        <f t="shared" si="55"/>
        <v>182812</v>
      </c>
      <c r="I79" s="13">
        <f t="shared" si="55"/>
        <v>204001</v>
      </c>
      <c r="J79" s="13">
        <f t="shared" si="55"/>
        <v>228185</v>
      </c>
      <c r="K79" s="13">
        <f t="shared" si="55"/>
        <v>244531</v>
      </c>
      <c r="L79" s="13">
        <f t="shared" si="55"/>
        <v>267922</v>
      </c>
      <c r="M79" s="13">
        <f t="shared" si="55"/>
        <v>289043</v>
      </c>
    </row>
    <row r="80" spans="1:13" x14ac:dyDescent="0.2">
      <c r="A80" s="13" t="s">
        <v>112</v>
      </c>
      <c r="K80" s="13">
        <v>51103</v>
      </c>
      <c r="L80" s="13">
        <v>47703</v>
      </c>
      <c r="M80" s="28">
        <v>67148</v>
      </c>
    </row>
    <row r="81" spans="1:27" x14ac:dyDescent="0.2">
      <c r="A81" s="13" t="s">
        <v>37</v>
      </c>
      <c r="G81" s="13">
        <v>1182</v>
      </c>
      <c r="H81" s="13">
        <v>1244</v>
      </c>
      <c r="I81" s="13">
        <v>1385</v>
      </c>
      <c r="J81" s="13">
        <v>1612</v>
      </c>
      <c r="K81" s="13">
        <v>1757</v>
      </c>
      <c r="L81" s="13">
        <v>2039</v>
      </c>
      <c r="M81" s="28">
        <v>2383</v>
      </c>
    </row>
    <row r="82" spans="1:27" x14ac:dyDescent="0.2">
      <c r="A82" s="13" t="s">
        <v>38</v>
      </c>
      <c r="G82" s="13">
        <f t="shared" ref="G82:M82" si="56">G79+G80+G81</f>
        <v>168125</v>
      </c>
      <c r="H82" s="13">
        <f t="shared" si="56"/>
        <v>184056</v>
      </c>
      <c r="I82" s="13">
        <f t="shared" si="56"/>
        <v>205386</v>
      </c>
      <c r="J82" s="13">
        <f t="shared" si="56"/>
        <v>229797</v>
      </c>
      <c r="K82" s="13">
        <f t="shared" si="56"/>
        <v>297391</v>
      </c>
      <c r="L82" s="13">
        <f t="shared" si="56"/>
        <v>317664</v>
      </c>
      <c r="M82" s="13">
        <f t="shared" si="56"/>
        <v>358574</v>
      </c>
    </row>
    <row r="84" spans="1:27" x14ac:dyDescent="0.2">
      <c r="A84" s="13" t="s">
        <v>117</v>
      </c>
      <c r="G84" s="13">
        <v>233496</v>
      </c>
    </row>
    <row r="85" spans="1:27" x14ac:dyDescent="0.2">
      <c r="A85" s="13" t="s">
        <v>39</v>
      </c>
      <c r="I85" s="13">
        <v>45</v>
      </c>
      <c r="J85" s="13">
        <v>594</v>
      </c>
      <c r="K85" s="13">
        <v>807</v>
      </c>
      <c r="L85" s="13">
        <v>-6749</v>
      </c>
      <c r="M85" s="28">
        <v>-6338</v>
      </c>
    </row>
    <row r="86" spans="1:27" x14ac:dyDescent="0.2">
      <c r="A86" s="13" t="s">
        <v>40</v>
      </c>
      <c r="G86" s="13">
        <v>114176</v>
      </c>
      <c r="H86" s="13">
        <v>1102802</v>
      </c>
      <c r="I86" s="13">
        <v>1124826</v>
      </c>
      <c r="J86" s="13">
        <v>1148461</v>
      </c>
      <c r="K86" s="13">
        <v>1174113</v>
      </c>
      <c r="L86" s="13">
        <v>1206788</v>
      </c>
      <c r="M86" s="28">
        <v>1238878</v>
      </c>
    </row>
    <row r="87" spans="1:27" x14ac:dyDescent="0.2">
      <c r="A87" s="13" t="s">
        <v>41</v>
      </c>
      <c r="G87" s="13">
        <v>-355318</v>
      </c>
      <c r="H87" s="13">
        <v>-384209</v>
      </c>
      <c r="I87" s="13">
        <v>-413055</v>
      </c>
      <c r="J87" s="13">
        <v>-445660</v>
      </c>
      <c r="K87" s="13">
        <v>-512338</v>
      </c>
      <c r="L87" s="13">
        <v>-558009</v>
      </c>
      <c r="M87" s="28">
        <v>-581039</v>
      </c>
    </row>
    <row r="88" spans="1:27" x14ac:dyDescent="0.2">
      <c r="A88" s="13" t="s">
        <v>42</v>
      </c>
      <c r="G88" s="13">
        <f>G85+G86+G87+G84</f>
        <v>-7646</v>
      </c>
      <c r="H88" s="13">
        <f t="shared" ref="H88:M88" si="57">H85+H86+H87</f>
        <v>718593</v>
      </c>
      <c r="I88" s="13">
        <f t="shared" si="57"/>
        <v>711816</v>
      </c>
      <c r="J88" s="13">
        <f t="shared" si="57"/>
        <v>703395</v>
      </c>
      <c r="K88" s="13">
        <f t="shared" si="57"/>
        <v>662582</v>
      </c>
      <c r="L88" s="13">
        <f t="shared" si="57"/>
        <v>642030</v>
      </c>
      <c r="M88" s="13">
        <f t="shared" si="57"/>
        <v>651501</v>
      </c>
    </row>
    <row r="90" spans="1:27" x14ac:dyDescent="0.2">
      <c r="A90" s="13" t="s">
        <v>43</v>
      </c>
      <c r="G90" s="13">
        <f t="shared" ref="G90:M90" si="58">G82+G88</f>
        <v>160479</v>
      </c>
      <c r="H90" s="13">
        <f t="shared" si="58"/>
        <v>902649</v>
      </c>
      <c r="I90" s="13">
        <f t="shared" si="58"/>
        <v>917202</v>
      </c>
      <c r="J90" s="13">
        <f t="shared" si="58"/>
        <v>933192</v>
      </c>
      <c r="K90" s="13">
        <f t="shared" si="58"/>
        <v>959973</v>
      </c>
      <c r="L90" s="13">
        <f t="shared" si="58"/>
        <v>959694</v>
      </c>
      <c r="M90" s="13">
        <f t="shared" si="58"/>
        <v>1010075</v>
      </c>
    </row>
    <row r="91" spans="1:27" x14ac:dyDescent="0.2">
      <c r="A91" s="13" t="s">
        <v>44</v>
      </c>
      <c r="G91" s="13">
        <f t="shared" ref="G91:M91" si="59">G73-G90</f>
        <v>0</v>
      </c>
      <c r="H91" s="13">
        <f t="shared" si="59"/>
        <v>0</v>
      </c>
      <c r="I91" s="13">
        <f t="shared" si="59"/>
        <v>0</v>
      </c>
      <c r="J91" s="13">
        <f t="shared" si="59"/>
        <v>0</v>
      </c>
      <c r="K91" s="13">
        <f t="shared" si="59"/>
        <v>0</v>
      </c>
      <c r="L91" s="13">
        <f t="shared" si="59"/>
        <v>0</v>
      </c>
      <c r="M91" s="13">
        <f t="shared" si="59"/>
        <v>0</v>
      </c>
    </row>
    <row r="93" spans="1:27" x14ac:dyDescent="0.2">
      <c r="A93" s="13" t="s">
        <v>105</v>
      </c>
    </row>
    <row r="95" spans="1:27" x14ac:dyDescent="0.2">
      <c r="A95" s="13" t="s">
        <v>21</v>
      </c>
      <c r="G95" s="13">
        <f>G42</f>
        <v>-38952</v>
      </c>
      <c r="H95" s="13">
        <f t="shared" ref="H95:M95" si="60">H42</f>
        <v>-28891</v>
      </c>
      <c r="I95" s="13">
        <f t="shared" si="60"/>
        <v>-28846</v>
      </c>
      <c r="J95" s="13">
        <f t="shared" si="60"/>
        <v>-32605</v>
      </c>
      <c r="K95" s="13">
        <f t="shared" si="60"/>
        <v>-66678</v>
      </c>
      <c r="L95" s="13">
        <f t="shared" si="60"/>
        <v>-45671</v>
      </c>
      <c r="M95" s="13">
        <f t="shared" si="60"/>
        <v>-23030</v>
      </c>
    </row>
    <row r="96" spans="1:27" x14ac:dyDescent="0.2">
      <c r="A96" s="13" t="s">
        <v>8</v>
      </c>
      <c r="G96" s="13">
        <v>547</v>
      </c>
      <c r="H96" s="13">
        <v>527</v>
      </c>
      <c r="I96" s="13">
        <v>709</v>
      </c>
      <c r="J96" s="13">
        <v>963</v>
      </c>
      <c r="K96" s="13">
        <v>1127</v>
      </c>
      <c r="L96" s="13">
        <v>1397</v>
      </c>
      <c r="M96" s="28">
        <v>2860</v>
      </c>
      <c r="Y96" s="13">
        <v>579</v>
      </c>
      <c r="Z96" s="13">
        <v>1888</v>
      </c>
      <c r="AA96" s="13">
        <v>2746</v>
      </c>
    </row>
    <row r="97" spans="1:27" x14ac:dyDescent="0.2">
      <c r="A97" s="13" t="s">
        <v>15</v>
      </c>
      <c r="G97" s="13">
        <v>45</v>
      </c>
      <c r="H97" s="13">
        <v>2</v>
      </c>
      <c r="I97" s="13">
        <v>19</v>
      </c>
      <c r="J97" s="13">
        <v>10</v>
      </c>
      <c r="M97" s="28"/>
    </row>
    <row r="98" spans="1:27" x14ac:dyDescent="0.2">
      <c r="A98" s="13" t="s">
        <v>9</v>
      </c>
      <c r="G98" s="13">
        <v>14540</v>
      </c>
      <c r="H98" s="13">
        <v>17558</v>
      </c>
      <c r="I98" s="13">
        <v>19762</v>
      </c>
      <c r="J98" s="13">
        <v>21669</v>
      </c>
      <c r="K98" s="13">
        <v>23666</v>
      </c>
      <c r="L98" s="13">
        <v>30822</v>
      </c>
      <c r="M98" s="28">
        <v>26054</v>
      </c>
      <c r="Y98" s="13">
        <v>21839</v>
      </c>
      <c r="Z98" s="13">
        <v>64345</v>
      </c>
      <c r="AA98" s="13">
        <v>73529</v>
      </c>
    </row>
    <row r="99" spans="1:27" x14ac:dyDescent="0.2">
      <c r="A99" s="13" t="s">
        <v>45</v>
      </c>
      <c r="H99" s="13">
        <v>-2</v>
      </c>
      <c r="I99" s="13">
        <v>-35</v>
      </c>
      <c r="M99" s="28"/>
    </row>
    <row r="101" spans="1:27" x14ac:dyDescent="0.2">
      <c r="A101" s="14" t="s">
        <v>51</v>
      </c>
      <c r="B101" s="14"/>
      <c r="C101" s="14"/>
      <c r="D101" s="14"/>
      <c r="E101" s="14"/>
      <c r="F101" s="14"/>
    </row>
    <row r="102" spans="1:27" x14ac:dyDescent="0.2">
      <c r="A102" s="13" t="s">
        <v>46</v>
      </c>
      <c r="G102" s="13">
        <v>-986</v>
      </c>
      <c r="H102" s="13">
        <v>533</v>
      </c>
      <c r="I102" s="13">
        <v>-2594</v>
      </c>
      <c r="J102" s="13">
        <v>-1551</v>
      </c>
      <c r="K102" s="13">
        <v>-1385</v>
      </c>
      <c r="L102" s="13">
        <v>384</v>
      </c>
      <c r="M102" s="28">
        <v>-4956</v>
      </c>
    </row>
    <row r="103" spans="1:27" x14ac:dyDescent="0.2">
      <c r="A103" s="13" t="s">
        <v>47</v>
      </c>
      <c r="G103" s="13">
        <v>-1629</v>
      </c>
      <c r="H103" s="13">
        <v>-429</v>
      </c>
      <c r="I103" s="13">
        <v>-8974</v>
      </c>
      <c r="J103" s="13">
        <v>-2303</v>
      </c>
      <c r="K103" s="13">
        <v>4700</v>
      </c>
      <c r="L103" s="13">
        <v>-7995</v>
      </c>
      <c r="M103" s="28">
        <v>5638</v>
      </c>
    </row>
    <row r="104" spans="1:27" x14ac:dyDescent="0.2">
      <c r="A104" s="13" t="s">
        <v>48</v>
      </c>
      <c r="G104" s="13">
        <v>3969</v>
      </c>
      <c r="H104" s="13">
        <v>-4972</v>
      </c>
      <c r="I104" s="13">
        <v>-4090</v>
      </c>
      <c r="J104" s="13">
        <v>3053</v>
      </c>
      <c r="K104" s="13">
        <v>-6175</v>
      </c>
      <c r="L104" s="13">
        <v>-6448</v>
      </c>
      <c r="M104" s="28">
        <v>-4126</v>
      </c>
    </row>
    <row r="105" spans="1:27" x14ac:dyDescent="0.2">
      <c r="A105" s="13" t="s">
        <v>49</v>
      </c>
      <c r="G105" s="13">
        <v>4862</v>
      </c>
      <c r="H105" s="13">
        <v>1099</v>
      </c>
      <c r="I105" s="13">
        <v>12591</v>
      </c>
      <c r="J105" s="13">
        <v>7016</v>
      </c>
      <c r="K105" s="13">
        <v>5342</v>
      </c>
      <c r="L105" s="13">
        <v>-3502</v>
      </c>
      <c r="M105" s="28">
        <v>6087</v>
      </c>
    </row>
    <row r="106" spans="1:27" x14ac:dyDescent="0.2">
      <c r="A106" s="13" t="s">
        <v>50</v>
      </c>
      <c r="G106" s="13">
        <v>16984</v>
      </c>
      <c r="H106" s="13">
        <v>14220</v>
      </c>
      <c r="I106" s="13">
        <v>15251</v>
      </c>
      <c r="J106" s="13">
        <v>17264</v>
      </c>
      <c r="K106" s="13">
        <v>26492</v>
      </c>
      <c r="L106" s="13">
        <v>16952</v>
      </c>
      <c r="M106" s="28">
        <v>11503</v>
      </c>
    </row>
    <row r="107" spans="1:27" x14ac:dyDescent="0.2">
      <c r="A107" s="13" t="s">
        <v>101</v>
      </c>
      <c r="G107" s="13">
        <f t="shared" ref="G107:M107" si="61">G104+G105+G106+G96+G97+G98+G99+G102+G103+G95</f>
        <v>-620</v>
      </c>
      <c r="H107" s="13">
        <f t="shared" si="61"/>
        <v>-355</v>
      </c>
      <c r="I107" s="13">
        <f t="shared" si="61"/>
        <v>3793</v>
      </c>
      <c r="J107" s="13">
        <f t="shared" si="61"/>
        <v>13516</v>
      </c>
      <c r="K107" s="13">
        <f t="shared" si="61"/>
        <v>-12911</v>
      </c>
      <c r="L107" s="13">
        <f t="shared" si="61"/>
        <v>-14061</v>
      </c>
      <c r="M107" s="13">
        <f t="shared" si="61"/>
        <v>20030</v>
      </c>
    </row>
    <row r="109" spans="1:27" x14ac:dyDescent="0.2">
      <c r="A109" s="13" t="s">
        <v>10</v>
      </c>
      <c r="G109" s="13">
        <v>-4223</v>
      </c>
      <c r="H109" s="13">
        <v>-1358</v>
      </c>
      <c r="I109" s="13">
        <v>-3023</v>
      </c>
      <c r="J109" s="13">
        <v>-2974</v>
      </c>
      <c r="K109" s="13">
        <v>-2354</v>
      </c>
      <c r="L109" s="13">
        <v>-4550</v>
      </c>
      <c r="M109" s="28">
        <v>-5339</v>
      </c>
      <c r="Y109" s="13">
        <v>-1402</v>
      </c>
      <c r="Z109" s="13">
        <v>-4362</v>
      </c>
      <c r="AA109" s="13">
        <v>-11578</v>
      </c>
    </row>
    <row r="110" spans="1:27" x14ac:dyDescent="0.2">
      <c r="A110" s="13" t="s">
        <v>114</v>
      </c>
      <c r="G110" s="13">
        <v>-440</v>
      </c>
      <c r="H110" s="13">
        <v>-718</v>
      </c>
      <c r="I110" s="13">
        <v>-590</v>
      </c>
      <c r="J110" s="13">
        <v>-432</v>
      </c>
      <c r="K110" s="13">
        <v>-926</v>
      </c>
      <c r="L110" s="13">
        <v>-684</v>
      </c>
      <c r="M110" s="28">
        <v>-732</v>
      </c>
    </row>
    <row r="111" spans="1:27" x14ac:dyDescent="0.2">
      <c r="A111" s="13" t="s">
        <v>113</v>
      </c>
      <c r="G111" s="13">
        <v>21</v>
      </c>
      <c r="I111" s="13">
        <v>3</v>
      </c>
      <c r="J111" s="13">
        <v>105</v>
      </c>
    </row>
    <row r="112" spans="1:27" x14ac:dyDescent="0.2">
      <c r="A112" s="13" t="s">
        <v>53</v>
      </c>
      <c r="H112" s="13">
        <v>-51</v>
      </c>
      <c r="I112" s="13">
        <v>10051</v>
      </c>
    </row>
    <row r="113" spans="1:27" x14ac:dyDescent="0.2">
      <c r="A113" s="13" t="s">
        <v>102</v>
      </c>
      <c r="G113" s="13">
        <f>G109+G110+G111+G112</f>
        <v>-4642</v>
      </c>
      <c r="H113" s="13">
        <f>H109+H110+H111+H112</f>
        <v>-2127</v>
      </c>
      <c r="I113" s="13">
        <f>I109+I110+I111+I112</f>
        <v>6441</v>
      </c>
      <c r="J113" s="13">
        <f t="shared" ref="J113:M113" si="62">J109+J110+J111+J112</f>
        <v>-3301</v>
      </c>
      <c r="K113" s="13">
        <f t="shared" si="62"/>
        <v>-3280</v>
      </c>
      <c r="L113" s="13">
        <f t="shared" si="62"/>
        <v>-5234</v>
      </c>
      <c r="M113" s="13">
        <f t="shared" si="62"/>
        <v>-6071</v>
      </c>
    </row>
    <row r="115" spans="1:27" x14ac:dyDescent="0.2">
      <c r="A115" s="13" t="s">
        <v>18</v>
      </c>
      <c r="G115" s="13">
        <v>-207</v>
      </c>
      <c r="H115" s="13">
        <v>736227</v>
      </c>
      <c r="I115" s="13">
        <v>-164</v>
      </c>
    </row>
    <row r="116" spans="1:27" x14ac:dyDescent="0.2">
      <c r="A116" s="13" t="s">
        <v>115</v>
      </c>
      <c r="G116" s="13">
        <v>543</v>
      </c>
      <c r="H116" s="13">
        <v>1300</v>
      </c>
      <c r="I116" s="13">
        <v>1745</v>
      </c>
      <c r="J116" s="13">
        <v>1661</v>
      </c>
      <c r="K116" s="13">
        <v>1351</v>
      </c>
      <c r="L116" s="13">
        <v>3354</v>
      </c>
      <c r="M116" s="28">
        <v>3572</v>
      </c>
    </row>
    <row r="117" spans="1:27" x14ac:dyDescent="0.2">
      <c r="A117" s="13" t="s">
        <v>19</v>
      </c>
      <c r="H117" s="13">
        <v>6023</v>
      </c>
      <c r="I117" s="13">
        <v>17500</v>
      </c>
      <c r="K117" s="13">
        <v>-22384</v>
      </c>
      <c r="L117" s="13">
        <v>1017</v>
      </c>
      <c r="M117" s="28">
        <v>435</v>
      </c>
    </row>
    <row r="118" spans="1:27" x14ac:dyDescent="0.2">
      <c r="A118" s="13" t="s">
        <v>52</v>
      </c>
      <c r="I118" s="13">
        <v>-21000</v>
      </c>
      <c r="J118" s="13">
        <v>-1265</v>
      </c>
    </row>
    <row r="119" spans="1:27" x14ac:dyDescent="0.2">
      <c r="A119" s="13" t="s">
        <v>20</v>
      </c>
      <c r="G119" s="13">
        <v>-28</v>
      </c>
      <c r="H119" s="13">
        <v>-21</v>
      </c>
      <c r="I119" s="13">
        <v>-23</v>
      </c>
      <c r="K119" s="13">
        <v>-11</v>
      </c>
      <c r="L119" s="13">
        <v>-32</v>
      </c>
      <c r="M119" s="28">
        <v>-18</v>
      </c>
    </row>
    <row r="120" spans="1:27" x14ac:dyDescent="0.2">
      <c r="A120" s="13" t="s">
        <v>53</v>
      </c>
    </row>
    <row r="121" spans="1:27" x14ac:dyDescent="0.2">
      <c r="A121" s="13" t="s">
        <v>103</v>
      </c>
      <c r="G121" s="13">
        <f>G115+G116+G117+G119+G118+G120</f>
        <v>308</v>
      </c>
      <c r="H121" s="13">
        <f>H115+H116+H117+H119+H118+H120</f>
        <v>743529</v>
      </c>
      <c r="I121" s="13">
        <f>I115+I116+I117+I119+I118+I120</f>
        <v>-1942</v>
      </c>
      <c r="J121" s="13">
        <f t="shared" ref="J121:M121" si="63">J115+J116+J117+J119+J118+J120</f>
        <v>396</v>
      </c>
      <c r="K121" s="13">
        <f t="shared" si="63"/>
        <v>-21044</v>
      </c>
      <c r="L121" s="13">
        <f t="shared" si="63"/>
        <v>4339</v>
      </c>
      <c r="M121" s="13">
        <f t="shared" si="63"/>
        <v>3989</v>
      </c>
    </row>
    <row r="123" spans="1:27" x14ac:dyDescent="0.2">
      <c r="A123" s="13" t="s">
        <v>12</v>
      </c>
      <c r="G123" s="13">
        <f>G107+G113+G121</f>
        <v>-4954</v>
      </c>
      <c r="H123" s="13">
        <f t="shared" ref="H123:M123" si="64">H107+H113+H121</f>
        <v>741047</v>
      </c>
      <c r="I123" s="13">
        <f>I107+I113+I121</f>
        <v>8292</v>
      </c>
      <c r="J123" s="13">
        <f t="shared" si="64"/>
        <v>10611</v>
      </c>
      <c r="K123" s="13">
        <f>K107+K113+K121</f>
        <v>-37235</v>
      </c>
      <c r="L123" s="13">
        <f t="shared" si="64"/>
        <v>-14956</v>
      </c>
      <c r="M123" s="13">
        <f t="shared" si="64"/>
        <v>17948</v>
      </c>
    </row>
    <row r="124" spans="1:27" x14ac:dyDescent="0.2">
      <c r="A124" s="13" t="s">
        <v>13</v>
      </c>
    </row>
    <row r="125" spans="1:27" x14ac:dyDescent="0.2">
      <c r="A125" s="13" t="s">
        <v>14</v>
      </c>
    </row>
    <row r="127" spans="1:27" x14ac:dyDescent="0.2">
      <c r="A127" s="13" t="s">
        <v>11</v>
      </c>
      <c r="Y127" s="13">
        <v>-365</v>
      </c>
      <c r="Z127" s="13">
        <v>-1119</v>
      </c>
      <c r="AA127" s="13">
        <v>-2180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7A33A-3438-6043-AA7B-8DEF72606488}">
  <dimension ref="A1:AF40"/>
  <sheetViews>
    <sheetView tabSelected="1" workbookViewId="0">
      <pane xSplit="1" ySplit="2" topLeftCell="H3" activePane="bottomRight" state="frozen"/>
      <selection pane="topRight" activeCell="B1" sqref="B1"/>
      <selection pane="bottomLeft" activeCell="A3" sqref="A3"/>
      <selection pane="bottomRight" activeCell="M26" sqref="M26"/>
    </sheetView>
  </sheetViews>
  <sheetFormatPr baseColWidth="10" defaultRowHeight="16" outlineLevelCol="1" x14ac:dyDescent="0.2"/>
  <cols>
    <col min="1" max="1" width="30.83203125" customWidth="1"/>
    <col min="2" max="6" width="14.1640625" customWidth="1" outlineLevel="1"/>
    <col min="7" max="8" width="14.1640625" customWidth="1"/>
    <col min="9" max="11" width="13.33203125" customWidth="1"/>
  </cols>
  <sheetData>
    <row r="1" spans="1:32" x14ac:dyDescent="0.2">
      <c r="B1" s="13" t="s">
        <v>123</v>
      </c>
      <c r="C1" s="13" t="s">
        <v>124</v>
      </c>
      <c r="D1" s="13" t="s">
        <v>125</v>
      </c>
      <c r="E1" s="13" t="s">
        <v>126</v>
      </c>
      <c r="F1" s="13" t="s">
        <v>127</v>
      </c>
      <c r="G1" s="13" t="s">
        <v>121</v>
      </c>
      <c r="H1" s="13" t="s">
        <v>122</v>
      </c>
      <c r="I1" s="13" t="s">
        <v>128</v>
      </c>
      <c r="J1" s="13" t="s">
        <v>129</v>
      </c>
      <c r="K1" s="13" t="s">
        <v>130</v>
      </c>
      <c r="L1" s="13" t="s">
        <v>131</v>
      </c>
      <c r="M1" s="13" t="s">
        <v>132</v>
      </c>
      <c r="N1" s="13" t="s">
        <v>133</v>
      </c>
      <c r="O1" s="13" t="s">
        <v>134</v>
      </c>
      <c r="P1" s="13" t="s">
        <v>135</v>
      </c>
      <c r="Q1" s="13" t="s">
        <v>136</v>
      </c>
      <c r="R1" s="13" t="s">
        <v>81</v>
      </c>
      <c r="S1" s="13" t="s">
        <v>82</v>
      </c>
      <c r="T1" s="13" t="s">
        <v>83</v>
      </c>
      <c r="U1" s="13" t="s">
        <v>84</v>
      </c>
      <c r="V1" s="13" t="s">
        <v>85</v>
      </c>
      <c r="W1" s="13"/>
      <c r="X1" t="s">
        <v>137</v>
      </c>
      <c r="Y1" t="s">
        <v>138</v>
      </c>
      <c r="Z1" t="s">
        <v>139</v>
      </c>
      <c r="AA1" t="s">
        <v>140</v>
      </c>
      <c r="AB1" s="13" t="s">
        <v>141</v>
      </c>
      <c r="AC1" s="13" t="s">
        <v>142</v>
      </c>
    </row>
    <row r="10" spans="1:32" x14ac:dyDescent="0.2">
      <c r="A10" s="2"/>
      <c r="G10" s="2"/>
      <c r="H10" s="2"/>
      <c r="I10" s="2"/>
      <c r="J10" s="2"/>
      <c r="K10" s="2"/>
      <c r="L10" s="2"/>
      <c r="M10" s="2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spans="1:32" x14ac:dyDescent="0.2">
      <c r="A11" s="2"/>
      <c r="G11" s="2"/>
      <c r="H11" s="2"/>
      <c r="I11" s="2"/>
      <c r="J11" s="2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3" spans="1:32" x14ac:dyDescent="0.2"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2">
      <c r="A14" s="4" t="s">
        <v>63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2">
      <c r="A15" t="s">
        <v>57</v>
      </c>
      <c r="G15" s="3">
        <f>G16*Model!G5</f>
        <v>155686.08000000002</v>
      </c>
      <c r="I15" s="3">
        <f>I16*Model!I5</f>
        <v>232450.4</v>
      </c>
      <c r="J15" s="3">
        <f>J16*Model!J5</f>
        <v>275169.59999999998</v>
      </c>
      <c r="K15" s="3">
        <f>K16*Model!K5</f>
        <v>316811.24</v>
      </c>
      <c r="L15" s="3">
        <f>L16*Model!L5</f>
        <v>371154</v>
      </c>
      <c r="M15" s="3">
        <f>M16*Model!M5</f>
        <v>410679</v>
      </c>
      <c r="N15" s="3">
        <f>N16*Model!N5</f>
        <v>455759.84</v>
      </c>
      <c r="O15" s="3"/>
      <c r="P15" s="3"/>
      <c r="Q15" s="3"/>
      <c r="R15" s="3"/>
      <c r="S15" s="3"/>
      <c r="T15" s="3"/>
      <c r="U15" s="3"/>
      <c r="V15" s="3"/>
      <c r="W15" s="3"/>
      <c r="X15" s="3">
        <f>X16*Model!O5</f>
        <v>529884.31199999992</v>
      </c>
      <c r="Y15" s="3">
        <f>Y16*Model!P5</f>
        <v>558077.11809999996</v>
      </c>
      <c r="Z15" s="3">
        <f>Z16*Model!Q5</f>
        <v>616439.51433499996</v>
      </c>
      <c r="AA15" s="3">
        <f>AA16*Model!R5</f>
        <v>663056.29163002491</v>
      </c>
      <c r="AB15" s="3">
        <f>AB16*Model!S5</f>
        <v>738545.02619092294</v>
      </c>
      <c r="AC15" s="3">
        <f>AC16*Model!T5</f>
        <v>771892.19714578672</v>
      </c>
      <c r="AD15" s="3">
        <f>AD16*Model!U5</f>
        <v>838460.94351282343</v>
      </c>
      <c r="AE15" s="3">
        <f>AE16*Model!V5</f>
        <v>892145.06070351577</v>
      </c>
      <c r="AF15" s="3"/>
    </row>
    <row r="16" spans="1:32" x14ac:dyDescent="0.2">
      <c r="A16" t="s">
        <v>23</v>
      </c>
      <c r="B16" s="1">
        <v>0.53</v>
      </c>
      <c r="C16" s="1"/>
      <c r="F16" s="1">
        <v>0.63</v>
      </c>
      <c r="G16" s="1">
        <v>0.66</v>
      </c>
      <c r="I16" s="1">
        <v>0.7</v>
      </c>
      <c r="J16" s="1">
        <v>0.72</v>
      </c>
      <c r="K16" s="1">
        <v>0.73</v>
      </c>
      <c r="L16" s="1">
        <v>0.75</v>
      </c>
      <c r="M16" s="1">
        <v>0.75</v>
      </c>
      <c r="N16" s="1">
        <v>0.76</v>
      </c>
      <c r="O16" s="1"/>
      <c r="P16" s="1"/>
      <c r="Q16" s="1"/>
      <c r="R16" s="1"/>
      <c r="S16" s="1"/>
      <c r="T16" s="1"/>
      <c r="U16" s="1"/>
      <c r="V16" s="1"/>
      <c r="W16" s="1"/>
      <c r="X16" s="1">
        <v>0.76</v>
      </c>
      <c r="Y16" s="1">
        <v>0.76</v>
      </c>
      <c r="Z16" s="1">
        <v>0.76</v>
      </c>
      <c r="AA16" s="1">
        <v>0.76</v>
      </c>
      <c r="AB16" s="1">
        <v>0.76</v>
      </c>
      <c r="AC16" s="1">
        <v>0.76</v>
      </c>
      <c r="AD16" s="1">
        <v>0.76</v>
      </c>
      <c r="AE16" s="1">
        <v>0.76</v>
      </c>
      <c r="AF16" s="1"/>
    </row>
    <row r="17" spans="1:32" x14ac:dyDescent="0.2">
      <c r="A17" s="2" t="s">
        <v>59</v>
      </c>
      <c r="B17" s="1">
        <v>1.1599999999999999</v>
      </c>
      <c r="C17" s="1">
        <v>1.19</v>
      </c>
      <c r="F17" s="1">
        <v>1.19</v>
      </c>
      <c r="G17" s="1">
        <v>1.21</v>
      </c>
      <c r="H17" s="1">
        <v>1.25</v>
      </c>
      <c r="I17" s="1">
        <v>1.3</v>
      </c>
      <c r="J17" s="1">
        <v>1.35</v>
      </c>
      <c r="K17" s="1">
        <v>1.35</v>
      </c>
      <c r="L17" s="1">
        <v>1.35</v>
      </c>
      <c r="M17" s="1">
        <v>1.35</v>
      </c>
      <c r="N17" s="1">
        <v>1.3</v>
      </c>
      <c r="O17" s="1"/>
      <c r="P17" s="1"/>
      <c r="Q17" s="1"/>
      <c r="R17" s="1"/>
      <c r="S17" s="1"/>
      <c r="T17" s="1"/>
      <c r="U17" s="1"/>
      <c r="V17" s="1"/>
      <c r="W17" s="1"/>
      <c r="X17" s="1">
        <v>1.3</v>
      </c>
      <c r="Y17" s="1">
        <v>1.3</v>
      </c>
      <c r="Z17" s="1">
        <v>1.3</v>
      </c>
      <c r="AA17" s="1">
        <v>1.3</v>
      </c>
      <c r="AB17" s="1">
        <v>1.2</v>
      </c>
      <c r="AC17" s="1">
        <v>1.2</v>
      </c>
      <c r="AD17" s="1">
        <v>1.2</v>
      </c>
      <c r="AE17" s="1">
        <v>1.2</v>
      </c>
      <c r="AF17" s="1"/>
    </row>
    <row r="18" spans="1:32" x14ac:dyDescent="0.2">
      <c r="A18" s="2" t="s">
        <v>64</v>
      </c>
      <c r="G18" s="1"/>
      <c r="H18" s="1"/>
      <c r="I18" s="1"/>
      <c r="J18" s="1"/>
      <c r="K18" s="3">
        <f>K17*G15</f>
        <v>210176.20800000004</v>
      </c>
      <c r="L18" s="3">
        <f>L17*H15</f>
        <v>0</v>
      </c>
      <c r="M18" s="3">
        <f>M17*I15</f>
        <v>313808.04000000004</v>
      </c>
      <c r="N18" s="3">
        <f t="shared" ref="N18:AE18" si="0">N17*J15</f>
        <v>357720.48</v>
      </c>
      <c r="O18" s="3"/>
      <c r="P18" s="3"/>
      <c r="Q18" s="3"/>
      <c r="R18" s="3"/>
      <c r="S18" s="3"/>
      <c r="T18" s="3"/>
      <c r="U18" s="3"/>
      <c r="V18" s="3"/>
      <c r="W18" s="3"/>
      <c r="X18" s="3">
        <f>X17*K15</f>
        <v>411854.61200000002</v>
      </c>
      <c r="Y18" s="3">
        <f>Y17*L15</f>
        <v>482500.2</v>
      </c>
      <c r="Z18" s="3">
        <f>Z17*M15</f>
        <v>533882.70000000007</v>
      </c>
      <c r="AA18" s="3">
        <f>AA17*N15</f>
        <v>592487.79200000002</v>
      </c>
      <c r="AB18" s="3">
        <f t="shared" si="0"/>
        <v>635861.1743999999</v>
      </c>
      <c r="AC18" s="3">
        <f t="shared" si="0"/>
        <v>669692.54171999998</v>
      </c>
      <c r="AD18" s="3">
        <f t="shared" si="0"/>
        <v>739727.41720199992</v>
      </c>
      <c r="AE18" s="3">
        <f t="shared" si="0"/>
        <v>795667.54995602986</v>
      </c>
      <c r="AF18" s="3"/>
    </row>
    <row r="19" spans="1:32" x14ac:dyDescent="0.2">
      <c r="A19" s="2" t="s">
        <v>65</v>
      </c>
      <c r="G19" s="1"/>
      <c r="H19" s="1"/>
      <c r="I19" s="1"/>
      <c r="J19" s="1"/>
      <c r="K19" s="3">
        <f>K15-K18</f>
        <v>106635.03199999995</v>
      </c>
      <c r="L19" s="3">
        <f t="shared" ref="L19:AE19" si="1">L15-L18</f>
        <v>371154</v>
      </c>
      <c r="M19" s="3">
        <f t="shared" si="1"/>
        <v>96870.959999999963</v>
      </c>
      <c r="N19" s="3">
        <f t="shared" si="1"/>
        <v>98039.360000000044</v>
      </c>
      <c r="O19" s="3"/>
      <c r="P19" s="3"/>
      <c r="Q19" s="3"/>
      <c r="R19" s="3"/>
      <c r="S19" s="3"/>
      <c r="T19" s="3"/>
      <c r="U19" s="3"/>
      <c r="V19" s="3"/>
      <c r="W19" s="3"/>
      <c r="X19" s="3">
        <f t="shared" si="1"/>
        <v>118029.6999999999</v>
      </c>
      <c r="Y19" s="3">
        <f t="shared" si="1"/>
        <v>75576.918099999952</v>
      </c>
      <c r="Z19" s="3">
        <f t="shared" si="1"/>
        <v>82556.814334999886</v>
      </c>
      <c r="AA19" s="3">
        <f t="shared" si="1"/>
        <v>70568.499630024889</v>
      </c>
      <c r="AB19" s="3">
        <f t="shared" si="1"/>
        <v>102683.85179092304</v>
      </c>
      <c r="AC19" s="3">
        <f t="shared" si="1"/>
        <v>102199.65542578674</v>
      </c>
      <c r="AD19" s="3">
        <f t="shared" si="1"/>
        <v>98733.526310823509</v>
      </c>
      <c r="AE19" s="3">
        <f t="shared" si="1"/>
        <v>96477.510747485911</v>
      </c>
      <c r="AF19" s="3"/>
    </row>
    <row r="22" spans="1:32" x14ac:dyDescent="0.2">
      <c r="A22" s="5" t="s">
        <v>56</v>
      </c>
      <c r="G22" s="2"/>
      <c r="H22" s="2"/>
      <c r="I22" s="2"/>
      <c r="J22" s="2"/>
      <c r="K22" s="2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1:32" x14ac:dyDescent="0.2">
      <c r="A23" s="2" t="s">
        <v>58</v>
      </c>
      <c r="G23" s="2"/>
      <c r="H23" s="2"/>
      <c r="I23" s="6">
        <f>I24*Model!I5</f>
        <v>59772.959999999999</v>
      </c>
      <c r="J23" s="6">
        <f>J24*Model!J5</f>
        <v>76436</v>
      </c>
      <c r="K23" s="6">
        <f>K24*Model!K5</f>
        <v>95477.36</v>
      </c>
      <c r="L23" s="6">
        <f>L24*Model!L5</f>
        <v>118769.28</v>
      </c>
      <c r="M23" s="6">
        <f>M24*Model!M5</f>
        <v>142368.72</v>
      </c>
      <c r="N23" s="6">
        <f>N24*Model!N5</f>
        <v>155917.84</v>
      </c>
      <c r="O23" s="6"/>
      <c r="P23" s="6"/>
      <c r="Q23" s="6"/>
      <c r="R23" s="6"/>
      <c r="S23" s="6"/>
      <c r="T23" s="6"/>
      <c r="U23" s="6"/>
      <c r="V23" s="6"/>
      <c r="W23" s="6"/>
      <c r="X23" s="6">
        <f>X24*Model!O5</f>
        <v>181276.212</v>
      </c>
      <c r="Y23" s="6">
        <f>Y24*Model!P5</f>
        <v>190921.11934999999</v>
      </c>
      <c r="Z23" s="6">
        <f>Z24*Model!Q5</f>
        <v>210887.20227249997</v>
      </c>
      <c r="AA23" s="6">
        <f>AA24*Model!R5</f>
        <v>226835.0471365875</v>
      </c>
      <c r="AB23" s="6">
        <f>AB24*Model!S5</f>
        <v>252660.14053899999</v>
      </c>
      <c r="AC23" s="6">
        <f>AC24*Model!T5</f>
        <v>264068.38323408493</v>
      </c>
      <c r="AD23" s="6">
        <f>AD24*Model!U5</f>
        <v>286841.90172807121</v>
      </c>
      <c r="AE23" s="6">
        <f>AE24*Model!V5</f>
        <v>305207.52076699224</v>
      </c>
      <c r="AF23" s="6"/>
    </row>
    <row r="24" spans="1:32" x14ac:dyDescent="0.2">
      <c r="A24" t="s">
        <v>24</v>
      </c>
      <c r="I24" s="1">
        <v>0.18</v>
      </c>
      <c r="J24" s="1">
        <v>0.2</v>
      </c>
      <c r="K24" s="1">
        <v>0.22</v>
      </c>
      <c r="L24" s="1">
        <v>0.24</v>
      </c>
      <c r="M24" s="1">
        <v>0.26</v>
      </c>
      <c r="N24" s="1">
        <v>0.26</v>
      </c>
      <c r="O24" s="1"/>
      <c r="P24" s="1"/>
      <c r="Q24" s="1"/>
      <c r="R24" s="1"/>
      <c r="S24" s="1"/>
      <c r="T24" s="1"/>
      <c r="U24" s="1"/>
      <c r="V24" s="1"/>
      <c r="W24" s="1"/>
      <c r="X24" s="1">
        <v>0.26</v>
      </c>
      <c r="Y24" s="1">
        <v>0.26</v>
      </c>
      <c r="Z24" s="1">
        <v>0.26</v>
      </c>
      <c r="AA24" s="1">
        <v>0.26</v>
      </c>
      <c r="AB24" s="1">
        <v>0.26</v>
      </c>
      <c r="AC24" s="1">
        <v>0.26</v>
      </c>
      <c r="AD24" s="1">
        <v>0.26</v>
      </c>
      <c r="AE24" s="1">
        <v>0.26</v>
      </c>
      <c r="AF24" s="1"/>
    </row>
    <row r="25" spans="1:32" x14ac:dyDescent="0.2">
      <c r="A25" t="s">
        <v>66</v>
      </c>
      <c r="I25" s="1">
        <v>1.45</v>
      </c>
      <c r="J25" s="1">
        <v>1.5</v>
      </c>
      <c r="K25" s="1">
        <v>1.5</v>
      </c>
      <c r="L25" s="1">
        <v>1.5</v>
      </c>
      <c r="M25" s="1">
        <v>1.45</v>
      </c>
      <c r="N25" s="1">
        <v>1.35</v>
      </c>
      <c r="O25" s="1"/>
      <c r="P25" s="1"/>
      <c r="Q25" s="1"/>
      <c r="R25" s="1"/>
      <c r="S25" s="1"/>
      <c r="T25" s="1"/>
      <c r="U25" s="1"/>
      <c r="V25" s="1"/>
      <c r="W25" s="1"/>
      <c r="X25" s="1">
        <v>1.2</v>
      </c>
      <c r="Y25" s="1">
        <v>1.1000000000000001</v>
      </c>
      <c r="Z25" s="1">
        <v>1.1000000000000001</v>
      </c>
      <c r="AA25" s="1">
        <v>1.1000000000000001</v>
      </c>
      <c r="AB25" s="1">
        <v>1.05</v>
      </c>
      <c r="AC25" s="1">
        <v>1.05</v>
      </c>
      <c r="AD25" s="1">
        <v>1.05</v>
      </c>
      <c r="AE25" s="1">
        <v>1.05</v>
      </c>
      <c r="AF25" s="1"/>
    </row>
    <row r="26" spans="1:32" x14ac:dyDescent="0.2">
      <c r="A26" t="s">
        <v>60</v>
      </c>
      <c r="I26" s="1"/>
      <c r="J26" s="1"/>
      <c r="K26" s="1"/>
      <c r="L26" s="1"/>
      <c r="M26" s="3">
        <f t="shared" ref="M26:AE26" si="2">I23*M25</f>
        <v>86670.792000000001</v>
      </c>
      <c r="N26" s="3">
        <f t="shared" si="2"/>
        <v>103188.6</v>
      </c>
      <c r="O26" s="3"/>
      <c r="P26" s="3"/>
      <c r="Q26" s="3"/>
      <c r="R26" s="3"/>
      <c r="S26" s="3"/>
      <c r="T26" s="3"/>
      <c r="U26" s="3"/>
      <c r="V26" s="3"/>
      <c r="W26" s="3"/>
      <c r="X26" s="3">
        <f>K23*X25</f>
        <v>114572.83199999999</v>
      </c>
      <c r="Y26" s="3">
        <f>L23*Y25</f>
        <v>130646.20800000001</v>
      </c>
      <c r="Z26" s="3">
        <f>M23*Z25</f>
        <v>156605.592</v>
      </c>
      <c r="AA26" s="3">
        <f>N23*AA25</f>
        <v>171509.62400000001</v>
      </c>
      <c r="AB26" s="3">
        <f t="shared" si="2"/>
        <v>190340.0226</v>
      </c>
      <c r="AC26" s="3">
        <f t="shared" si="2"/>
        <v>200467.17531749999</v>
      </c>
      <c r="AD26" s="3">
        <f t="shared" si="2"/>
        <v>221431.56238612498</v>
      </c>
      <c r="AE26" s="3">
        <f t="shared" si="2"/>
        <v>238176.79949341688</v>
      </c>
      <c r="AF26" s="3"/>
    </row>
    <row r="27" spans="1:32" x14ac:dyDescent="0.2">
      <c r="A27" t="s">
        <v>61</v>
      </c>
      <c r="I27" s="1"/>
      <c r="J27" s="1"/>
      <c r="K27" s="1"/>
      <c r="L27" s="1"/>
      <c r="M27" s="3">
        <f t="shared" ref="M27:AE27" si="3">M23-M26</f>
        <v>55697.928</v>
      </c>
      <c r="N27" s="3">
        <f t="shared" si="3"/>
        <v>52729.239999999991</v>
      </c>
      <c r="O27" s="3"/>
      <c r="P27" s="3"/>
      <c r="Q27" s="3"/>
      <c r="R27" s="3"/>
      <c r="S27" s="3"/>
      <c r="T27" s="3"/>
      <c r="U27" s="3"/>
      <c r="V27" s="3"/>
      <c r="W27" s="3"/>
      <c r="X27" s="3">
        <f t="shared" si="3"/>
        <v>66703.38</v>
      </c>
      <c r="Y27" s="3">
        <f t="shared" si="3"/>
        <v>60274.91134999998</v>
      </c>
      <c r="Z27" s="3">
        <f t="shared" si="3"/>
        <v>54281.610272499966</v>
      </c>
      <c r="AA27" s="3">
        <f t="shared" si="3"/>
        <v>55325.423136587488</v>
      </c>
      <c r="AB27" s="3">
        <f t="shared" si="3"/>
        <v>62320.117938999989</v>
      </c>
      <c r="AC27" s="3">
        <f t="shared" si="3"/>
        <v>63601.207916584943</v>
      </c>
      <c r="AD27" s="3">
        <f t="shared" si="3"/>
        <v>65410.339341946237</v>
      </c>
      <c r="AE27" s="3">
        <f t="shared" si="3"/>
        <v>67030.721273575356</v>
      </c>
      <c r="AF27" s="3"/>
    </row>
    <row r="28" spans="1:32" x14ac:dyDescent="0.2">
      <c r="A28" s="2"/>
      <c r="G28" s="2"/>
      <c r="H28" s="2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 spans="1:32" x14ac:dyDescent="0.2">
      <c r="A29" s="2" t="s">
        <v>22</v>
      </c>
      <c r="B29">
        <v>76</v>
      </c>
      <c r="C29">
        <v>105</v>
      </c>
      <c r="F29">
        <v>264</v>
      </c>
      <c r="G29" s="2">
        <v>335</v>
      </c>
      <c r="H29" s="2">
        <v>470</v>
      </c>
      <c r="I29" s="2">
        <v>613</v>
      </c>
      <c r="J29" s="2">
        <v>793</v>
      </c>
      <c r="K29" s="2">
        <v>960</v>
      </c>
      <c r="L29" s="3">
        <v>1160</v>
      </c>
      <c r="M29" s="3">
        <v>1323</v>
      </c>
      <c r="N29" s="3">
        <v>1474</v>
      </c>
      <c r="O29" s="3"/>
      <c r="P29" s="3"/>
      <c r="Q29" s="3"/>
      <c r="R29" s="3"/>
      <c r="S29" s="3"/>
      <c r="T29" s="3"/>
      <c r="U29" s="3"/>
      <c r="V29" s="3"/>
      <c r="W29" s="3"/>
      <c r="X29" s="3">
        <f>N29+250</f>
        <v>1724</v>
      </c>
      <c r="Y29" s="3">
        <f t="shared" ref="Y29:AE29" si="4">X29+250</f>
        <v>1974</v>
      </c>
      <c r="Z29" s="3">
        <f t="shared" si="4"/>
        <v>2224</v>
      </c>
      <c r="AA29" s="3">
        <f t="shared" si="4"/>
        <v>2474</v>
      </c>
      <c r="AB29" s="3">
        <f t="shared" si="4"/>
        <v>2724</v>
      </c>
      <c r="AC29" s="3">
        <f t="shared" si="4"/>
        <v>2974</v>
      </c>
      <c r="AD29" s="3">
        <f t="shared" si="4"/>
        <v>3224</v>
      </c>
      <c r="AE29" s="3">
        <f t="shared" si="4"/>
        <v>3474</v>
      </c>
      <c r="AF29" s="3"/>
    </row>
    <row r="30" spans="1:32" x14ac:dyDescent="0.2">
      <c r="A30" s="2" t="s">
        <v>62</v>
      </c>
      <c r="G30" s="2"/>
      <c r="H30" s="2"/>
      <c r="I30" s="6">
        <f t="shared" ref="I30:AE30" si="5">I23/I29</f>
        <v>97.508907014681895</v>
      </c>
      <c r="J30" s="6">
        <f t="shared" si="5"/>
        <v>96.388398486759144</v>
      </c>
      <c r="K30" s="6">
        <f t="shared" si="5"/>
        <v>99.455583333333337</v>
      </c>
      <c r="L30" s="6">
        <f t="shared" si="5"/>
        <v>102.38731034482758</v>
      </c>
      <c r="M30" s="6">
        <f t="shared" si="5"/>
        <v>107.61052154195012</v>
      </c>
      <c r="N30" s="6">
        <f t="shared" si="5"/>
        <v>105.77872455902306</v>
      </c>
      <c r="O30" s="6"/>
      <c r="P30" s="6"/>
      <c r="Q30" s="6"/>
      <c r="R30" s="6"/>
      <c r="S30" s="6"/>
      <c r="T30" s="6"/>
      <c r="U30" s="6"/>
      <c r="V30" s="6"/>
      <c r="W30" s="6"/>
      <c r="X30" s="6">
        <f t="shared" si="5"/>
        <v>105.14861484918794</v>
      </c>
      <c r="Y30" s="6">
        <f t="shared" si="5"/>
        <v>96.717892274569394</v>
      </c>
      <c r="Z30" s="6">
        <f t="shared" si="5"/>
        <v>94.823382316771571</v>
      </c>
      <c r="AA30" s="6">
        <f t="shared" si="5"/>
        <v>91.687569578248784</v>
      </c>
      <c r="AB30" s="6">
        <f t="shared" si="5"/>
        <v>92.753355557635828</v>
      </c>
      <c r="AC30" s="6">
        <f t="shared" si="5"/>
        <v>88.792327920001654</v>
      </c>
      <c r="AD30" s="6">
        <f t="shared" si="5"/>
        <v>88.970813191089093</v>
      </c>
      <c r="AE30" s="6">
        <f t="shared" si="5"/>
        <v>87.854784331316125</v>
      </c>
      <c r="AF30" s="6"/>
    </row>
    <row r="31" spans="1:32" x14ac:dyDescent="0.2">
      <c r="A31" s="2" t="s">
        <v>92</v>
      </c>
      <c r="G31" s="2"/>
      <c r="H31" s="2"/>
      <c r="I31" s="6"/>
      <c r="J31" s="6"/>
      <c r="K31" s="6"/>
      <c r="L31" s="6"/>
      <c r="M31" s="6">
        <f t="shared" ref="M31:AE31" si="6">M27/(M29-I29)</f>
        <v>78.447785915492958</v>
      </c>
      <c r="N31" s="6">
        <f t="shared" si="6"/>
        <v>77.42913362701907</v>
      </c>
      <c r="O31" s="6"/>
      <c r="P31" s="6"/>
      <c r="Q31" s="6"/>
      <c r="R31" s="6"/>
      <c r="S31" s="6"/>
      <c r="T31" s="6"/>
      <c r="U31" s="6"/>
      <c r="V31" s="6"/>
      <c r="W31" s="6"/>
      <c r="X31" s="6">
        <f>X27/(X29-K29)</f>
        <v>87.308089005235601</v>
      </c>
      <c r="Y31" s="6">
        <f>Y27/(Y29-L29)</f>
        <v>74.047802641277613</v>
      </c>
      <c r="Z31" s="6">
        <f>Z27/(Z29-M29)</f>
        <v>60.24596034683681</v>
      </c>
      <c r="AA31" s="6">
        <f>AA27/(AA29-N29)</f>
        <v>55.325423136587489</v>
      </c>
      <c r="AB31" s="6">
        <f t="shared" si="6"/>
        <v>62.320117938999992</v>
      </c>
      <c r="AC31" s="6">
        <f t="shared" si="6"/>
        <v>63.60120791658494</v>
      </c>
      <c r="AD31" s="6">
        <f t="shared" si="6"/>
        <v>65.410339341946241</v>
      </c>
      <c r="AE31" s="6">
        <f t="shared" si="6"/>
        <v>67.030721273575352</v>
      </c>
      <c r="AF31" s="6"/>
    </row>
    <row r="32" spans="1:32" x14ac:dyDescent="0.2">
      <c r="A32" s="2"/>
      <c r="G32" s="2"/>
      <c r="H32" s="2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 spans="1:32" x14ac:dyDescent="0.2">
      <c r="A33" s="2"/>
      <c r="G33" s="2"/>
      <c r="H33" s="2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1:32" x14ac:dyDescent="0.2">
      <c r="A34" s="2"/>
      <c r="G34" s="2"/>
      <c r="H34" s="2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spans="1:32" x14ac:dyDescent="0.2">
      <c r="A35" s="5" t="s">
        <v>67</v>
      </c>
      <c r="G35" s="2"/>
      <c r="H35" s="2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 spans="1:32" x14ac:dyDescent="0.2">
      <c r="A36" s="2" t="s">
        <v>73</v>
      </c>
      <c r="G36" s="2"/>
      <c r="H36" s="2"/>
      <c r="I36" s="6">
        <f>Model!I5-I23</f>
        <v>272299.03999999998</v>
      </c>
      <c r="J36" s="6">
        <f>Model!J5-J23</f>
        <v>305744</v>
      </c>
      <c r="K36" s="6">
        <f>Model!K5-K23</f>
        <v>338510.64</v>
      </c>
      <c r="L36" s="6">
        <f>Model!L5-L23</f>
        <v>376102.72</v>
      </c>
      <c r="M36" s="6">
        <f>Model!M5-M23</f>
        <v>405203.28</v>
      </c>
      <c r="N36" s="6">
        <f>Model!N5-N23</f>
        <v>443766.16000000003</v>
      </c>
      <c r="O36" s="6"/>
      <c r="P36" s="6"/>
      <c r="Q36" s="6"/>
      <c r="R36" s="6"/>
      <c r="S36" s="6"/>
      <c r="T36" s="6"/>
      <c r="U36" s="6"/>
      <c r="V36" s="6"/>
      <c r="W36" s="6"/>
      <c r="X36" s="6">
        <f>Model!O5-X23</f>
        <v>515939.98799999995</v>
      </c>
      <c r="Y36" s="6">
        <f>Model!P5-Y23</f>
        <v>543390.87815</v>
      </c>
      <c r="Z36" s="6">
        <f>Model!Q5-Z23</f>
        <v>600217.42185249995</v>
      </c>
      <c r="AA36" s="6">
        <f>Model!R5-AA23</f>
        <v>645607.44185028737</v>
      </c>
      <c r="AB36" s="6">
        <f>Model!S5-AB23</f>
        <v>719109.63076484599</v>
      </c>
      <c r="AC36" s="6">
        <f>Model!T5-AC23</f>
        <v>751579.24458931864</v>
      </c>
      <c r="AD36" s="6">
        <f>Model!U5-AD23</f>
        <v>816396.18184143328</v>
      </c>
      <c r="AE36" s="6">
        <f>Model!V5-AE23</f>
        <v>868667.55910605483</v>
      </c>
      <c r="AF36" s="6"/>
    </row>
    <row r="37" spans="1:32" x14ac:dyDescent="0.2">
      <c r="A37" s="2" t="s">
        <v>74</v>
      </c>
      <c r="G37" s="2"/>
      <c r="H37" s="2"/>
      <c r="I37" s="7">
        <f>I36/Model!I5</f>
        <v>0.82</v>
      </c>
      <c r="J37" s="7">
        <f>J36/Model!J5</f>
        <v>0.8</v>
      </c>
      <c r="K37" s="7">
        <f>K36/Model!K5</f>
        <v>0.78</v>
      </c>
      <c r="L37" s="7">
        <f>L36/Model!L5</f>
        <v>0.7599999999999999</v>
      </c>
      <c r="M37" s="7">
        <f>M36/Model!M5</f>
        <v>0.7400000000000001</v>
      </c>
      <c r="N37" s="7">
        <f>N36/Model!N5</f>
        <v>0.7400000000000001</v>
      </c>
      <c r="O37" s="7"/>
      <c r="P37" s="7"/>
      <c r="Q37" s="7"/>
      <c r="R37" s="7"/>
      <c r="S37" s="7"/>
      <c r="T37" s="7"/>
      <c r="U37" s="7"/>
      <c r="V37" s="7"/>
      <c r="W37" s="7"/>
      <c r="X37" s="7">
        <f>X36/Model!O5</f>
        <v>0.74</v>
      </c>
      <c r="Y37" s="7">
        <f>Y36/Model!P5</f>
        <v>0.7400000000000001</v>
      </c>
      <c r="Z37" s="7">
        <f>Z36/Model!Q5</f>
        <v>0.7400000000000001</v>
      </c>
      <c r="AA37" s="7">
        <f>AA36/Model!R5</f>
        <v>0.73999999999999988</v>
      </c>
      <c r="AB37" s="7">
        <f>AB36/Model!S5</f>
        <v>0.73999999999999988</v>
      </c>
      <c r="AC37" s="7">
        <f>AC36/Model!T5</f>
        <v>0.74</v>
      </c>
      <c r="AD37" s="7">
        <f>AD36/Model!U5</f>
        <v>0.73999999999999988</v>
      </c>
      <c r="AE37" s="7">
        <f>AE36/Model!V5</f>
        <v>0.74</v>
      </c>
      <c r="AF37" s="7"/>
    </row>
    <row r="38" spans="1:32" x14ac:dyDescent="0.2">
      <c r="A38" t="s">
        <v>75</v>
      </c>
    </row>
    <row r="39" spans="1:32" x14ac:dyDescent="0.2">
      <c r="A39" t="s">
        <v>76</v>
      </c>
    </row>
    <row r="40" spans="1:32" x14ac:dyDescent="0.2">
      <c r="A40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CCDFC-16BA-CA4A-B07E-A29333F08B7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Model</vt:lpstr>
      <vt:lpstr>Drivers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</dc:creator>
  <cp:lastModifiedBy>evan domingos - 2023</cp:lastModifiedBy>
  <dcterms:created xsi:type="dcterms:W3CDTF">2022-09-08T12:18:41Z</dcterms:created>
  <dcterms:modified xsi:type="dcterms:W3CDTF">2023-06-11T18:52:14Z</dcterms:modified>
</cp:coreProperties>
</file>