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E88A195E-EEEA-684F-A764-C8C9DB646D2A}" xr6:coauthVersionLast="47" xr6:coauthVersionMax="47" xr10:uidLastSave="{00000000-0000-0000-0000-000000000000}"/>
  <bookViews>
    <workbookView xWindow="1100" yWindow="820" windowWidth="28040" windowHeight="17440" activeTab="1" xr2:uid="{704F00E0-DE4F-E045-A0AE-86EE075BA335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1" i="1" l="1"/>
  <c r="AJ41" i="1"/>
  <c r="AK41" i="1"/>
  <c r="AK50" i="1" s="1"/>
  <c r="AL41" i="1"/>
  <c r="AM41" i="1"/>
  <c r="AN41" i="1"/>
  <c r="AO41" i="1"/>
  <c r="AO50" i="1" s="1"/>
  <c r="AP41" i="1"/>
  <c r="AP50" i="1" s="1"/>
  <c r="AQ41" i="1"/>
  <c r="AR41" i="1"/>
  <c r="AS41" i="1"/>
  <c r="AS50" i="1" s="1"/>
  <c r="AT41" i="1"/>
  <c r="AU41" i="1"/>
  <c r="AV41" i="1"/>
  <c r="AI50" i="1"/>
  <c r="AJ50" i="1"/>
  <c r="AL50" i="1"/>
  <c r="AM50" i="1"/>
  <c r="AN50" i="1"/>
  <c r="AQ50" i="1"/>
  <c r="AR50" i="1"/>
  <c r="AT50" i="1"/>
  <c r="AU50" i="1"/>
  <c r="AV50" i="1"/>
  <c r="AG50" i="1"/>
  <c r="AH50" i="1"/>
  <c r="AG41" i="1"/>
  <c r="AH41" i="1"/>
  <c r="AH32" i="1"/>
  <c r="AG32" i="1"/>
  <c r="AH33" i="1"/>
  <c r="AG33" i="1"/>
  <c r="AH31" i="1"/>
  <c r="AG31" i="1"/>
  <c r="AH29" i="1"/>
  <c r="AG29" i="1"/>
  <c r="T33" i="1"/>
  <c r="U33" i="1"/>
  <c r="V33" i="1"/>
  <c r="W33" i="1"/>
  <c r="X33" i="1"/>
  <c r="Y33" i="1"/>
  <c r="V31" i="1"/>
  <c r="W31" i="1"/>
  <c r="X31" i="1"/>
  <c r="Y31" i="1"/>
  <c r="U31" i="1"/>
  <c r="T29" i="1"/>
  <c r="AM10" i="1"/>
  <c r="AN10" i="1"/>
  <c r="AO10" i="1"/>
  <c r="AP10" i="1"/>
  <c r="AR10" i="1"/>
  <c r="AS10" i="1"/>
  <c r="AU10" i="1"/>
  <c r="AV10" i="1"/>
  <c r="AK9" i="1"/>
  <c r="AK10" i="1" s="1"/>
  <c r="AJ9" i="1"/>
  <c r="AJ10" i="1" s="1"/>
  <c r="AI9" i="1"/>
  <c r="AI10" i="1" s="1"/>
  <c r="V12" i="1"/>
  <c r="W12" i="1"/>
  <c r="X12" i="1"/>
  <c r="Y12" i="1"/>
  <c r="U12" i="1"/>
  <c r="Y8" i="1"/>
  <c r="Y10" i="1" s="1"/>
  <c r="Y13" i="1" s="1"/>
  <c r="Y29" i="1" s="1"/>
  <c r="U8" i="1"/>
  <c r="U10" i="1" s="1"/>
  <c r="V8" i="1"/>
  <c r="V10" i="1" s="1"/>
  <c r="AH8" i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D43" i="2"/>
  <c r="D45" i="2" s="1"/>
  <c r="D35" i="2"/>
  <c r="D37" i="2" s="1"/>
  <c r="AT10" i="1" l="1"/>
  <c r="AL10" i="1"/>
  <c r="AQ10" i="1"/>
  <c r="U13" i="1"/>
  <c r="U29" i="1" s="1"/>
  <c r="V13" i="1"/>
  <c r="V29" i="1" s="1"/>
  <c r="W8" i="1"/>
  <c r="W10" i="1" s="1"/>
  <c r="W13" i="1" s="1"/>
  <c r="W29" i="1" s="1"/>
  <c r="X8" i="1"/>
  <c r="X10" i="1" s="1"/>
  <c r="X13" i="1" s="1"/>
  <c r="X29" i="1" s="1"/>
  <c r="D15" i="2"/>
  <c r="AD29" i="1"/>
  <c r="AD33" i="1" s="1"/>
  <c r="AE29" i="1"/>
  <c r="AE33" i="1" s="1"/>
  <c r="AF29" i="1"/>
  <c r="AF33" i="1" s="1"/>
  <c r="AC29" i="1"/>
  <c r="AC33" i="1" s="1"/>
  <c r="K29" i="1"/>
  <c r="K33" i="1" s="1"/>
  <c r="L29" i="1"/>
  <c r="L33" i="1" s="1"/>
  <c r="M29" i="1"/>
  <c r="M33" i="1" s="1"/>
  <c r="N29" i="1"/>
  <c r="N33" i="1" s="1"/>
  <c r="O29" i="1"/>
  <c r="O33" i="1" s="1"/>
  <c r="P29" i="1"/>
  <c r="P33" i="1" s="1"/>
  <c r="Q29" i="1"/>
  <c r="Q33" i="1" s="1"/>
  <c r="R29" i="1"/>
  <c r="R33" i="1" s="1"/>
  <c r="S29" i="1"/>
  <c r="S33" i="1" s="1"/>
  <c r="J29" i="1"/>
  <c r="J33" i="1" s="1"/>
  <c r="K57" i="1"/>
  <c r="L57" i="1"/>
  <c r="N57" i="1"/>
  <c r="O57" i="1"/>
  <c r="P57" i="1"/>
  <c r="R57" i="1"/>
  <c r="S57" i="1"/>
  <c r="J57" i="1"/>
  <c r="M67" i="1"/>
  <c r="M63" i="1"/>
  <c r="M56" i="1"/>
  <c r="M54" i="1"/>
  <c r="M43" i="1"/>
  <c r="M44" i="1"/>
  <c r="M45" i="1"/>
  <c r="M46" i="1"/>
  <c r="M47" i="1"/>
  <c r="M48" i="1"/>
  <c r="M36" i="1"/>
  <c r="M37" i="1"/>
  <c r="M38" i="1"/>
  <c r="M39" i="1"/>
  <c r="M40" i="1"/>
  <c r="Q63" i="1"/>
  <c r="Q55" i="1"/>
  <c r="Q56" i="1"/>
  <c r="Q54" i="1"/>
  <c r="Q43" i="1"/>
  <c r="Q44" i="1"/>
  <c r="Q45" i="1"/>
  <c r="Q46" i="1"/>
  <c r="Q47" i="1"/>
  <c r="Q48" i="1"/>
  <c r="Q36" i="1"/>
  <c r="Q37" i="1"/>
  <c r="Q38" i="1"/>
  <c r="Q39" i="1"/>
  <c r="Q40" i="1"/>
  <c r="Q67" i="1"/>
  <c r="J49" i="1"/>
  <c r="J41" i="1"/>
  <c r="K49" i="1"/>
  <c r="K41" i="1"/>
  <c r="L49" i="1"/>
  <c r="L41" i="1"/>
  <c r="N49" i="1"/>
  <c r="N41" i="1"/>
  <c r="P49" i="1"/>
  <c r="R49" i="1"/>
  <c r="O49" i="1"/>
  <c r="S49" i="1"/>
  <c r="P41" i="1"/>
  <c r="R41" i="1"/>
  <c r="S41" i="1"/>
  <c r="O41" i="1"/>
  <c r="AD49" i="1"/>
  <c r="AE49" i="1"/>
  <c r="AF49" i="1"/>
  <c r="AC49" i="1"/>
  <c r="AD41" i="1"/>
  <c r="AE41" i="1"/>
  <c r="AF41" i="1"/>
  <c r="AC41" i="1"/>
  <c r="AD57" i="1"/>
  <c r="AE57" i="1"/>
  <c r="AF57" i="1"/>
  <c r="AC57" i="1"/>
  <c r="L50" i="1" l="1"/>
  <c r="L52" i="1" s="1"/>
  <c r="L59" i="1" s="1"/>
  <c r="L64" i="1" s="1"/>
  <c r="L65" i="1" s="1"/>
  <c r="AC50" i="1"/>
  <c r="AC52" i="1" s="1"/>
  <c r="AC59" i="1" s="1"/>
  <c r="AC64" i="1" s="1"/>
  <c r="AC65" i="1" s="1"/>
  <c r="N50" i="1"/>
  <c r="N52" i="1" s="1"/>
  <c r="N59" i="1" s="1"/>
  <c r="N64" i="1" s="1"/>
  <c r="N65" i="1" s="1"/>
  <c r="O50" i="1"/>
  <c r="O52" i="1" s="1"/>
  <c r="O59" i="1" s="1"/>
  <c r="O64" i="1" s="1"/>
  <c r="O65" i="1" s="1"/>
  <c r="AF50" i="1"/>
  <c r="AF52" i="1" s="1"/>
  <c r="AF59" i="1" s="1"/>
  <c r="AF64" i="1" s="1"/>
  <c r="AF65" i="1" s="1"/>
  <c r="AE50" i="1"/>
  <c r="AE52" i="1" s="1"/>
  <c r="AE59" i="1" s="1"/>
  <c r="AE64" i="1" s="1"/>
  <c r="AE65" i="1" s="1"/>
  <c r="R50" i="1"/>
  <c r="R52" i="1" s="1"/>
  <c r="R59" i="1" s="1"/>
  <c r="R64" i="1" s="1"/>
  <c r="R65" i="1" s="1"/>
  <c r="AD50" i="1"/>
  <c r="AD52" i="1" s="1"/>
  <c r="AD59" i="1" s="1"/>
  <c r="AD64" i="1" s="1"/>
  <c r="AD65" i="1" s="1"/>
  <c r="P50" i="1"/>
  <c r="P52" i="1" s="1"/>
  <c r="P59" i="1" s="1"/>
  <c r="P64" i="1" s="1"/>
  <c r="P65" i="1" s="1"/>
  <c r="S50" i="1"/>
  <c r="S52" i="1" s="1"/>
  <c r="S59" i="1" s="1"/>
  <c r="S64" i="1" s="1"/>
  <c r="S65" i="1" s="1"/>
  <c r="K50" i="1"/>
  <c r="K52" i="1" s="1"/>
  <c r="K59" i="1" s="1"/>
  <c r="K64" i="1" s="1"/>
  <c r="K65" i="1" s="1"/>
  <c r="J50" i="1"/>
  <c r="J52" i="1" s="1"/>
  <c r="J59" i="1" s="1"/>
  <c r="J64" i="1" s="1"/>
  <c r="J65" i="1" s="1"/>
  <c r="M57" i="1"/>
  <c r="Q57" i="1"/>
  <c r="M41" i="1"/>
  <c r="Q41" i="1"/>
  <c r="M49" i="1"/>
  <c r="Q49" i="1"/>
  <c r="Q50" i="1" l="1"/>
  <c r="Q52" i="1" s="1"/>
  <c r="Q59" i="1" s="1"/>
  <c r="Q64" i="1" s="1"/>
  <c r="Q65" i="1" s="1"/>
  <c r="M50" i="1"/>
  <c r="M52" i="1" s="1"/>
  <c r="M59" i="1" s="1"/>
  <c r="M64" i="1" s="1"/>
  <c r="M65" i="1" s="1"/>
</calcChain>
</file>

<file path=xl/sharedStrings.xml><?xml version="1.0" encoding="utf-8"?>
<sst xmlns="http://schemas.openxmlformats.org/spreadsheetml/2006/main" count="144" uniqueCount="125">
  <si>
    <t>Research &amp; Development</t>
  </si>
  <si>
    <t xml:space="preserve">General &amp; Administrative </t>
  </si>
  <si>
    <t>Interest Income, Net</t>
  </si>
  <si>
    <t>Other Income</t>
  </si>
  <si>
    <t xml:space="preserve">Net Other Income </t>
  </si>
  <si>
    <t xml:space="preserve"> </t>
  </si>
  <si>
    <t>Net Income</t>
  </si>
  <si>
    <t>Clinical &amp; Preclinical</t>
  </si>
  <si>
    <t xml:space="preserve">Drug Manufacturing &amp; Formulation </t>
  </si>
  <si>
    <t>Personnel Expenses</t>
  </si>
  <si>
    <t>Stock-based Compensation</t>
  </si>
  <si>
    <t>Regulatory &amp; Other</t>
  </si>
  <si>
    <t>Check</t>
  </si>
  <si>
    <t>Change in fair value of warrant liabilities</t>
  </si>
  <si>
    <t>Weighted-average common stock outstanding</t>
  </si>
  <si>
    <t>Legal &amp; Professional Fees</t>
  </si>
  <si>
    <t>Commercial Expenses</t>
  </si>
  <si>
    <t>Insurance Expenses</t>
  </si>
  <si>
    <t>Other Expenses</t>
  </si>
  <si>
    <t>2Q2019A</t>
  </si>
  <si>
    <t>1Q2019A</t>
  </si>
  <si>
    <t>3Q2019A</t>
  </si>
  <si>
    <t>4Q2019A</t>
  </si>
  <si>
    <t>1Q2020A</t>
  </si>
  <si>
    <t>2Q202A</t>
  </si>
  <si>
    <t>3Q2020A</t>
  </si>
  <si>
    <t>4Q2020A</t>
  </si>
  <si>
    <t>1Q2021A</t>
  </si>
  <si>
    <t>2Q2021A</t>
  </si>
  <si>
    <t>3Q2021A</t>
  </si>
  <si>
    <t>4Q2021A</t>
  </si>
  <si>
    <t>1Q2022A</t>
  </si>
  <si>
    <t>2Q2022A</t>
  </si>
  <si>
    <t>3Q2022A</t>
  </si>
  <si>
    <t>4Q2022A</t>
  </si>
  <si>
    <t>1Q2023A</t>
  </si>
  <si>
    <t>2Q2023A</t>
  </si>
  <si>
    <t>License Revenue</t>
  </si>
  <si>
    <t>Applied Therapeutics</t>
  </si>
  <si>
    <t>APLT</t>
  </si>
  <si>
    <t>HC Net Income</t>
  </si>
  <si>
    <t>EBT</t>
  </si>
  <si>
    <t>Total Operating Expenses</t>
  </si>
  <si>
    <t>Operating Expenses</t>
  </si>
  <si>
    <t>Total Revenues</t>
  </si>
  <si>
    <t>EBIT</t>
  </si>
  <si>
    <t>Gross Income</t>
  </si>
  <si>
    <t>Provision for income taxes</t>
  </si>
  <si>
    <t>AT-007</t>
  </si>
  <si>
    <t xml:space="preserve">Galactosemia </t>
  </si>
  <si>
    <t xml:space="preserve">Revenue Build </t>
  </si>
  <si>
    <t>SORD</t>
  </si>
  <si>
    <t>PMM2-CDG</t>
  </si>
  <si>
    <t>AT-001</t>
  </si>
  <si>
    <t>Diabetic Cardiomyopathy</t>
  </si>
  <si>
    <t>Diabetic Peripheral Nueropathy</t>
  </si>
  <si>
    <t>AT-003</t>
  </si>
  <si>
    <t>Diabetic Retinopathy</t>
  </si>
  <si>
    <t>Drivers</t>
  </si>
  <si>
    <t xml:space="preserve">Gross Margin (%) </t>
  </si>
  <si>
    <t>3Q2023E</t>
  </si>
  <si>
    <t>4Q2023E</t>
  </si>
  <si>
    <t>FY2023E</t>
  </si>
  <si>
    <t>FY2024E</t>
  </si>
  <si>
    <t>FY2025E</t>
  </si>
  <si>
    <t>FY2026E</t>
  </si>
  <si>
    <t>FY2027E</t>
  </si>
  <si>
    <t>FY2028E</t>
  </si>
  <si>
    <t>FY2019A</t>
  </si>
  <si>
    <t>FY2020A</t>
  </si>
  <si>
    <t>FY2021A</t>
  </si>
  <si>
    <t>FY2022A</t>
  </si>
  <si>
    <t>Assumptions</t>
  </si>
  <si>
    <t xml:space="preserve">Indication </t>
  </si>
  <si>
    <t xml:space="preserve">Success Probability </t>
  </si>
  <si>
    <t>Timeline</t>
  </si>
  <si>
    <t>Stage</t>
  </si>
  <si>
    <t>NDA</t>
  </si>
  <si>
    <t xml:space="preserve">Market Entry </t>
  </si>
  <si>
    <t>1Q2024E</t>
  </si>
  <si>
    <t>Revenue Build</t>
  </si>
  <si>
    <t xml:space="preserve">Annual Patients </t>
  </si>
  <si>
    <t xml:space="preserve">NDA </t>
  </si>
  <si>
    <t>Patent Duration (Years)</t>
  </si>
  <si>
    <t>Patent Expiry</t>
  </si>
  <si>
    <t>3Q2037E</t>
  </si>
  <si>
    <t xml:space="preserve">Monthly Cost </t>
  </si>
  <si>
    <t>Low</t>
  </si>
  <si>
    <t xml:space="preserve">High </t>
  </si>
  <si>
    <t xml:space="preserve">Total Addressable Market </t>
  </si>
  <si>
    <t>Growth</t>
  </si>
  <si>
    <t>Rollout</t>
  </si>
  <si>
    <t>Year 1</t>
  </si>
  <si>
    <t>Year 2</t>
  </si>
  <si>
    <t>Year 3</t>
  </si>
  <si>
    <t>Year 4</t>
  </si>
  <si>
    <t>Patent Period</t>
  </si>
  <si>
    <t>Customers</t>
  </si>
  <si>
    <t>Price</t>
  </si>
  <si>
    <t>Market Share Target ($)</t>
  </si>
  <si>
    <t>Market Share Target (%)</t>
  </si>
  <si>
    <t>Post Patent Period</t>
  </si>
  <si>
    <t>$/Month</t>
  </si>
  <si>
    <t>$/Month/Patient</t>
  </si>
  <si>
    <t>Patients</t>
  </si>
  <si>
    <t>% of Target</t>
  </si>
  <si>
    <t xml:space="preserve">Risk Adjustment </t>
  </si>
  <si>
    <t>Risk-Adjusted Net Sales</t>
  </si>
  <si>
    <t>Net Sales</t>
  </si>
  <si>
    <t>FY2029E</t>
  </si>
  <si>
    <t>FY2030E</t>
  </si>
  <si>
    <t>FY2031E</t>
  </si>
  <si>
    <t>FY2032E</t>
  </si>
  <si>
    <t>FY2033E</t>
  </si>
  <si>
    <t>FY2034E</t>
  </si>
  <si>
    <t>FY2035E</t>
  </si>
  <si>
    <t>FY2036E</t>
  </si>
  <si>
    <t>FY2037E</t>
  </si>
  <si>
    <t>FY2038E</t>
  </si>
  <si>
    <t xml:space="preserve">Sales Target </t>
  </si>
  <si>
    <t>2Q2024E</t>
  </si>
  <si>
    <t>3Q2024E</t>
  </si>
  <si>
    <t>4Q2024E</t>
  </si>
  <si>
    <t xml:space="preserve">Cost of Goods Sold  </t>
  </si>
  <si>
    <t xml:space="preserve">Gross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</si>
</sst>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A2B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0" fillId="0" borderId="0" xfId="0" applyFont="1"/>
    <xf numFmtId="0" fontId="2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2" borderId="0" xfId="0" applyFill="1"/>
    <xf numFmtId="0" fontId="2" fillId="2" borderId="0" xfId="0" applyFont="1" applyFill="1"/>
    <xf numFmtId="0" fontId="4" fillId="0" borderId="0" xfId="0" applyFont="1"/>
    <xf numFmtId="0" fontId="5" fillId="2" borderId="0" xfId="0" applyFont="1" applyFill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A2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8847-F4E3-2A4A-A975-92A199F8925A}">
  <dimension ref="B5:D46"/>
  <sheetViews>
    <sheetView zoomScale="179" workbookViewId="0">
      <selection activeCell="C6" sqref="C6"/>
    </sheetView>
  </sheetViews>
  <sheetFormatPr baseColWidth="10" defaultRowHeight="16" x14ac:dyDescent="0.2"/>
  <cols>
    <col min="2" max="2" width="21.33203125" customWidth="1"/>
    <col min="3" max="3" width="13" bestFit="1" customWidth="1"/>
    <col min="4" max="4" width="11.6640625" customWidth="1"/>
  </cols>
  <sheetData>
    <row r="5" spans="2:4" ht="31" x14ac:dyDescent="0.35">
      <c r="B5" s="9" t="s">
        <v>72</v>
      </c>
    </row>
    <row r="7" spans="2:4" ht="21" x14ac:dyDescent="0.25">
      <c r="B7" s="10" t="s">
        <v>48</v>
      </c>
      <c r="C7" s="7"/>
      <c r="D7" s="7"/>
    </row>
    <row r="8" spans="2:4" x14ac:dyDescent="0.2">
      <c r="B8" t="s">
        <v>73</v>
      </c>
      <c r="D8" t="s">
        <v>49</v>
      </c>
    </row>
    <row r="9" spans="2:4" x14ac:dyDescent="0.2">
      <c r="B9" t="s">
        <v>74</v>
      </c>
      <c r="D9" s="4">
        <v>0.9</v>
      </c>
    </row>
    <row r="10" spans="2:4" x14ac:dyDescent="0.2">
      <c r="B10" t="s">
        <v>76</v>
      </c>
      <c r="D10" s="4" t="s">
        <v>77</v>
      </c>
    </row>
    <row r="12" spans="2:4" x14ac:dyDescent="0.2">
      <c r="B12" s="8" t="s">
        <v>75</v>
      </c>
      <c r="C12" s="7"/>
      <c r="D12" s="7"/>
    </row>
    <row r="13" spans="2:4" x14ac:dyDescent="0.2">
      <c r="B13" s="2" t="s">
        <v>82</v>
      </c>
      <c r="D13" t="s">
        <v>61</v>
      </c>
    </row>
    <row r="14" spans="2:4" x14ac:dyDescent="0.2">
      <c r="B14" t="s">
        <v>78</v>
      </c>
      <c r="D14" t="s">
        <v>79</v>
      </c>
    </row>
    <row r="15" spans="2:4" x14ac:dyDescent="0.2">
      <c r="B15" t="s">
        <v>83</v>
      </c>
      <c r="D15">
        <f>2037-2023</f>
        <v>14</v>
      </c>
    </row>
    <row r="16" spans="2:4" x14ac:dyDescent="0.2">
      <c r="B16" t="s">
        <v>84</v>
      </c>
      <c r="D16" t="s">
        <v>85</v>
      </c>
    </row>
    <row r="18" spans="2:4" x14ac:dyDescent="0.2">
      <c r="B18" s="8" t="s">
        <v>80</v>
      </c>
      <c r="C18" s="7"/>
      <c r="D18" s="7"/>
    </row>
    <row r="19" spans="2:4" x14ac:dyDescent="0.2">
      <c r="B19" t="s">
        <v>81</v>
      </c>
      <c r="D19">
        <v>3000</v>
      </c>
    </row>
    <row r="20" spans="2:4" x14ac:dyDescent="0.2">
      <c r="B20" t="s">
        <v>86</v>
      </c>
    </row>
    <row r="21" spans="2:4" x14ac:dyDescent="0.2">
      <c r="B21" t="s">
        <v>87</v>
      </c>
      <c r="D21" s="5">
        <v>2000</v>
      </c>
    </row>
    <row r="22" spans="2:4" x14ac:dyDescent="0.2">
      <c r="B22" t="s">
        <v>88</v>
      </c>
      <c r="D22" s="5">
        <v>5000</v>
      </c>
    </row>
    <row r="23" spans="2:4" x14ac:dyDescent="0.2">
      <c r="D23" s="5"/>
    </row>
    <row r="24" spans="2:4" x14ac:dyDescent="0.2">
      <c r="B24" t="s">
        <v>90</v>
      </c>
      <c r="D24" s="4">
        <v>0.01</v>
      </c>
    </row>
    <row r="26" spans="2:4" x14ac:dyDescent="0.2">
      <c r="B26" s="7" t="s">
        <v>91</v>
      </c>
      <c r="C26" s="8"/>
      <c r="D26" s="8" t="s">
        <v>105</v>
      </c>
    </row>
    <row r="27" spans="2:4" x14ac:dyDescent="0.2">
      <c r="B27" t="s">
        <v>92</v>
      </c>
      <c r="D27" s="4">
        <v>0.3</v>
      </c>
    </row>
    <row r="28" spans="2:4" x14ac:dyDescent="0.2">
      <c r="B28" t="s">
        <v>93</v>
      </c>
      <c r="D28" s="4">
        <v>0.6</v>
      </c>
    </row>
    <row r="29" spans="2:4" x14ac:dyDescent="0.2">
      <c r="B29" t="s">
        <v>94</v>
      </c>
      <c r="D29" s="4">
        <v>0.9</v>
      </c>
    </row>
    <row r="30" spans="2:4" x14ac:dyDescent="0.2">
      <c r="B30" t="s">
        <v>95</v>
      </c>
      <c r="D30" s="4">
        <v>1</v>
      </c>
    </row>
    <row r="32" spans="2:4" x14ac:dyDescent="0.2">
      <c r="B32" s="7" t="s">
        <v>96</v>
      </c>
      <c r="C32" s="7"/>
      <c r="D32" s="7"/>
    </row>
    <row r="33" spans="2:4" x14ac:dyDescent="0.2">
      <c r="B33" t="s">
        <v>97</v>
      </c>
      <c r="C33" t="s">
        <v>104</v>
      </c>
      <c r="D33">
        <v>3000</v>
      </c>
    </row>
    <row r="34" spans="2:4" x14ac:dyDescent="0.2">
      <c r="B34" t="s">
        <v>98</v>
      </c>
      <c r="C34" t="s">
        <v>103</v>
      </c>
      <c r="D34" s="5">
        <v>5000</v>
      </c>
    </row>
    <row r="35" spans="2:4" x14ac:dyDescent="0.2">
      <c r="B35" t="s">
        <v>89</v>
      </c>
      <c r="C35" t="s">
        <v>102</v>
      </c>
      <c r="D35" s="5">
        <f>D34*D33</f>
        <v>15000000</v>
      </c>
    </row>
    <row r="36" spans="2:4" x14ac:dyDescent="0.2">
      <c r="B36" t="s">
        <v>100</v>
      </c>
      <c r="C36" s="4"/>
      <c r="D36" s="4">
        <v>0.5</v>
      </c>
    </row>
    <row r="37" spans="2:4" x14ac:dyDescent="0.2">
      <c r="B37" t="s">
        <v>99</v>
      </c>
      <c r="C37" t="s">
        <v>102</v>
      </c>
      <c r="D37" s="5">
        <f>D36*D35</f>
        <v>7500000</v>
      </c>
    </row>
    <row r="38" spans="2:4" x14ac:dyDescent="0.2">
      <c r="B38" t="s">
        <v>90</v>
      </c>
      <c r="D38" s="4">
        <v>0.03</v>
      </c>
    </row>
    <row r="40" spans="2:4" x14ac:dyDescent="0.2">
      <c r="B40" s="7" t="s">
        <v>101</v>
      </c>
      <c r="C40" s="7"/>
      <c r="D40" s="7"/>
    </row>
    <row r="41" spans="2:4" x14ac:dyDescent="0.2">
      <c r="B41" t="s">
        <v>97</v>
      </c>
      <c r="C41" t="s">
        <v>104</v>
      </c>
      <c r="D41">
        <v>3000</v>
      </c>
    </row>
    <row r="42" spans="2:4" x14ac:dyDescent="0.2">
      <c r="B42" t="s">
        <v>98</v>
      </c>
      <c r="C42" t="s">
        <v>103</v>
      </c>
      <c r="D42" s="5">
        <v>5000</v>
      </c>
    </row>
    <row r="43" spans="2:4" x14ac:dyDescent="0.2">
      <c r="B43" t="s">
        <v>89</v>
      </c>
      <c r="C43" t="s">
        <v>102</v>
      </c>
      <c r="D43" s="5">
        <f>D42*D41</f>
        <v>15000000</v>
      </c>
    </row>
    <row r="44" spans="2:4" x14ac:dyDescent="0.2">
      <c r="B44" t="s">
        <v>100</v>
      </c>
      <c r="C44" s="4"/>
      <c r="D44" s="4">
        <v>0.25</v>
      </c>
    </row>
    <row r="45" spans="2:4" x14ac:dyDescent="0.2">
      <c r="B45" t="s">
        <v>99</v>
      </c>
      <c r="C45" t="s">
        <v>102</v>
      </c>
      <c r="D45" s="5">
        <f>D44*D43</f>
        <v>3750000</v>
      </c>
    </row>
    <row r="46" spans="2:4" x14ac:dyDescent="0.2">
      <c r="B46" t="s">
        <v>90</v>
      </c>
      <c r="D46" s="6"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EA5CE-9ADD-764B-99D3-298DB73B0F47}">
  <dimension ref="A1:AV71"/>
  <sheetViews>
    <sheetView tabSelected="1" zoomScale="144" workbookViewId="0">
      <pane xSplit="9" ySplit="3" topLeftCell="AE26" activePane="bottomRight" state="frozen"/>
      <selection pane="topRight" activeCell="J1" sqref="J1"/>
      <selection pane="bottomLeft" activeCell="A3" sqref="A3"/>
      <selection pane="bottomRight" activeCell="AG38" sqref="AG38"/>
    </sheetView>
  </sheetViews>
  <sheetFormatPr baseColWidth="10" defaultRowHeight="16" outlineLevelCol="1" x14ac:dyDescent="0.2"/>
  <cols>
    <col min="1" max="1" width="28.83203125" customWidth="1"/>
    <col min="2" max="9" width="0" hidden="1" customWidth="1" outlineLevel="1"/>
    <col min="10" max="10" width="10.83203125" collapsed="1"/>
    <col min="21" max="21" width="12" bestFit="1" customWidth="1"/>
    <col min="34" max="35" width="12" bestFit="1" customWidth="1"/>
  </cols>
  <sheetData>
    <row r="1" spans="1:48" x14ac:dyDescent="0.2">
      <c r="A1" t="s">
        <v>38</v>
      </c>
    </row>
    <row r="2" spans="1:48" x14ac:dyDescent="0.2">
      <c r="A2" t="s">
        <v>39</v>
      </c>
    </row>
    <row r="3" spans="1:48" x14ac:dyDescent="0.2">
      <c r="B3" t="s">
        <v>20</v>
      </c>
      <c r="C3" t="s">
        <v>19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30</v>
      </c>
      <c r="N3" t="s">
        <v>31</v>
      </c>
      <c r="O3" t="s">
        <v>32</v>
      </c>
      <c r="P3" t="s">
        <v>33</v>
      </c>
      <c r="Q3" t="s">
        <v>34</v>
      </c>
      <c r="R3" t="s">
        <v>35</v>
      </c>
      <c r="S3" t="s">
        <v>36</v>
      </c>
      <c r="T3" t="s">
        <v>60</v>
      </c>
      <c r="U3" t="s">
        <v>61</v>
      </c>
      <c r="V3" t="s">
        <v>79</v>
      </c>
      <c r="W3" t="s">
        <v>120</v>
      </c>
      <c r="X3" t="s">
        <v>121</v>
      </c>
      <c r="Y3" t="s">
        <v>122</v>
      </c>
      <c r="AC3" t="s">
        <v>68</v>
      </c>
      <c r="AD3" t="s">
        <v>69</v>
      </c>
      <c r="AE3" t="s">
        <v>70</v>
      </c>
      <c r="AF3" t="s">
        <v>71</v>
      </c>
      <c r="AG3" t="s">
        <v>62</v>
      </c>
      <c r="AH3" t="s">
        <v>63</v>
      </c>
      <c r="AI3" t="s">
        <v>64</v>
      </c>
      <c r="AJ3" t="s">
        <v>65</v>
      </c>
      <c r="AK3" t="s">
        <v>66</v>
      </c>
      <c r="AL3" t="s">
        <v>67</v>
      </c>
      <c r="AM3" t="s">
        <v>109</v>
      </c>
      <c r="AN3" t="s">
        <v>110</v>
      </c>
      <c r="AO3" t="s">
        <v>111</v>
      </c>
      <c r="AP3" t="s">
        <v>112</v>
      </c>
      <c r="AQ3" t="s">
        <v>113</v>
      </c>
      <c r="AR3" t="s">
        <v>114</v>
      </c>
      <c r="AS3" t="s">
        <v>115</v>
      </c>
      <c r="AT3" t="s">
        <v>116</v>
      </c>
      <c r="AU3" t="s">
        <v>117</v>
      </c>
      <c r="AV3" t="s">
        <v>118</v>
      </c>
    </row>
    <row r="4" spans="1:48" x14ac:dyDescent="0.2">
      <c r="A4" t="s">
        <v>50</v>
      </c>
    </row>
    <row r="6" spans="1:48" x14ac:dyDescent="0.2">
      <c r="A6" s="3" t="s">
        <v>48</v>
      </c>
    </row>
    <row r="7" spans="1:48" x14ac:dyDescent="0.2">
      <c r="A7" t="s">
        <v>49</v>
      </c>
    </row>
    <row r="8" spans="1:48" x14ac:dyDescent="0.2">
      <c r="A8" t="s">
        <v>119</v>
      </c>
      <c r="U8" s="5">
        <f>Main!D37*3/1000</f>
        <v>22500</v>
      </c>
      <c r="V8" s="5">
        <f>AH8/4</f>
        <v>22500</v>
      </c>
      <c r="W8" s="5">
        <f>AH8/4</f>
        <v>22500</v>
      </c>
      <c r="X8" s="5">
        <f>AH8/4</f>
        <v>22500</v>
      </c>
      <c r="Y8" s="5">
        <f>AH8/4</f>
        <v>22500</v>
      </c>
      <c r="AH8" s="5">
        <f>Main!D37*12/1000</f>
        <v>90000</v>
      </c>
      <c r="AI8" s="5">
        <f>AH8*(1+Main!$D$38)</f>
        <v>92700</v>
      </c>
      <c r="AJ8" s="5">
        <f>AI8*(1+Main!$D$38)</f>
        <v>95481</v>
      </c>
      <c r="AK8" s="5">
        <f>AJ8*(1+Main!$D$38)</f>
        <v>98345.430000000008</v>
      </c>
      <c r="AL8" s="5">
        <f>AK8*(1+Main!$D$38)</f>
        <v>101295.79290000001</v>
      </c>
      <c r="AM8" s="5">
        <f>AL8*(1+Main!$D$38)</f>
        <v>104334.66668700002</v>
      </c>
      <c r="AN8" s="5">
        <f>AM8*(1+Main!$D$38)</f>
        <v>107464.70668761003</v>
      </c>
      <c r="AO8" s="5">
        <f>AN8*(1+Main!$D$38)</f>
        <v>110688.64788823834</v>
      </c>
      <c r="AP8" s="5">
        <f>AO8*(1+Main!$D$38)</f>
        <v>114009.30732488549</v>
      </c>
      <c r="AQ8" s="5">
        <f>AP8*(1+Main!$D$38)</f>
        <v>117429.58654463205</v>
      </c>
      <c r="AR8" s="5">
        <f>AQ8*(1+Main!$D$38)</f>
        <v>120952.47414097101</v>
      </c>
      <c r="AS8" s="5">
        <f>AR8*(1+Main!$D$38)</f>
        <v>124581.04836520014</v>
      </c>
      <c r="AT8" s="5">
        <f>AS8*(1+Main!$D$38)</f>
        <v>128318.47981615615</v>
      </c>
      <c r="AU8" s="5">
        <f>AT8*(1+Main!$D$38)</f>
        <v>132168.03421064085</v>
      </c>
      <c r="AV8" s="5">
        <f>AU8*(1+Main!$D$38)</f>
        <v>136133.07523696008</v>
      </c>
    </row>
    <row r="9" spans="1:48" x14ac:dyDescent="0.2">
      <c r="A9" t="s">
        <v>105</v>
      </c>
      <c r="U9" s="11">
        <v>0.05</v>
      </c>
      <c r="V9" s="4">
        <v>0.15</v>
      </c>
      <c r="W9" s="4">
        <v>0.25</v>
      </c>
      <c r="X9" s="4">
        <v>0.35</v>
      </c>
      <c r="Y9" s="4">
        <v>0.4</v>
      </c>
      <c r="AI9" s="4">
        <f>Main!D28</f>
        <v>0.6</v>
      </c>
      <c r="AJ9" s="4">
        <f>Main!D29</f>
        <v>0.9</v>
      </c>
      <c r="AK9" s="4">
        <f>Main!D30</f>
        <v>1</v>
      </c>
      <c r="AL9" s="4">
        <v>1</v>
      </c>
      <c r="AM9" s="4">
        <v>1</v>
      </c>
      <c r="AN9" s="4">
        <v>1</v>
      </c>
      <c r="AO9" s="4">
        <v>1</v>
      </c>
      <c r="AP9" s="4">
        <v>1</v>
      </c>
      <c r="AQ9" s="4">
        <v>1</v>
      </c>
      <c r="AR9" s="4">
        <v>1</v>
      </c>
      <c r="AS9" s="4">
        <v>1</v>
      </c>
      <c r="AT9" s="4">
        <v>1</v>
      </c>
      <c r="AU9" s="4">
        <v>1</v>
      </c>
      <c r="AV9" s="4">
        <v>1</v>
      </c>
    </row>
    <row r="10" spans="1:48" x14ac:dyDescent="0.2">
      <c r="A10" t="s">
        <v>108</v>
      </c>
      <c r="U10" s="5">
        <f>U9*U8</f>
        <v>1125</v>
      </c>
      <c r="V10" s="5">
        <f t="shared" ref="V10:Y10" si="0">V9*V8</f>
        <v>3375</v>
      </c>
      <c r="W10" s="5">
        <f t="shared" si="0"/>
        <v>5625</v>
      </c>
      <c r="X10" s="5">
        <f t="shared" si="0"/>
        <v>7874.9999999999991</v>
      </c>
      <c r="Y10" s="5">
        <f t="shared" si="0"/>
        <v>9000</v>
      </c>
      <c r="AI10" s="5">
        <f>AI9*AI8</f>
        <v>55620</v>
      </c>
      <c r="AJ10" s="5">
        <f t="shared" ref="AJ10:AV10" si="1">AJ9*AJ8</f>
        <v>85932.900000000009</v>
      </c>
      <c r="AK10" s="5">
        <f t="shared" si="1"/>
        <v>98345.430000000008</v>
      </c>
      <c r="AL10" s="5">
        <f t="shared" si="1"/>
        <v>101295.79290000001</v>
      </c>
      <c r="AM10" s="5">
        <f t="shared" si="1"/>
        <v>104334.66668700002</v>
      </c>
      <c r="AN10" s="5">
        <f t="shared" si="1"/>
        <v>107464.70668761003</v>
      </c>
      <c r="AO10" s="5">
        <f t="shared" si="1"/>
        <v>110688.64788823834</v>
      </c>
      <c r="AP10" s="5">
        <f t="shared" si="1"/>
        <v>114009.30732488549</v>
      </c>
      <c r="AQ10" s="5">
        <f t="shared" si="1"/>
        <v>117429.58654463205</v>
      </c>
      <c r="AR10" s="5">
        <f t="shared" si="1"/>
        <v>120952.47414097101</v>
      </c>
      <c r="AS10" s="5">
        <f t="shared" si="1"/>
        <v>124581.04836520014</v>
      </c>
      <c r="AT10" s="5">
        <f t="shared" si="1"/>
        <v>128318.47981615615</v>
      </c>
      <c r="AU10" s="5">
        <f t="shared" si="1"/>
        <v>132168.03421064085</v>
      </c>
      <c r="AV10" s="5">
        <f t="shared" si="1"/>
        <v>136133.07523696008</v>
      </c>
    </row>
    <row r="12" spans="1:48" x14ac:dyDescent="0.2">
      <c r="A12" t="s">
        <v>106</v>
      </c>
      <c r="U12" s="4">
        <f>Main!$D$9</f>
        <v>0.9</v>
      </c>
      <c r="V12" s="4">
        <f>Main!$D$9</f>
        <v>0.9</v>
      </c>
      <c r="W12" s="4">
        <f>Main!$D$9</f>
        <v>0.9</v>
      </c>
      <c r="X12" s="4">
        <f>Main!$D$9</f>
        <v>0.9</v>
      </c>
      <c r="Y12" s="4">
        <f>Main!$D$9</f>
        <v>0.9</v>
      </c>
    </row>
    <row r="13" spans="1:48" x14ac:dyDescent="0.2">
      <c r="A13" t="s">
        <v>107</v>
      </c>
      <c r="U13" s="5">
        <f>U12*U10</f>
        <v>1012.5</v>
      </c>
      <c r="V13" s="5">
        <f t="shared" ref="V13:Y13" si="2">V12*V10</f>
        <v>3037.5</v>
      </c>
      <c r="W13" s="5">
        <f t="shared" si="2"/>
        <v>5062.5</v>
      </c>
      <c r="X13" s="5">
        <f t="shared" si="2"/>
        <v>7087.4999999999991</v>
      </c>
      <c r="Y13" s="5">
        <f t="shared" si="2"/>
        <v>8100</v>
      </c>
    </row>
    <row r="14" spans="1:48" x14ac:dyDescent="0.2">
      <c r="U14" s="5"/>
      <c r="V14" s="5"/>
      <c r="W14" s="5"/>
      <c r="X14" s="5"/>
      <c r="Y14" s="5"/>
    </row>
    <row r="15" spans="1:48" x14ac:dyDescent="0.2">
      <c r="A15" t="s">
        <v>51</v>
      </c>
    </row>
    <row r="17" spans="1:34" x14ac:dyDescent="0.2">
      <c r="A17" t="s">
        <v>52</v>
      </c>
    </row>
    <row r="20" spans="1:34" x14ac:dyDescent="0.2">
      <c r="A20" s="3" t="s">
        <v>53</v>
      </c>
    </row>
    <row r="21" spans="1:34" x14ac:dyDescent="0.2">
      <c r="A21" t="s">
        <v>54</v>
      </c>
    </row>
    <row r="22" spans="1:34" x14ac:dyDescent="0.2">
      <c r="A22" t="s">
        <v>55</v>
      </c>
    </row>
    <row r="24" spans="1:34" x14ac:dyDescent="0.2">
      <c r="A24" s="3" t="s">
        <v>56</v>
      </c>
    </row>
    <row r="25" spans="1:34" x14ac:dyDescent="0.2">
      <c r="A25" t="s">
        <v>57</v>
      </c>
    </row>
    <row r="28" spans="1:34" x14ac:dyDescent="0.2">
      <c r="A28" t="s">
        <v>37</v>
      </c>
      <c r="R28" s="1">
        <v>10660</v>
      </c>
    </row>
    <row r="29" spans="1:34" x14ac:dyDescent="0.2">
      <c r="A29" s="3" t="s">
        <v>44</v>
      </c>
      <c r="J29">
        <f>J28</f>
        <v>0</v>
      </c>
      <c r="K29">
        <f t="shared" ref="K29:T29" si="3">K28</f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10660</v>
      </c>
      <c r="S29">
        <f t="shared" si="3"/>
        <v>0</v>
      </c>
      <c r="T29">
        <f t="shared" si="3"/>
        <v>0</v>
      </c>
      <c r="U29" s="12">
        <f>U28+U13</f>
        <v>1012.5</v>
      </c>
      <c r="V29" s="12">
        <f t="shared" ref="V29:Y29" si="4">V28+V13</f>
        <v>3037.5</v>
      </c>
      <c r="W29" s="12">
        <f t="shared" si="4"/>
        <v>5062.5</v>
      </c>
      <c r="X29" s="12">
        <f t="shared" si="4"/>
        <v>7087.4999999999991</v>
      </c>
      <c r="Y29" s="12">
        <f t="shared" si="4"/>
        <v>8100</v>
      </c>
      <c r="AC29">
        <f t="shared" ref="AC29" si="5">AC28</f>
        <v>0</v>
      </c>
      <c r="AD29">
        <f t="shared" ref="AD29" si="6">AD28</f>
        <v>0</v>
      </c>
      <c r="AE29">
        <f t="shared" ref="AE29" si="7">AE28</f>
        <v>0</v>
      </c>
      <c r="AF29">
        <f t="shared" ref="AF29" si="8">AF28</f>
        <v>0</v>
      </c>
      <c r="AG29" s="12">
        <f>SUM(R29:U29)</f>
        <v>11672.5</v>
      </c>
      <c r="AH29" s="12">
        <f>SUM(V29:Y29)</f>
        <v>23287.5</v>
      </c>
    </row>
    <row r="30" spans="1:34" x14ac:dyDescent="0.2">
      <c r="A30" s="2"/>
      <c r="R30" s="1"/>
    </row>
    <row r="31" spans="1:34" x14ac:dyDescent="0.2">
      <c r="A31" s="2" t="s">
        <v>123</v>
      </c>
      <c r="R31" s="1"/>
      <c r="U31" s="12">
        <f>U29*(1-U32)</f>
        <v>101.24999999999997</v>
      </c>
      <c r="V31" s="12">
        <f t="shared" ref="V31:Y31" si="9">V29*(1-V32)</f>
        <v>303.74999999999994</v>
      </c>
      <c r="W31" s="12">
        <f t="shared" si="9"/>
        <v>506.24999999999989</v>
      </c>
      <c r="X31" s="12">
        <f t="shared" si="9"/>
        <v>708.74999999999977</v>
      </c>
      <c r="Y31" s="12">
        <f t="shared" si="9"/>
        <v>809.99999999999977</v>
      </c>
      <c r="AG31" s="12">
        <f>SUM(R31:U31)</f>
        <v>101.24999999999997</v>
      </c>
      <c r="AH31" s="12">
        <f>SUM(V31:Y31)</f>
        <v>2328.7499999999991</v>
      </c>
    </row>
    <row r="32" spans="1:34" x14ac:dyDescent="0.2">
      <c r="A32" s="2" t="s">
        <v>124</v>
      </c>
      <c r="R32" s="1"/>
      <c r="U32" s="4">
        <v>0.9</v>
      </c>
      <c r="V32" s="4">
        <v>0.9</v>
      </c>
      <c r="W32" s="4">
        <v>0.9</v>
      </c>
      <c r="X32" s="4">
        <v>0.9</v>
      </c>
      <c r="Y32" s="4">
        <v>0.9</v>
      </c>
      <c r="AG32" s="11">
        <f>AG33/AG29</f>
        <v>0.99132576568858433</v>
      </c>
      <c r="AH32" s="11">
        <f>AH33/AH29</f>
        <v>0.9</v>
      </c>
    </row>
    <row r="33" spans="1:48" x14ac:dyDescent="0.2">
      <c r="A33" s="3" t="s">
        <v>46</v>
      </c>
      <c r="J33">
        <f>J29-J31</f>
        <v>0</v>
      </c>
      <c r="K33">
        <f>K29-K31</f>
        <v>0</v>
      </c>
      <c r="L33">
        <f>L29-L31</f>
        <v>0</v>
      </c>
      <c r="M33">
        <f>M29-M31</f>
        <v>0</v>
      </c>
      <c r="N33">
        <f>N29-N31</f>
        <v>0</v>
      </c>
      <c r="O33">
        <f>O29-O31</f>
        <v>0</v>
      </c>
      <c r="P33">
        <f>P29-P31</f>
        <v>0</v>
      </c>
      <c r="Q33">
        <f>Q29-Q31</f>
        <v>0</v>
      </c>
      <c r="R33">
        <f>R29-R31</f>
        <v>10660</v>
      </c>
      <c r="S33">
        <f>S29-S31</f>
        <v>0</v>
      </c>
      <c r="T33">
        <f t="shared" ref="T33:Y33" si="10">T29-T31</f>
        <v>0</v>
      </c>
      <c r="U33" s="12">
        <f t="shared" si="10"/>
        <v>911.25</v>
      </c>
      <c r="V33" s="12">
        <f t="shared" si="10"/>
        <v>2733.75</v>
      </c>
      <c r="W33" s="12">
        <f t="shared" si="10"/>
        <v>4556.25</v>
      </c>
      <c r="X33" s="12">
        <f t="shared" si="10"/>
        <v>6378.7499999999991</v>
      </c>
      <c r="Y33" s="12">
        <f t="shared" si="10"/>
        <v>7290</v>
      </c>
      <c r="AC33">
        <f>AC29-AC31</f>
        <v>0</v>
      </c>
      <c r="AD33">
        <f t="shared" ref="AD33:AF33" si="11">AD29-AD31</f>
        <v>0</v>
      </c>
      <c r="AE33">
        <f t="shared" si="11"/>
        <v>0</v>
      </c>
      <c r="AF33">
        <f t="shared" si="11"/>
        <v>0</v>
      </c>
      <c r="AG33" s="12">
        <f>AG29-AG31</f>
        <v>11571.25</v>
      </c>
      <c r="AH33" s="12">
        <f>AH29-AH31</f>
        <v>20958.75</v>
      </c>
    </row>
    <row r="34" spans="1:48" x14ac:dyDescent="0.2">
      <c r="R34" s="1"/>
    </row>
    <row r="35" spans="1:48" x14ac:dyDescent="0.2">
      <c r="A35" s="3" t="s">
        <v>43</v>
      </c>
    </row>
    <row r="36" spans="1:48" x14ac:dyDescent="0.2">
      <c r="A36" t="s">
        <v>7</v>
      </c>
      <c r="J36" s="1">
        <v>6454</v>
      </c>
      <c r="K36" s="1">
        <v>10172</v>
      </c>
      <c r="L36" s="1">
        <v>11778</v>
      </c>
      <c r="M36">
        <f t="shared" ref="M36:M40" si="12">AE36-L36-K36-J36</f>
        <v>11919</v>
      </c>
      <c r="N36" s="1">
        <v>11528</v>
      </c>
      <c r="O36" s="1">
        <v>12402</v>
      </c>
      <c r="P36" s="1">
        <v>10035</v>
      </c>
      <c r="Q36">
        <f t="shared" ref="Q36:Q40" si="13">AF36-P36-O36-N36</f>
        <v>8963</v>
      </c>
      <c r="R36" s="1">
        <v>11816</v>
      </c>
      <c r="S36" s="1">
        <v>8744</v>
      </c>
      <c r="U36" s="1"/>
      <c r="V36" s="1"/>
      <c r="W36" s="1"/>
      <c r="X36" s="1"/>
      <c r="Y36" s="1"/>
      <c r="Z36" s="1"/>
      <c r="AC36" s="1">
        <v>17436</v>
      </c>
      <c r="AD36" s="1">
        <v>28736</v>
      </c>
      <c r="AE36" s="1">
        <v>40323</v>
      </c>
      <c r="AF36" s="1">
        <v>42928</v>
      </c>
    </row>
    <row r="37" spans="1:48" x14ac:dyDescent="0.2">
      <c r="A37" t="s">
        <v>8</v>
      </c>
      <c r="J37" s="1">
        <v>5820</v>
      </c>
      <c r="K37" s="1">
        <v>2316</v>
      </c>
      <c r="L37" s="1">
        <v>3172</v>
      </c>
      <c r="M37">
        <f t="shared" si="12"/>
        <v>602</v>
      </c>
      <c r="N37" s="1">
        <v>231</v>
      </c>
      <c r="O37" s="1">
        <v>136</v>
      </c>
      <c r="P37" s="1">
        <v>236</v>
      </c>
      <c r="Q37">
        <f t="shared" si="13"/>
        <v>354</v>
      </c>
      <c r="R37" s="1">
        <v>1271</v>
      </c>
      <c r="S37" s="1">
        <v>540</v>
      </c>
      <c r="U37" s="1"/>
      <c r="V37" s="1"/>
      <c r="W37" s="1"/>
      <c r="X37" s="1"/>
      <c r="Y37" s="1"/>
      <c r="Z37" s="1"/>
      <c r="AC37" s="1">
        <v>9069</v>
      </c>
      <c r="AD37" s="1">
        <v>24424</v>
      </c>
      <c r="AE37" s="1">
        <v>11910</v>
      </c>
      <c r="AF37" s="1">
        <v>957</v>
      </c>
    </row>
    <row r="38" spans="1:48" x14ac:dyDescent="0.2">
      <c r="A38" t="s">
        <v>9</v>
      </c>
      <c r="J38" s="1">
        <v>1092</v>
      </c>
      <c r="K38" s="1">
        <v>1270</v>
      </c>
      <c r="L38" s="1">
        <v>1368</v>
      </c>
      <c r="M38">
        <f t="shared" si="12"/>
        <v>1799</v>
      </c>
      <c r="N38" s="1">
        <v>1937</v>
      </c>
      <c r="O38" s="1">
        <v>1578</v>
      </c>
      <c r="P38" s="1">
        <v>1416</v>
      </c>
      <c r="Q38">
        <f t="shared" si="13"/>
        <v>1717</v>
      </c>
      <c r="R38" s="1">
        <v>1700</v>
      </c>
      <c r="S38" s="1">
        <v>1408</v>
      </c>
      <c r="U38" s="1"/>
      <c r="V38" s="1"/>
      <c r="W38" s="1"/>
      <c r="X38" s="1"/>
      <c r="Y38" s="1"/>
      <c r="Z38" s="1"/>
      <c r="AC38" s="1">
        <v>2728</v>
      </c>
      <c r="AD38" s="1">
        <v>3351</v>
      </c>
      <c r="AE38" s="1">
        <v>5529</v>
      </c>
      <c r="AF38" s="1">
        <v>6648</v>
      </c>
    </row>
    <row r="39" spans="1:48" x14ac:dyDescent="0.2">
      <c r="A39" t="s">
        <v>10</v>
      </c>
      <c r="J39" s="1">
        <v>799</v>
      </c>
      <c r="K39" s="1">
        <v>533</v>
      </c>
      <c r="L39" s="1">
        <v>642</v>
      </c>
      <c r="M39">
        <f t="shared" si="12"/>
        <v>785</v>
      </c>
      <c r="N39" s="1">
        <v>856</v>
      </c>
      <c r="O39" s="1">
        <v>788</v>
      </c>
      <c r="P39" s="1">
        <v>1178</v>
      </c>
      <c r="Q39">
        <f t="shared" si="13"/>
        <v>797</v>
      </c>
      <c r="R39" s="1">
        <v>862</v>
      </c>
      <c r="S39" s="1">
        <v>752</v>
      </c>
      <c r="U39" s="1"/>
      <c r="V39" s="1"/>
      <c r="W39" s="1"/>
      <c r="X39" s="1"/>
      <c r="Y39" s="1"/>
      <c r="Z39" s="1"/>
      <c r="AC39" s="1">
        <v>2762</v>
      </c>
      <c r="AD39" s="1">
        <v>2580</v>
      </c>
      <c r="AE39" s="1">
        <v>2759</v>
      </c>
      <c r="AF39" s="1">
        <v>3619</v>
      </c>
    </row>
    <row r="40" spans="1:48" x14ac:dyDescent="0.2">
      <c r="A40" t="s">
        <v>11</v>
      </c>
      <c r="J40" s="1">
        <v>283</v>
      </c>
      <c r="K40" s="1">
        <v>511</v>
      </c>
      <c r="L40" s="1">
        <v>637</v>
      </c>
      <c r="M40">
        <f t="shared" si="12"/>
        <v>618</v>
      </c>
      <c r="N40" s="1">
        <v>478</v>
      </c>
      <c r="O40" s="1">
        <v>492</v>
      </c>
      <c r="P40" s="1">
        <v>251</v>
      </c>
      <c r="Q40">
        <f t="shared" si="13"/>
        <v>261</v>
      </c>
      <c r="R40" s="1">
        <v>286</v>
      </c>
      <c r="S40" s="1">
        <v>439</v>
      </c>
      <c r="U40" s="1"/>
      <c r="V40" s="1"/>
      <c r="W40" s="1"/>
      <c r="X40" s="1"/>
      <c r="Y40" s="1"/>
      <c r="Z40" s="1"/>
      <c r="AC40" s="1">
        <v>355</v>
      </c>
      <c r="AD40" s="1">
        <v>2697</v>
      </c>
      <c r="AE40" s="1">
        <v>2049</v>
      </c>
      <c r="AF40" s="1">
        <v>1482</v>
      </c>
    </row>
    <row r="41" spans="1:48" x14ac:dyDescent="0.2">
      <c r="A41" t="s">
        <v>0</v>
      </c>
      <c r="J41">
        <f>J40+J39+J38+J37+J36</f>
        <v>14448</v>
      </c>
      <c r="K41">
        <f>K40+K39+K38+K37+K36</f>
        <v>14802</v>
      </c>
      <c r="L41">
        <f>L40+L39+L38+L37+L36</f>
        <v>17597</v>
      </c>
      <c r="M41">
        <f>M40+M39+M38+M37+M36</f>
        <v>15723</v>
      </c>
      <c r="N41">
        <f>N40+N39+N38+N37+N36</f>
        <v>15030</v>
      </c>
      <c r="O41">
        <f>O40+O39+O38+O37+O36</f>
        <v>15396</v>
      </c>
      <c r="P41">
        <f t="shared" ref="P41:S41" si="14">P40+P39+P38+P37+P36</f>
        <v>13116</v>
      </c>
      <c r="Q41">
        <f t="shared" si="14"/>
        <v>12092</v>
      </c>
      <c r="R41">
        <f t="shared" si="14"/>
        <v>15935</v>
      </c>
      <c r="S41">
        <f t="shared" si="14"/>
        <v>11883</v>
      </c>
      <c r="AC41">
        <f>AC40+AC39+AC38+AC37+AC36</f>
        <v>32350</v>
      </c>
      <c r="AD41">
        <f t="shared" ref="AD41:AF41" si="15">AD40+AD39+AD38+AD37+AD36</f>
        <v>61788</v>
      </c>
      <c r="AE41">
        <f t="shared" si="15"/>
        <v>62570</v>
      </c>
      <c r="AF41">
        <f t="shared" si="15"/>
        <v>55634</v>
      </c>
      <c r="AG41">
        <f t="shared" ref="AG41" si="16">AG40+AG39+AG38+AG37+AG36</f>
        <v>0</v>
      </c>
      <c r="AH41">
        <f t="shared" ref="AH41" si="17">AH40+AH39+AH38+AH37+AH36</f>
        <v>0</v>
      </c>
      <c r="AI41">
        <f t="shared" ref="AI41" si="18">AI40+AI39+AI38+AI37+AI36</f>
        <v>0</v>
      </c>
      <c r="AJ41">
        <f t="shared" ref="AJ41" si="19">AJ40+AJ39+AJ38+AJ37+AJ36</f>
        <v>0</v>
      </c>
      <c r="AK41">
        <f t="shared" ref="AK41" si="20">AK40+AK39+AK38+AK37+AK36</f>
        <v>0</v>
      </c>
      <c r="AL41">
        <f t="shared" ref="AL41" si="21">AL40+AL39+AL38+AL37+AL36</f>
        <v>0</v>
      </c>
      <c r="AM41">
        <f t="shared" ref="AM41" si="22">AM40+AM39+AM38+AM37+AM36</f>
        <v>0</v>
      </c>
      <c r="AN41">
        <f t="shared" ref="AN41" si="23">AN40+AN39+AN38+AN37+AN36</f>
        <v>0</v>
      </c>
      <c r="AO41">
        <f t="shared" ref="AO41" si="24">AO40+AO39+AO38+AO37+AO36</f>
        <v>0</v>
      </c>
      <c r="AP41">
        <f t="shared" ref="AP41" si="25">AP40+AP39+AP38+AP37+AP36</f>
        <v>0</v>
      </c>
      <c r="AQ41">
        <f t="shared" ref="AQ41" si="26">AQ40+AQ39+AQ38+AQ37+AQ36</f>
        <v>0</v>
      </c>
      <c r="AR41">
        <f t="shared" ref="AR41" si="27">AR40+AR39+AR38+AR37+AR36</f>
        <v>0</v>
      </c>
      <c r="AS41">
        <f t="shared" ref="AS41" si="28">AS40+AS39+AS38+AS37+AS36</f>
        <v>0</v>
      </c>
      <c r="AT41">
        <f t="shared" ref="AT41" si="29">AT40+AT39+AT38+AT37+AT36</f>
        <v>0</v>
      </c>
      <c r="AU41">
        <f t="shared" ref="AU41" si="30">AU40+AU39+AU38+AU37+AU36</f>
        <v>0</v>
      </c>
      <c r="AV41">
        <f t="shared" ref="AV41" si="31">AV40+AV39+AV38+AV37+AV36</f>
        <v>0</v>
      </c>
    </row>
    <row r="43" spans="1:48" x14ac:dyDescent="0.2">
      <c r="A43" t="s">
        <v>15</v>
      </c>
      <c r="J43" s="1">
        <v>1771</v>
      </c>
      <c r="K43" s="1">
        <v>1826</v>
      </c>
      <c r="L43" s="1">
        <v>1511</v>
      </c>
      <c r="M43">
        <f>AE43-L43-K43-J43</f>
        <v>1232</v>
      </c>
      <c r="N43" s="1">
        <v>1619</v>
      </c>
      <c r="O43" s="1">
        <v>1359</v>
      </c>
      <c r="P43" s="1">
        <v>1341</v>
      </c>
      <c r="Q43">
        <f>AF43-P43-O43-N43</f>
        <v>2535</v>
      </c>
      <c r="R43" s="1">
        <v>1487</v>
      </c>
      <c r="S43" s="1">
        <v>1605</v>
      </c>
      <c r="U43" s="1"/>
      <c r="V43" s="1"/>
      <c r="W43" s="1"/>
      <c r="X43" s="1"/>
      <c r="Y43" s="1"/>
      <c r="Z43" s="1"/>
      <c r="AC43" s="1">
        <v>4397</v>
      </c>
      <c r="AD43" s="1">
        <v>8451</v>
      </c>
      <c r="AE43" s="1">
        <v>6340</v>
      </c>
      <c r="AF43" s="1">
        <v>6854</v>
      </c>
    </row>
    <row r="44" spans="1:48" x14ac:dyDescent="0.2">
      <c r="A44" t="s">
        <v>16</v>
      </c>
      <c r="J44" s="1">
        <v>1932</v>
      </c>
      <c r="K44" s="1">
        <v>2695</v>
      </c>
      <c r="L44" s="1">
        <v>3111</v>
      </c>
      <c r="M44">
        <f>AE44-L44-K44-J44</f>
        <v>3603</v>
      </c>
      <c r="N44" s="1">
        <v>1288</v>
      </c>
      <c r="O44" s="1">
        <v>241</v>
      </c>
      <c r="P44" s="1">
        <v>315</v>
      </c>
      <c r="Q44">
        <f>AF44-P44-O44-N44</f>
        <v>349</v>
      </c>
      <c r="R44" s="1">
        <v>143</v>
      </c>
      <c r="S44" s="1">
        <v>228</v>
      </c>
      <c r="U44" s="1"/>
      <c r="V44" s="1"/>
      <c r="W44" s="1"/>
      <c r="X44" s="1"/>
      <c r="Y44" s="1"/>
      <c r="Z44" s="1"/>
      <c r="AC44" s="1"/>
      <c r="AD44" s="1">
        <v>5746</v>
      </c>
      <c r="AE44" s="1">
        <v>11341</v>
      </c>
      <c r="AF44" s="1">
        <v>2193</v>
      </c>
    </row>
    <row r="45" spans="1:48" x14ac:dyDescent="0.2">
      <c r="A45" t="s">
        <v>9</v>
      </c>
      <c r="J45" s="1">
        <v>1544</v>
      </c>
      <c r="K45" s="1">
        <v>1725</v>
      </c>
      <c r="L45" s="1">
        <v>1653</v>
      </c>
      <c r="M45">
        <f>AE45-L45-K45-J45</f>
        <v>1695</v>
      </c>
      <c r="N45" s="1">
        <v>1768</v>
      </c>
      <c r="O45" s="1">
        <v>1294</v>
      </c>
      <c r="P45" s="1">
        <v>1157</v>
      </c>
      <c r="Q45">
        <f>AF45-P45-O45-N45</f>
        <v>1318</v>
      </c>
      <c r="R45" s="1">
        <v>1227</v>
      </c>
      <c r="S45" s="1">
        <v>889</v>
      </c>
      <c r="U45" s="1"/>
      <c r="V45" s="1"/>
      <c r="W45" s="1"/>
      <c r="X45" s="1"/>
      <c r="Y45" s="1"/>
      <c r="Z45" s="1"/>
      <c r="AC45" s="1">
        <v>1462</v>
      </c>
      <c r="AD45" s="1">
        <v>5651</v>
      </c>
      <c r="AE45" s="1">
        <v>6617</v>
      </c>
      <c r="AF45" s="1">
        <v>5537</v>
      </c>
    </row>
    <row r="46" spans="1:48" x14ac:dyDescent="0.2">
      <c r="A46" t="s">
        <v>10</v>
      </c>
      <c r="J46" s="1">
        <v>2182</v>
      </c>
      <c r="K46" s="1">
        <v>2169</v>
      </c>
      <c r="L46" s="1">
        <v>2003</v>
      </c>
      <c r="M46">
        <f>AE46-L46-K46-J46</f>
        <v>2064</v>
      </c>
      <c r="N46" s="1">
        <v>1221</v>
      </c>
      <c r="O46" s="1">
        <v>1443</v>
      </c>
      <c r="P46" s="1">
        <v>1678</v>
      </c>
      <c r="Q46">
        <f>AF46-P46-O46-N46</f>
        <v>1201</v>
      </c>
      <c r="R46" s="1">
        <v>1192</v>
      </c>
      <c r="S46" s="1">
        <v>1091</v>
      </c>
      <c r="U46" s="1"/>
      <c r="V46" s="1"/>
      <c r="W46" s="1"/>
      <c r="X46" s="1"/>
      <c r="Y46" s="1"/>
      <c r="Z46" s="1"/>
      <c r="AC46" s="1">
        <v>3409</v>
      </c>
      <c r="AD46" s="1">
        <v>5446</v>
      </c>
      <c r="AE46" s="1">
        <v>8418</v>
      </c>
      <c r="AF46" s="1">
        <v>5543</v>
      </c>
    </row>
    <row r="47" spans="1:48" x14ac:dyDescent="0.2">
      <c r="A47" t="s">
        <v>17</v>
      </c>
      <c r="J47" s="1">
        <v>1010</v>
      </c>
      <c r="K47" s="1">
        <v>1084</v>
      </c>
      <c r="L47" s="1">
        <v>1152</v>
      </c>
      <c r="M47">
        <f>AE47-L47-K47-J47</f>
        <v>1153</v>
      </c>
      <c r="N47" s="1">
        <v>1125</v>
      </c>
      <c r="O47" s="1">
        <v>945</v>
      </c>
      <c r="P47" s="1">
        <v>810</v>
      </c>
      <c r="Q47">
        <f>AF47-P47-O47-N47</f>
        <v>802</v>
      </c>
      <c r="R47" s="1">
        <v>798</v>
      </c>
      <c r="S47" s="1">
        <v>607</v>
      </c>
      <c r="U47" s="1"/>
      <c r="V47" s="1"/>
      <c r="W47" s="1"/>
      <c r="X47" s="1"/>
      <c r="Y47" s="1"/>
      <c r="Z47" s="1"/>
      <c r="AC47" s="1">
        <v>1993</v>
      </c>
      <c r="AD47" s="1">
        <v>3764</v>
      </c>
      <c r="AE47" s="1">
        <v>4399</v>
      </c>
      <c r="AF47" s="1">
        <v>3682</v>
      </c>
    </row>
    <row r="48" spans="1:48" x14ac:dyDescent="0.2">
      <c r="A48" t="s">
        <v>18</v>
      </c>
      <c r="J48" s="1">
        <v>1312</v>
      </c>
      <c r="K48" s="1">
        <v>1574</v>
      </c>
      <c r="L48" s="1">
        <v>1403</v>
      </c>
      <c r="M48">
        <f>AE48-L48-K48-J48</f>
        <v>1644</v>
      </c>
      <c r="N48" s="1">
        <v>1050</v>
      </c>
      <c r="O48" s="1">
        <v>843</v>
      </c>
      <c r="P48" s="1">
        <v>939</v>
      </c>
      <c r="Q48">
        <f>AF48-P48-O48-N48</f>
        <v>675</v>
      </c>
      <c r="R48" s="1">
        <v>736</v>
      </c>
      <c r="S48" s="1">
        <v>873</v>
      </c>
      <c r="U48" s="1"/>
      <c r="V48" s="1"/>
      <c r="W48" s="1"/>
      <c r="X48" s="1"/>
      <c r="Y48" s="1"/>
      <c r="Z48" s="1"/>
      <c r="AC48" s="1">
        <v>1971</v>
      </c>
      <c r="AD48" s="1">
        <v>3620</v>
      </c>
      <c r="AE48" s="1">
        <v>5933</v>
      </c>
      <c r="AF48" s="1">
        <v>3507</v>
      </c>
    </row>
    <row r="49" spans="1:48" x14ac:dyDescent="0.2">
      <c r="A49" t="s">
        <v>1</v>
      </c>
      <c r="J49">
        <f>J48+J47+J46+J45+J44+J43</f>
        <v>9751</v>
      </c>
      <c r="K49">
        <f>K48+K47+K46+K45+K44+K43</f>
        <v>11073</v>
      </c>
      <c r="L49">
        <f>L48+L47+L46+L45+L44+L43</f>
        <v>10833</v>
      </c>
      <c r="M49">
        <f>M48+M47+M46+M45+M44+M43</f>
        <v>11391</v>
      </c>
      <c r="N49">
        <f>N48+N47+N46+N45+N44+N43</f>
        <v>8071</v>
      </c>
      <c r="O49">
        <f>O48+O47+O46+O45+O44+O43</f>
        <v>6125</v>
      </c>
      <c r="P49">
        <f t="shared" ref="P49:R49" si="32">P48+P47+P46+P45+P44+P43</f>
        <v>6240</v>
      </c>
      <c r="Q49">
        <f t="shared" si="32"/>
        <v>6880</v>
      </c>
      <c r="R49">
        <f t="shared" si="32"/>
        <v>5583</v>
      </c>
      <c r="S49">
        <f>S48+S47+S46+S45+S44+S43</f>
        <v>5293</v>
      </c>
      <c r="AC49">
        <f>AC48+AC47+AC46+AC45+AC44+AC43</f>
        <v>13232</v>
      </c>
      <c r="AD49">
        <f t="shared" ref="AD49:AF49" si="33">AD48+AD47+AD46+AD45+AD44+AD43</f>
        <v>32678</v>
      </c>
      <c r="AE49">
        <f t="shared" si="33"/>
        <v>43048</v>
      </c>
      <c r="AF49">
        <f t="shared" si="33"/>
        <v>27316</v>
      </c>
    </row>
    <row r="50" spans="1:48" s="3" customFormat="1" x14ac:dyDescent="0.2">
      <c r="A50" s="3" t="s">
        <v>42</v>
      </c>
      <c r="J50" s="3">
        <f>J41+J49</f>
        <v>24199</v>
      </c>
      <c r="K50" s="3">
        <f t="shared" ref="K50:S50" si="34">K41+K49</f>
        <v>25875</v>
      </c>
      <c r="L50" s="3">
        <f t="shared" si="34"/>
        <v>28430</v>
      </c>
      <c r="M50" s="3">
        <f t="shared" si="34"/>
        <v>27114</v>
      </c>
      <c r="N50" s="3">
        <f t="shared" si="34"/>
        <v>23101</v>
      </c>
      <c r="O50" s="3">
        <f t="shared" si="34"/>
        <v>21521</v>
      </c>
      <c r="P50" s="3">
        <f t="shared" si="34"/>
        <v>19356</v>
      </c>
      <c r="Q50" s="3">
        <f t="shared" si="34"/>
        <v>18972</v>
      </c>
      <c r="R50" s="3">
        <f t="shared" si="34"/>
        <v>21518</v>
      </c>
      <c r="S50" s="3">
        <f t="shared" si="34"/>
        <v>17176</v>
      </c>
      <c r="AC50" s="3">
        <f t="shared" ref="AC50" si="35">AC41+AC49</f>
        <v>45582</v>
      </c>
      <c r="AD50" s="3">
        <f t="shared" ref="AD50" si="36">AD41+AD49</f>
        <v>94466</v>
      </c>
      <c r="AE50" s="3">
        <f t="shared" ref="AE50" si="37">AE41+AE49</f>
        <v>105618</v>
      </c>
      <c r="AF50" s="3">
        <f t="shared" ref="AF50" si="38">AF41+AF49</f>
        <v>82950</v>
      </c>
      <c r="AG50" s="3">
        <f t="shared" ref="AG50" si="39">AG41+AG49</f>
        <v>0</v>
      </c>
      <c r="AH50" s="3">
        <f t="shared" ref="AH50" si="40">AH41+AH49</f>
        <v>0</v>
      </c>
      <c r="AI50" s="3">
        <f t="shared" ref="AI50" si="41">AI41+AI49</f>
        <v>0</v>
      </c>
      <c r="AJ50" s="3">
        <f t="shared" ref="AJ50" si="42">AJ41+AJ49</f>
        <v>0</v>
      </c>
      <c r="AK50" s="3">
        <f t="shared" ref="AK50" si="43">AK41+AK49</f>
        <v>0</v>
      </c>
      <c r="AL50" s="3">
        <f t="shared" ref="AL50" si="44">AL41+AL49</f>
        <v>0</v>
      </c>
      <c r="AM50" s="3">
        <f t="shared" ref="AM50" si="45">AM41+AM49</f>
        <v>0</v>
      </c>
      <c r="AN50" s="3">
        <f t="shared" ref="AN50" si="46">AN41+AN49</f>
        <v>0</v>
      </c>
      <c r="AO50" s="3">
        <f t="shared" ref="AO50" si="47">AO41+AO49</f>
        <v>0</v>
      </c>
      <c r="AP50" s="3">
        <f t="shared" ref="AP50" si="48">AP41+AP49</f>
        <v>0</v>
      </c>
      <c r="AQ50" s="3">
        <f t="shared" ref="AQ50" si="49">AQ41+AQ49</f>
        <v>0</v>
      </c>
      <c r="AR50" s="3">
        <f t="shared" ref="AR50" si="50">AR41+AR49</f>
        <v>0</v>
      </c>
      <c r="AS50" s="3">
        <f t="shared" ref="AS50" si="51">AS41+AS49</f>
        <v>0</v>
      </c>
      <c r="AT50" s="3">
        <f t="shared" ref="AT50" si="52">AT41+AT49</f>
        <v>0</v>
      </c>
      <c r="AU50" s="3">
        <f t="shared" ref="AU50" si="53">AU41+AU49</f>
        <v>0</v>
      </c>
      <c r="AV50" s="3">
        <f t="shared" ref="AV50" si="54">AV41+AV49</f>
        <v>0</v>
      </c>
    </row>
    <row r="51" spans="1:48" s="3" customFormat="1" x14ac:dyDescent="0.2"/>
    <row r="52" spans="1:48" x14ac:dyDescent="0.2">
      <c r="A52" s="3" t="s">
        <v>45</v>
      </c>
      <c r="J52">
        <f>J33-J50</f>
        <v>-24199</v>
      </c>
      <c r="K52">
        <f>K33-K50</f>
        <v>-25875</v>
      </c>
      <c r="L52">
        <f>L33-L50</f>
        <v>-28430</v>
      </c>
      <c r="M52">
        <f>M33-M50</f>
        <v>-27114</v>
      </c>
      <c r="N52">
        <f>N33-N50</f>
        <v>-23101</v>
      </c>
      <c r="O52">
        <f>O33-O50</f>
        <v>-21521</v>
      </c>
      <c r="P52">
        <f>P33-P50</f>
        <v>-19356</v>
      </c>
      <c r="Q52">
        <f>Q33-Q50</f>
        <v>-18972</v>
      </c>
      <c r="R52">
        <f>R33-R50</f>
        <v>-10858</v>
      </c>
      <c r="S52">
        <f>S33-S50</f>
        <v>-17176</v>
      </c>
      <c r="AC52">
        <f t="shared" ref="AC52:AF52" si="55">AC33-AC50</f>
        <v>-45582</v>
      </c>
      <c r="AD52">
        <f t="shared" si="55"/>
        <v>-94466</v>
      </c>
      <c r="AE52">
        <f t="shared" si="55"/>
        <v>-105618</v>
      </c>
      <c r="AF52">
        <f t="shared" si="55"/>
        <v>-82950</v>
      </c>
    </row>
    <row r="54" spans="1:48" x14ac:dyDescent="0.2">
      <c r="A54" t="s">
        <v>2</v>
      </c>
      <c r="J54" s="1">
        <v>76</v>
      </c>
      <c r="K54" s="1">
        <v>169</v>
      </c>
      <c r="L54" s="1">
        <v>76</v>
      </c>
      <c r="M54">
        <f t="shared" ref="M54:M56" si="56">AE54-L54-K54-J54</f>
        <v>234</v>
      </c>
      <c r="N54" s="1">
        <v>76</v>
      </c>
      <c r="O54" s="1">
        <v>111</v>
      </c>
      <c r="P54" s="1">
        <v>227</v>
      </c>
      <c r="Q54">
        <f t="shared" ref="Q54:Q56" si="57">AF54-P54-O54-N54</f>
        <v>271</v>
      </c>
      <c r="R54" s="1">
        <v>221</v>
      </c>
      <c r="S54" s="1">
        <v>408</v>
      </c>
      <c r="U54" s="1"/>
      <c r="V54" s="1"/>
      <c r="W54" s="1"/>
      <c r="X54" s="1"/>
      <c r="Y54" s="1"/>
      <c r="Z54" s="1"/>
      <c r="AC54" s="1">
        <v>93</v>
      </c>
      <c r="AD54" s="1">
        <v>559</v>
      </c>
      <c r="AE54" s="1">
        <v>555</v>
      </c>
      <c r="AF54" s="1">
        <v>685</v>
      </c>
    </row>
    <row r="55" spans="1:48" x14ac:dyDescent="0.2">
      <c r="A55" t="s">
        <v>13</v>
      </c>
      <c r="O55" s="1">
        <v>-4357</v>
      </c>
      <c r="P55" s="1">
        <v>36</v>
      </c>
      <c r="Q55">
        <f t="shared" si="57"/>
        <v>4255</v>
      </c>
      <c r="R55" s="1">
        <v>469</v>
      </c>
      <c r="S55" s="1">
        <v>-12804</v>
      </c>
      <c r="U55" s="1"/>
      <c r="V55" s="1"/>
      <c r="W55" s="1"/>
      <c r="X55" s="1"/>
      <c r="Y55" s="1"/>
      <c r="Z55" s="1"/>
      <c r="AF55" s="1">
        <v>-66</v>
      </c>
    </row>
    <row r="56" spans="1:48" x14ac:dyDescent="0.2">
      <c r="A56" t="s">
        <v>3</v>
      </c>
      <c r="J56" s="1">
        <v>-56</v>
      </c>
      <c r="K56" s="1">
        <v>-122</v>
      </c>
      <c r="L56" s="1">
        <v>-64</v>
      </c>
      <c r="M56">
        <f t="shared" si="56"/>
        <v>-279</v>
      </c>
      <c r="N56" s="1">
        <v>-96</v>
      </c>
      <c r="O56" s="1">
        <v>-90</v>
      </c>
      <c r="P56" s="1">
        <v>-8</v>
      </c>
      <c r="Q56">
        <f t="shared" si="57"/>
        <v>17</v>
      </c>
      <c r="R56" s="1">
        <v>31</v>
      </c>
      <c r="S56" s="1">
        <v>-5</v>
      </c>
      <c r="U56" s="1"/>
      <c r="V56" s="1"/>
      <c r="W56" s="1"/>
      <c r="X56" s="1"/>
      <c r="Y56" s="1"/>
      <c r="Z56" s="1"/>
      <c r="AC56" s="1">
        <v>-24</v>
      </c>
      <c r="AD56" s="1">
        <v>-54</v>
      </c>
      <c r="AE56" s="1">
        <v>-521</v>
      </c>
      <c r="AF56" s="1">
        <v>-177</v>
      </c>
    </row>
    <row r="57" spans="1:48" x14ac:dyDescent="0.2">
      <c r="A57" t="s">
        <v>4</v>
      </c>
      <c r="J57">
        <f>J54+J55+J56</f>
        <v>20</v>
      </c>
      <c r="K57">
        <f t="shared" ref="K57:S57" si="58">K54+K55+K56</f>
        <v>47</v>
      </c>
      <c r="L57">
        <f t="shared" si="58"/>
        <v>12</v>
      </c>
      <c r="M57">
        <f t="shared" si="58"/>
        <v>-45</v>
      </c>
      <c r="N57">
        <f t="shared" si="58"/>
        <v>-20</v>
      </c>
      <c r="O57">
        <f t="shared" si="58"/>
        <v>-4336</v>
      </c>
      <c r="P57">
        <f t="shared" si="58"/>
        <v>255</v>
      </c>
      <c r="Q57">
        <f t="shared" si="58"/>
        <v>4543</v>
      </c>
      <c r="R57">
        <f t="shared" si="58"/>
        <v>721</v>
      </c>
      <c r="S57">
        <f t="shared" si="58"/>
        <v>-12401</v>
      </c>
      <c r="AC57" s="2">
        <f>AC56+AC55+AC54</f>
        <v>69</v>
      </c>
      <c r="AD57" s="2">
        <f t="shared" ref="AD57:AF57" si="59">AD56+AD55+AD54</f>
        <v>505</v>
      </c>
      <c r="AE57" s="2">
        <f t="shared" si="59"/>
        <v>34</v>
      </c>
      <c r="AF57" s="2">
        <f t="shared" si="59"/>
        <v>442</v>
      </c>
    </row>
    <row r="58" spans="1:48" x14ac:dyDescent="0.2">
      <c r="AC58" s="2"/>
      <c r="AD58" s="2"/>
      <c r="AE58" s="2"/>
      <c r="AF58" s="2"/>
    </row>
    <row r="59" spans="1:48" x14ac:dyDescent="0.2">
      <c r="A59" s="3" t="s">
        <v>41</v>
      </c>
      <c r="J59">
        <f>J52+J57</f>
        <v>-24179</v>
      </c>
      <c r="K59">
        <f t="shared" ref="K59:S59" si="60">K52+K57</f>
        <v>-25828</v>
      </c>
      <c r="L59">
        <f t="shared" si="60"/>
        <v>-28418</v>
      </c>
      <c r="M59">
        <f t="shared" si="60"/>
        <v>-27159</v>
      </c>
      <c r="N59">
        <f t="shared" si="60"/>
        <v>-23121</v>
      </c>
      <c r="O59">
        <f t="shared" si="60"/>
        <v>-25857</v>
      </c>
      <c r="P59">
        <f t="shared" si="60"/>
        <v>-19101</v>
      </c>
      <c r="Q59">
        <f t="shared" si="60"/>
        <v>-14429</v>
      </c>
      <c r="R59">
        <f t="shared" si="60"/>
        <v>-10137</v>
      </c>
      <c r="S59">
        <f t="shared" si="60"/>
        <v>-29577</v>
      </c>
      <c r="AC59">
        <f t="shared" ref="AC59:AF59" si="61">AC52+AC57</f>
        <v>-45513</v>
      </c>
      <c r="AD59">
        <f t="shared" si="61"/>
        <v>-93961</v>
      </c>
      <c r="AE59">
        <f t="shared" si="61"/>
        <v>-105584</v>
      </c>
      <c r="AF59">
        <f t="shared" si="61"/>
        <v>-82508</v>
      </c>
    </row>
    <row r="60" spans="1:48" x14ac:dyDescent="0.2">
      <c r="A60" s="3"/>
    </row>
    <row r="61" spans="1:48" x14ac:dyDescent="0.2">
      <c r="A61" s="3" t="s">
        <v>47</v>
      </c>
    </row>
    <row r="62" spans="1:48" x14ac:dyDescent="0.2">
      <c r="A62" t="s">
        <v>5</v>
      </c>
    </row>
    <row r="63" spans="1:48" x14ac:dyDescent="0.2">
      <c r="A63" t="s">
        <v>40</v>
      </c>
      <c r="J63" s="1">
        <v>-24179</v>
      </c>
      <c r="K63" s="1">
        <v>-25828</v>
      </c>
      <c r="L63" s="1">
        <v>-28418</v>
      </c>
      <c r="M63">
        <f t="shared" ref="M63" si="62">AE63-L63-K63-J63</f>
        <v>-27159</v>
      </c>
      <c r="N63" s="1">
        <v>-23121</v>
      </c>
      <c r="O63" s="1">
        <v>-25857</v>
      </c>
      <c r="P63" s="1">
        <v>-19101</v>
      </c>
      <c r="Q63">
        <f t="shared" ref="Q63" si="63">AF63-P63-O63-N63</f>
        <v>-14429</v>
      </c>
      <c r="R63" s="1">
        <v>-10137</v>
      </c>
      <c r="S63" s="1">
        <v>-29577</v>
      </c>
      <c r="U63" s="1"/>
      <c r="V63" s="1"/>
      <c r="W63" s="1"/>
      <c r="X63" s="1"/>
      <c r="Y63" s="1"/>
      <c r="Z63" s="1"/>
      <c r="AC63">
        <v>-45513</v>
      </c>
      <c r="AD63">
        <v>-93961</v>
      </c>
      <c r="AE63">
        <v>-105584</v>
      </c>
      <c r="AF63">
        <v>-82508</v>
      </c>
    </row>
    <row r="64" spans="1:48" x14ac:dyDescent="0.2">
      <c r="A64" t="s">
        <v>6</v>
      </c>
      <c r="J64" s="1">
        <f>J59-J61</f>
        <v>-24179</v>
      </c>
      <c r="K64" s="1">
        <f t="shared" ref="K64:S64" si="64">K59-K61</f>
        <v>-25828</v>
      </c>
      <c r="L64" s="1">
        <f t="shared" si="64"/>
        <v>-28418</v>
      </c>
      <c r="M64" s="1">
        <f t="shared" si="64"/>
        <v>-27159</v>
      </c>
      <c r="N64" s="1">
        <f t="shared" si="64"/>
        <v>-23121</v>
      </c>
      <c r="O64" s="1">
        <f t="shared" si="64"/>
        <v>-25857</v>
      </c>
      <c r="P64" s="1">
        <f t="shared" si="64"/>
        <v>-19101</v>
      </c>
      <c r="Q64" s="1">
        <f t="shared" si="64"/>
        <v>-14429</v>
      </c>
      <c r="R64" s="1">
        <f t="shared" si="64"/>
        <v>-10137</v>
      </c>
      <c r="S64" s="1">
        <f t="shared" si="64"/>
        <v>-29577</v>
      </c>
      <c r="U64" s="1"/>
      <c r="V64" s="1"/>
      <c r="W64" s="1"/>
      <c r="X64" s="1"/>
      <c r="Y64" s="1"/>
      <c r="Z64" s="1"/>
      <c r="AC64" s="1">
        <f t="shared" ref="AC64:AF64" si="65">AC59-AC61</f>
        <v>-45513</v>
      </c>
      <c r="AD64" s="1">
        <f t="shared" si="65"/>
        <v>-93961</v>
      </c>
      <c r="AE64" s="1">
        <f t="shared" si="65"/>
        <v>-105584</v>
      </c>
      <c r="AF64" s="1">
        <f t="shared" si="65"/>
        <v>-82508</v>
      </c>
    </row>
    <row r="65" spans="1:32" x14ac:dyDescent="0.2">
      <c r="A65" t="s">
        <v>12</v>
      </c>
      <c r="J65" s="1">
        <f>J64-J63</f>
        <v>0</v>
      </c>
      <c r="K65" s="1">
        <f t="shared" ref="K65:S65" si="66">K64-K63</f>
        <v>0</v>
      </c>
      <c r="L65" s="1">
        <f t="shared" si="66"/>
        <v>0</v>
      </c>
      <c r="M65" s="1">
        <f t="shared" si="66"/>
        <v>0</v>
      </c>
      <c r="N65" s="1">
        <f t="shared" si="66"/>
        <v>0</v>
      </c>
      <c r="O65" s="1">
        <f t="shared" si="66"/>
        <v>0</v>
      </c>
      <c r="P65" s="1">
        <f t="shared" si="66"/>
        <v>0</v>
      </c>
      <c r="Q65" s="1">
        <f t="shared" si="66"/>
        <v>0</v>
      </c>
      <c r="R65" s="1">
        <f t="shared" si="66"/>
        <v>0</v>
      </c>
      <c r="S65" s="1">
        <f t="shared" si="66"/>
        <v>0</v>
      </c>
      <c r="U65" s="1"/>
      <c r="V65" s="1"/>
      <c r="W65" s="1"/>
      <c r="X65" s="1"/>
      <c r="Y65" s="1"/>
      <c r="Z65" s="1"/>
      <c r="AC65" s="1">
        <f t="shared" ref="AC65" si="67">AC64-AC63</f>
        <v>0</v>
      </c>
      <c r="AD65" s="1">
        <f t="shared" ref="AD65" si="68">AD64-AD63</f>
        <v>0</v>
      </c>
      <c r="AE65" s="1">
        <f t="shared" ref="AE65" si="69">AE64-AE63</f>
        <v>0</v>
      </c>
      <c r="AF65" s="1">
        <f t="shared" ref="AF65" si="70">AF64-AF63</f>
        <v>0</v>
      </c>
    </row>
    <row r="66" spans="1:32" x14ac:dyDescent="0.2">
      <c r="J66" s="1"/>
      <c r="K66" s="1"/>
      <c r="L66" s="1"/>
      <c r="M66" s="1"/>
      <c r="N66" s="1"/>
      <c r="O66" s="1"/>
      <c r="P66" s="1"/>
      <c r="Q66" s="1"/>
      <c r="R66" s="1"/>
      <c r="S66" s="1"/>
      <c r="U66" s="1"/>
      <c r="V66" s="1"/>
      <c r="W66" s="1"/>
      <c r="X66" s="1"/>
      <c r="Y66" s="1"/>
      <c r="Z66" s="1"/>
      <c r="AC66" s="1"/>
      <c r="AD66" s="1"/>
      <c r="AE66" s="1"/>
      <c r="AF66" s="1"/>
    </row>
    <row r="67" spans="1:32" x14ac:dyDescent="0.2">
      <c r="A67" t="s">
        <v>14</v>
      </c>
      <c r="J67" s="1">
        <v>24135735</v>
      </c>
      <c r="K67" s="1">
        <v>26082525</v>
      </c>
      <c r="L67" s="1">
        <v>26177079</v>
      </c>
      <c r="M67" s="1">
        <f>AE67*4-L67-K67-J67</f>
        <v>25997385</v>
      </c>
      <c r="N67" s="1">
        <v>26215514</v>
      </c>
      <c r="O67" s="1">
        <v>26901069</v>
      </c>
      <c r="P67" s="1">
        <v>48000183</v>
      </c>
      <c r="Q67" s="1">
        <f>AF67*4-P67-O67-N67</f>
        <v>50184958</v>
      </c>
      <c r="R67" s="1">
        <v>56357983</v>
      </c>
      <c r="S67" s="1">
        <v>79041695</v>
      </c>
      <c r="U67" s="1"/>
      <c r="V67" s="1"/>
      <c r="W67" s="1"/>
      <c r="X67" s="1"/>
      <c r="Y67" s="1"/>
      <c r="Z67" s="1"/>
      <c r="AE67">
        <v>25598181</v>
      </c>
      <c r="AF67">
        <v>37825431</v>
      </c>
    </row>
    <row r="70" spans="1:32" x14ac:dyDescent="0.2">
      <c r="A70" t="s">
        <v>58</v>
      </c>
    </row>
    <row r="71" spans="1:32" x14ac:dyDescent="0.2">
      <c r="A71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2023-08-04T02:50:06Z</dcterms:created>
  <dcterms:modified xsi:type="dcterms:W3CDTF">2023-09-21T17:05:09Z</dcterms:modified>
</cp:coreProperties>
</file>