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77469E89-92A6-7746-B2C4-FA7CCC53B57F}" xr6:coauthVersionLast="47" xr6:coauthVersionMax="47" xr10:uidLastSave="{00000000-0000-0000-0000-000000000000}"/>
  <bookViews>
    <workbookView xWindow="33000" yWindow="3900" windowWidth="23940" windowHeight="14920" activeTab="1" xr2:uid="{B6F3B1E3-62A6-41E2-953C-3DEF4B9ACA9E}"/>
  </bookViews>
  <sheets>
    <sheet name="Main" sheetId="1" r:id="rId1"/>
    <sheet name="Model" sheetId="2" r:id="rId2"/>
    <sheet name="Valuation" sheetId="4" r:id="rId3"/>
    <sheet name="iPho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2" l="1"/>
  <c r="W15" i="2"/>
  <c r="X15" i="2"/>
  <c r="Y15" i="2"/>
  <c r="Z15" i="2"/>
  <c r="Z10" i="2"/>
  <c r="Z11" i="2"/>
  <c r="Z13" i="2" s="1"/>
  <c r="Z9" i="2"/>
  <c r="Z5" i="2"/>
  <c r="Z14" i="2"/>
  <c r="V13" i="2"/>
  <c r="W13" i="2"/>
  <c r="X13" i="2"/>
  <c r="Y13" i="2"/>
  <c r="L13" i="2"/>
  <c r="M13" i="2"/>
  <c r="N13" i="2"/>
  <c r="O13" i="2"/>
  <c r="P13" i="2"/>
  <c r="Q13" i="2"/>
  <c r="R13" i="2"/>
  <c r="S13" i="2"/>
  <c r="T13" i="2"/>
  <c r="U13" i="2"/>
  <c r="K13" i="2"/>
  <c r="V14" i="2"/>
  <c r="V11" i="2"/>
  <c r="V10" i="2"/>
  <c r="V9" i="2"/>
  <c r="V5" i="2"/>
  <c r="X3" i="2"/>
  <c r="W3" i="2"/>
  <c r="V3" i="2"/>
  <c r="Z3" i="2"/>
  <c r="Y3" i="2"/>
  <c r="O6" i="1" l="1"/>
  <c r="O5" i="1"/>
  <c r="AQ22" i="2"/>
  <c r="AQ18" i="2"/>
  <c r="AQ13" i="2"/>
  <c r="AQ15" i="2" s="1"/>
  <c r="AQ19" i="2" s="1"/>
  <c r="AQ23" i="2" s="1"/>
  <c r="AQ25" i="2" s="1"/>
  <c r="AQ27" i="2" s="1"/>
  <c r="V6" i="2"/>
  <c r="W6" i="2"/>
  <c r="AQ6" i="2" s="1"/>
  <c r="X6" i="2"/>
  <c r="P6" i="2"/>
  <c r="AO6" i="2" s="1"/>
  <c r="Q6" i="2"/>
  <c r="R6" i="2"/>
  <c r="S6" i="2"/>
  <c r="T6" i="2"/>
  <c r="U6" i="2"/>
  <c r="O6" i="2"/>
  <c r="K7" i="2"/>
  <c r="AN6" i="2"/>
  <c r="AM6" i="2"/>
  <c r="AM7" i="2" s="1"/>
  <c r="N7" i="2"/>
  <c r="M7" i="2"/>
  <c r="L7" i="2"/>
  <c r="F29" i="2"/>
  <c r="F26" i="2"/>
  <c r="F24" i="2"/>
  <c r="F21" i="2"/>
  <c r="F20" i="2"/>
  <c r="F18" i="2"/>
  <c r="F14" i="2"/>
  <c r="F11" i="2"/>
  <c r="F10" i="2"/>
  <c r="F9" i="2"/>
  <c r="F6" i="2"/>
  <c r="AL6" i="2" s="1"/>
  <c r="AL7" i="2" s="1"/>
  <c r="AJ13" i="2"/>
  <c r="AJ15" i="2" s="1"/>
  <c r="AJ31" i="2" s="1"/>
  <c r="AK13" i="2"/>
  <c r="AK15" i="2" s="1"/>
  <c r="AK32" i="2"/>
  <c r="AL32" i="2"/>
  <c r="F5" i="2"/>
  <c r="AI31" i="2"/>
  <c r="C29" i="2"/>
  <c r="C22" i="2"/>
  <c r="C13" i="2"/>
  <c r="C15" i="2" s="1"/>
  <c r="C19" i="2" s="1"/>
  <c r="C7" i="2"/>
  <c r="D7" i="2"/>
  <c r="D29" i="2"/>
  <c r="D22" i="2"/>
  <c r="D13" i="2"/>
  <c r="D15" i="2" s="1"/>
  <c r="D19" i="2" s="1"/>
  <c r="E29" i="2"/>
  <c r="E7" i="2"/>
  <c r="AM13" i="2"/>
  <c r="AM15" i="2" s="1"/>
  <c r="AL13" i="2"/>
  <c r="AL15" i="2" s="1"/>
  <c r="U15" i="2"/>
  <c r="T15" i="2"/>
  <c r="S15" i="2"/>
  <c r="R15" i="2"/>
  <c r="Q15" i="2"/>
  <c r="P15" i="2"/>
  <c r="O15" i="2"/>
  <c r="N15" i="2"/>
  <c r="M15" i="2"/>
  <c r="L15" i="2"/>
  <c r="K15" i="2"/>
  <c r="E13" i="2"/>
  <c r="E15" i="2" s="1"/>
  <c r="E22" i="2"/>
  <c r="J3" i="2"/>
  <c r="I3" i="2" s="1"/>
  <c r="H3" i="2" s="1"/>
  <c r="G3" i="2" s="1"/>
  <c r="F3" i="2" s="1"/>
  <c r="AM35" i="2"/>
  <c r="AL35" i="2"/>
  <c r="AM33" i="2"/>
  <c r="AM32" i="2"/>
  <c r="AL29" i="2"/>
  <c r="AL22" i="2"/>
  <c r="AL18" i="2"/>
  <c r="U35" i="2"/>
  <c r="T35" i="2"/>
  <c r="S35" i="2"/>
  <c r="R35" i="2"/>
  <c r="Q35" i="2"/>
  <c r="P35" i="2"/>
  <c r="O35" i="2"/>
  <c r="N35" i="2"/>
  <c r="M35" i="2"/>
  <c r="L35" i="2"/>
  <c r="K35" i="2"/>
  <c r="AP21" i="2"/>
  <c r="AR21" i="2" s="1"/>
  <c r="AP29" i="2"/>
  <c r="AR29" i="2" s="1"/>
  <c r="AR11" i="2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AR10" i="2"/>
  <c r="U33" i="2"/>
  <c r="T33" i="2"/>
  <c r="S33" i="2"/>
  <c r="R33" i="2"/>
  <c r="Q33" i="2"/>
  <c r="P33" i="2"/>
  <c r="O33" i="2"/>
  <c r="AM22" i="2"/>
  <c r="AM18" i="2"/>
  <c r="K22" i="2"/>
  <c r="K18" i="2"/>
  <c r="P32" i="2"/>
  <c r="O32" i="2"/>
  <c r="S32" i="2"/>
  <c r="R32" i="2"/>
  <c r="Q32" i="2"/>
  <c r="L22" i="2"/>
  <c r="L18" i="2"/>
  <c r="M22" i="2"/>
  <c r="M18" i="2"/>
  <c r="AO29" i="2"/>
  <c r="AN29" i="2"/>
  <c r="AO26" i="2"/>
  <c r="AN26" i="2"/>
  <c r="AP24" i="2"/>
  <c r="AO24" i="2"/>
  <c r="AN24" i="2"/>
  <c r="AO21" i="2"/>
  <c r="AN21" i="2"/>
  <c r="AO20" i="2"/>
  <c r="AN20" i="2"/>
  <c r="AO17" i="2"/>
  <c r="AN17" i="2"/>
  <c r="AO16" i="2"/>
  <c r="AN16" i="2"/>
  <c r="AN14" i="2"/>
  <c r="AO14" i="2"/>
  <c r="AO11" i="2"/>
  <c r="AN11" i="2"/>
  <c r="AO10" i="2"/>
  <c r="AN10" i="2"/>
  <c r="AO9" i="2"/>
  <c r="AN9" i="2"/>
  <c r="AO5" i="2"/>
  <c r="AN5" i="2"/>
  <c r="AN32" i="2" s="1"/>
  <c r="N22" i="2"/>
  <c r="N18" i="2"/>
  <c r="R22" i="2"/>
  <c r="R18" i="2"/>
  <c r="O22" i="2"/>
  <c r="O18" i="2"/>
  <c r="S22" i="2"/>
  <c r="S18" i="2"/>
  <c r="U32" i="2"/>
  <c r="Q22" i="2"/>
  <c r="Q18" i="2"/>
  <c r="U22" i="2"/>
  <c r="U18" i="2"/>
  <c r="T32" i="2"/>
  <c r="P22" i="2"/>
  <c r="P18" i="2"/>
  <c r="T22" i="2"/>
  <c r="T18" i="2"/>
  <c r="O4" i="1"/>
  <c r="O7" i="1" l="1"/>
  <c r="AK31" i="2"/>
  <c r="AO7" i="2"/>
  <c r="C23" i="2"/>
  <c r="C25" i="2" s="1"/>
  <c r="C27" i="2" s="1"/>
  <c r="C28" i="2" s="1"/>
  <c r="F7" i="2"/>
  <c r="AS21" i="2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AS29" i="2"/>
  <c r="AS10" i="2"/>
  <c r="AL31" i="2"/>
  <c r="F13" i="2"/>
  <c r="F15" i="2" s="1"/>
  <c r="F19" i="2" s="1"/>
  <c r="F22" i="2"/>
  <c r="AN7" i="2"/>
  <c r="AL19" i="2"/>
  <c r="AL34" i="2" s="1"/>
  <c r="D23" i="2"/>
  <c r="D25" i="2" s="1"/>
  <c r="D27" i="2" s="1"/>
  <c r="D28" i="2" s="1"/>
  <c r="AN13" i="2"/>
  <c r="AO13" i="2"/>
  <c r="AR9" i="2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E19" i="2"/>
  <c r="L36" i="2"/>
  <c r="AN35" i="2"/>
  <c r="AM31" i="2"/>
  <c r="M36" i="2"/>
  <c r="O36" i="2"/>
  <c r="P36" i="2"/>
  <c r="K36" i="2"/>
  <c r="S36" i="2"/>
  <c r="Q36" i="2"/>
  <c r="AO35" i="2"/>
  <c r="AL36" i="2"/>
  <c r="AM36" i="2"/>
  <c r="AN33" i="2"/>
  <c r="AO33" i="2"/>
  <c r="T36" i="2"/>
  <c r="U36" i="2"/>
  <c r="AP17" i="2"/>
  <c r="R36" i="2"/>
  <c r="N36" i="2"/>
  <c r="AP20" i="2"/>
  <c r="AO32" i="2"/>
  <c r="Q31" i="2"/>
  <c r="AO18" i="2"/>
  <c r="AO22" i="2"/>
  <c r="AM19" i="2"/>
  <c r="R19" i="2"/>
  <c r="R34" i="2" s="1"/>
  <c r="K19" i="2"/>
  <c r="O31" i="2"/>
  <c r="AN22" i="2"/>
  <c r="AN18" i="2"/>
  <c r="L19" i="2"/>
  <c r="P31" i="2"/>
  <c r="M19" i="2"/>
  <c r="T19" i="2"/>
  <c r="T34" i="2" s="1"/>
  <c r="N19" i="2"/>
  <c r="R31" i="2"/>
  <c r="S31" i="2"/>
  <c r="O19" i="2"/>
  <c r="S19" i="2"/>
  <c r="Q19" i="2"/>
  <c r="U31" i="2"/>
  <c r="U19" i="2"/>
  <c r="T31" i="2"/>
  <c r="P19" i="2"/>
  <c r="F23" i="2" l="1"/>
  <c r="F25" i="2" s="1"/>
  <c r="F27" i="2" s="1"/>
  <c r="F28" i="2" s="1"/>
  <c r="AR14" i="2"/>
  <c r="AP22" i="2"/>
  <c r="AT29" i="2"/>
  <c r="AT10" i="2"/>
  <c r="AL23" i="2"/>
  <c r="AL25" i="2" s="1"/>
  <c r="E23" i="2"/>
  <c r="E34" i="2"/>
  <c r="AP33" i="2"/>
  <c r="AP35" i="2"/>
  <c r="AO15" i="2"/>
  <c r="AO19" i="2" s="1"/>
  <c r="AO36" i="2"/>
  <c r="AM23" i="2"/>
  <c r="AM34" i="2"/>
  <c r="AN15" i="2"/>
  <c r="AN36" i="2"/>
  <c r="R23" i="2"/>
  <c r="R25" i="2" s="1"/>
  <c r="T23" i="2"/>
  <c r="T37" i="2" s="1"/>
  <c r="O23" i="2"/>
  <c r="O34" i="2"/>
  <c r="N23" i="2"/>
  <c r="N34" i="2"/>
  <c r="M23" i="2"/>
  <c r="M34" i="2"/>
  <c r="Q23" i="2"/>
  <c r="Q34" i="2"/>
  <c r="K23" i="2"/>
  <c r="K34" i="2"/>
  <c r="L23" i="2"/>
  <c r="L34" i="2"/>
  <c r="P23" i="2"/>
  <c r="P34" i="2"/>
  <c r="U23" i="2"/>
  <c r="U34" i="2"/>
  <c r="S23" i="2"/>
  <c r="S34" i="2"/>
  <c r="AO31" i="2" l="1"/>
  <c r="AN31" i="2"/>
  <c r="AN19" i="2"/>
  <c r="AN23" i="2" s="1"/>
  <c r="AL37" i="2"/>
  <c r="AR20" i="2"/>
  <c r="AR17" i="2"/>
  <c r="AS14" i="2"/>
  <c r="AU29" i="2"/>
  <c r="AU10" i="2"/>
  <c r="E25" i="2"/>
  <c r="E37" i="2"/>
  <c r="T25" i="2"/>
  <c r="T27" i="2" s="1"/>
  <c r="T28" i="2" s="1"/>
  <c r="AO23" i="2"/>
  <c r="AO34" i="2"/>
  <c r="AL27" i="2"/>
  <c r="AL28" i="2" s="1"/>
  <c r="AL38" i="2"/>
  <c r="AM25" i="2"/>
  <c r="AM37" i="2"/>
  <c r="R37" i="2"/>
  <c r="T38" i="2"/>
  <c r="R27" i="2"/>
  <c r="R28" i="2" s="1"/>
  <c r="R38" i="2"/>
  <c r="P25" i="2"/>
  <c r="P37" i="2"/>
  <c r="L25" i="2"/>
  <c r="L37" i="2"/>
  <c r="K25" i="2"/>
  <c r="K37" i="2"/>
  <c r="M25" i="2"/>
  <c r="M37" i="2"/>
  <c r="Q25" i="2"/>
  <c r="Q37" i="2"/>
  <c r="N25" i="2"/>
  <c r="N37" i="2"/>
  <c r="O25" i="2"/>
  <c r="O37" i="2"/>
  <c r="S25" i="2"/>
  <c r="S37" i="2"/>
  <c r="U25" i="2"/>
  <c r="U37" i="2"/>
  <c r="AN34" i="2" l="1"/>
  <c r="AS17" i="2"/>
  <c r="AT14" i="2"/>
  <c r="AS20" i="2"/>
  <c r="AR22" i="2"/>
  <c r="AV29" i="2"/>
  <c r="AV10" i="2"/>
  <c r="E27" i="2"/>
  <c r="E28" i="2" s="1"/>
  <c r="E38" i="2"/>
  <c r="AM27" i="2"/>
  <c r="AM28" i="2" s="1"/>
  <c r="AM38" i="2"/>
  <c r="AO25" i="2"/>
  <c r="AO37" i="2"/>
  <c r="AN25" i="2"/>
  <c r="AN37" i="2"/>
  <c r="S27" i="2"/>
  <c r="S28" i="2" s="1"/>
  <c r="S38" i="2"/>
  <c r="U27" i="2"/>
  <c r="U28" i="2" s="1"/>
  <c r="U38" i="2"/>
  <c r="O27" i="2"/>
  <c r="O28" i="2" s="1"/>
  <c r="O38" i="2"/>
  <c r="N27" i="2"/>
  <c r="N28" i="2" s="1"/>
  <c r="N38" i="2"/>
  <c r="Q27" i="2"/>
  <c r="Q28" i="2" s="1"/>
  <c r="Q38" i="2"/>
  <c r="M27" i="2"/>
  <c r="M28" i="2" s="1"/>
  <c r="M38" i="2"/>
  <c r="K27" i="2"/>
  <c r="K28" i="2" s="1"/>
  <c r="K38" i="2"/>
  <c r="L27" i="2"/>
  <c r="L28" i="2" s="1"/>
  <c r="L38" i="2"/>
  <c r="P27" i="2"/>
  <c r="P28" i="2" s="1"/>
  <c r="P38" i="2"/>
  <c r="AT20" i="2" l="1"/>
  <c r="AS22" i="2"/>
  <c r="AT17" i="2"/>
  <c r="AU14" i="2"/>
  <c r="AW29" i="2"/>
  <c r="AW10" i="2"/>
  <c r="AN27" i="2"/>
  <c r="AN28" i="2" s="1"/>
  <c r="AN38" i="2"/>
  <c r="AO27" i="2"/>
  <c r="AO28" i="2" s="1"/>
  <c r="AO38" i="2"/>
  <c r="AP6" i="2"/>
  <c r="AP7" i="2" s="1"/>
  <c r="AR6" i="2" l="1"/>
  <c r="AU17" i="2"/>
  <c r="AV14" i="2"/>
  <c r="AT22" i="2"/>
  <c r="AU20" i="2"/>
  <c r="AX29" i="2"/>
  <c r="AX10" i="2"/>
  <c r="AP13" i="2"/>
  <c r="AP15" i="2" s="1"/>
  <c r="AR7" i="2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AP16" i="2"/>
  <c r="AP18" i="2" s="1"/>
  <c r="AP32" i="2"/>
  <c r="AV20" i="2" l="1"/>
  <c r="AU22" i="2"/>
  <c r="AV17" i="2"/>
  <c r="AW14" i="2"/>
  <c r="AS6" i="2"/>
  <c r="AR5" i="2"/>
  <c r="AY29" i="2"/>
  <c r="AY10" i="2"/>
  <c r="AP36" i="2"/>
  <c r="AP31" i="2"/>
  <c r="AP19" i="2"/>
  <c r="AR32" i="2" l="1"/>
  <c r="AR13" i="2"/>
  <c r="AT6" i="2"/>
  <c r="AS5" i="2"/>
  <c r="AW17" i="2"/>
  <c r="AX14" i="2"/>
  <c r="AQ32" i="2"/>
  <c r="AW20" i="2"/>
  <c r="AV22" i="2"/>
  <c r="AZ29" i="2"/>
  <c r="AZ10" i="2"/>
  <c r="AP23" i="2"/>
  <c r="AP34" i="2"/>
  <c r="AY14" i="2" l="1"/>
  <c r="AX17" i="2"/>
  <c r="AS32" i="2"/>
  <c r="AS13" i="2"/>
  <c r="AU6" i="2"/>
  <c r="AT5" i="2"/>
  <c r="AR16" i="2"/>
  <c r="AR18" i="2" s="1"/>
  <c r="AR15" i="2"/>
  <c r="AX20" i="2"/>
  <c r="AW22" i="2"/>
  <c r="BA29" i="2"/>
  <c r="BA10" i="2"/>
  <c r="AP37" i="2"/>
  <c r="AP25" i="2"/>
  <c r="AT32" i="2" l="1"/>
  <c r="AT13" i="2"/>
  <c r="AX22" i="2"/>
  <c r="AY20" i="2"/>
  <c r="AV6" i="2"/>
  <c r="AU5" i="2"/>
  <c r="AS16" i="2"/>
  <c r="AS18" i="2" s="1"/>
  <c r="AS15" i="2"/>
  <c r="AZ14" i="2"/>
  <c r="AY17" i="2"/>
  <c r="AR19" i="2"/>
  <c r="AR23" i="2" s="1"/>
  <c r="AR25" i="2" s="1"/>
  <c r="AR31" i="2"/>
  <c r="AQ31" i="2"/>
  <c r="BB29" i="2"/>
  <c r="BB10" i="2"/>
  <c r="AU32" i="2" l="1"/>
  <c r="AU13" i="2"/>
  <c r="AR26" i="2"/>
  <c r="AR27" i="2" s="1"/>
  <c r="AT15" i="2"/>
  <c r="AT16" i="2"/>
  <c r="AT18" i="2" s="1"/>
  <c r="AS19" i="2"/>
  <c r="AS23" i="2" s="1"/>
  <c r="AS25" i="2" s="1"/>
  <c r="AS26" i="2" s="1"/>
  <c r="AS27" i="2" s="1"/>
  <c r="AS28" i="2" s="1"/>
  <c r="AS31" i="2"/>
  <c r="AW6" i="2"/>
  <c r="AV5" i="2"/>
  <c r="AY22" i="2"/>
  <c r="AZ20" i="2"/>
  <c r="BA14" i="2"/>
  <c r="AZ17" i="2"/>
  <c r="BC29" i="2"/>
  <c r="BC10" i="2"/>
  <c r="AP26" i="2"/>
  <c r="AR28" i="2" l="1"/>
  <c r="AZ22" i="2"/>
  <c r="BA20" i="2"/>
  <c r="AV13" i="2"/>
  <c r="AV32" i="2"/>
  <c r="AX6" i="2"/>
  <c r="AW5" i="2"/>
  <c r="AU15" i="2"/>
  <c r="AU16" i="2"/>
  <c r="AU18" i="2" s="1"/>
  <c r="BB14" i="2"/>
  <c r="BA17" i="2"/>
  <c r="AT31" i="2"/>
  <c r="AT19" i="2"/>
  <c r="AT23" i="2" s="1"/>
  <c r="AT25" i="2" s="1"/>
  <c r="AT26" i="2" s="1"/>
  <c r="AT27" i="2" s="1"/>
  <c r="AT28" i="2" s="1"/>
  <c r="BD29" i="2"/>
  <c r="BD10" i="2"/>
  <c r="AP38" i="2"/>
  <c r="AP27" i="2"/>
  <c r="AP28" i="2" s="1"/>
  <c r="AV15" i="2" l="1"/>
  <c r="AV16" i="2"/>
  <c r="AV18" i="2" s="1"/>
  <c r="BC14" i="2"/>
  <c r="BB17" i="2"/>
  <c r="AW32" i="2"/>
  <c r="AW13" i="2"/>
  <c r="AY6" i="2"/>
  <c r="AX5" i="2"/>
  <c r="BB20" i="2"/>
  <c r="BA22" i="2"/>
  <c r="AU31" i="2"/>
  <c r="AU19" i="2"/>
  <c r="AU23" i="2" s="1"/>
  <c r="AU25" i="2" s="1"/>
  <c r="BE29" i="2"/>
  <c r="BE10" i="2"/>
  <c r="AX32" i="2" l="1"/>
  <c r="AX13" i="2"/>
  <c r="AZ6" i="2"/>
  <c r="AY5" i="2"/>
  <c r="AW15" i="2"/>
  <c r="AW16" i="2"/>
  <c r="AW18" i="2" s="1"/>
  <c r="AU26" i="2"/>
  <c r="AU27" i="2" s="1"/>
  <c r="BD14" i="2"/>
  <c r="BC17" i="2"/>
  <c r="BC20" i="2"/>
  <c r="BB22" i="2"/>
  <c r="AV31" i="2"/>
  <c r="AV19" i="2"/>
  <c r="AV23" i="2" s="1"/>
  <c r="AV25" i="2" s="1"/>
  <c r="AV26" i="2" s="1"/>
  <c r="AV27" i="2" s="1"/>
  <c r="AV28" i="2" s="1"/>
  <c r="BF29" i="2"/>
  <c r="BF10" i="2"/>
  <c r="BA6" i="2" l="1"/>
  <c r="AZ5" i="2"/>
  <c r="AX16" i="2"/>
  <c r="AX18" i="2" s="1"/>
  <c r="AX15" i="2"/>
  <c r="AU28" i="2"/>
  <c r="AW31" i="2"/>
  <c r="AW19" i="2"/>
  <c r="AW23" i="2" s="1"/>
  <c r="AW25" i="2" s="1"/>
  <c r="AW26" i="2" s="1"/>
  <c r="AW27" i="2" s="1"/>
  <c r="AW28" i="2" s="1"/>
  <c r="AY32" i="2"/>
  <c r="AY13" i="2"/>
  <c r="BC22" i="2"/>
  <c r="BD20" i="2"/>
  <c r="BE14" i="2"/>
  <c r="BD17" i="2"/>
  <c r="BG29" i="2"/>
  <c r="BG10" i="2"/>
  <c r="BE20" i="2" l="1"/>
  <c r="BD22" i="2"/>
  <c r="BF14" i="2"/>
  <c r="BE17" i="2"/>
  <c r="AX31" i="2"/>
  <c r="AX19" i="2"/>
  <c r="AX23" i="2" s="1"/>
  <c r="AX25" i="2" s="1"/>
  <c r="AY15" i="2"/>
  <c r="AY16" i="2"/>
  <c r="AY18" i="2" s="1"/>
  <c r="AZ32" i="2"/>
  <c r="AZ13" i="2"/>
  <c r="BB6" i="2"/>
  <c r="BA5" i="2"/>
  <c r="BH29" i="2"/>
  <c r="BH10" i="2"/>
  <c r="AX26" i="2" l="1"/>
  <c r="AX27" i="2" s="1"/>
  <c r="AY31" i="2"/>
  <c r="AY19" i="2"/>
  <c r="AY23" i="2" s="1"/>
  <c r="AY25" i="2" s="1"/>
  <c r="BA32" i="2"/>
  <c r="BA13" i="2"/>
  <c r="BC6" i="2"/>
  <c r="BB5" i="2"/>
  <c r="BG14" i="2"/>
  <c r="BF17" i="2"/>
  <c r="AZ15" i="2"/>
  <c r="AZ16" i="2"/>
  <c r="AZ18" i="2" s="1"/>
  <c r="BF20" i="2"/>
  <c r="BE22" i="2"/>
  <c r="AX28" i="2" l="1"/>
  <c r="BB32" i="2"/>
  <c r="BB13" i="2"/>
  <c r="AY26" i="2"/>
  <c r="AY27" i="2"/>
  <c r="AY28" i="2" s="1"/>
  <c r="BD6" i="2"/>
  <c r="BC5" i="2"/>
  <c r="BA16" i="2"/>
  <c r="BA18" i="2" s="1"/>
  <c r="BA15" i="2"/>
  <c r="BF22" i="2"/>
  <c r="BG20" i="2"/>
  <c r="AZ19" i="2"/>
  <c r="AZ23" i="2" s="1"/>
  <c r="AZ25" i="2" s="1"/>
  <c r="AZ31" i="2"/>
  <c r="BH14" i="2"/>
  <c r="BH17" i="2" s="1"/>
  <c r="BG17" i="2"/>
  <c r="BC13" i="2" l="1"/>
  <c r="BC32" i="2"/>
  <c r="BE6" i="2"/>
  <c r="BD5" i="2"/>
  <c r="AZ26" i="2"/>
  <c r="AZ27" i="2"/>
  <c r="AZ28" i="2" s="1"/>
  <c r="BG22" i="2"/>
  <c r="BH20" i="2"/>
  <c r="BH22" i="2" s="1"/>
  <c r="BB15" i="2"/>
  <c r="BB16" i="2"/>
  <c r="BB18" i="2" s="1"/>
  <c r="BA19" i="2"/>
  <c r="BA23" i="2" s="1"/>
  <c r="BA25" i="2" s="1"/>
  <c r="BA26" i="2" s="1"/>
  <c r="BA27" i="2" s="1"/>
  <c r="BA28" i="2" s="1"/>
  <c r="BA31" i="2"/>
  <c r="BD13" i="2" l="1"/>
  <c r="BD32" i="2"/>
  <c r="BF6" i="2"/>
  <c r="BE5" i="2"/>
  <c r="BB19" i="2"/>
  <c r="BB23" i="2" s="1"/>
  <c r="BB25" i="2" s="1"/>
  <c r="BB31" i="2"/>
  <c r="BC15" i="2"/>
  <c r="BC16" i="2"/>
  <c r="BC18" i="2" s="1"/>
  <c r="BG6" i="2" l="1"/>
  <c r="BF5" i="2"/>
  <c r="BC31" i="2"/>
  <c r="BC19" i="2"/>
  <c r="BC23" i="2" s="1"/>
  <c r="BC25" i="2" s="1"/>
  <c r="BB26" i="2"/>
  <c r="BB27" i="2" s="1"/>
  <c r="BB28" i="2" s="1"/>
  <c r="BE32" i="2"/>
  <c r="BE13" i="2"/>
  <c r="BD15" i="2"/>
  <c r="BD16" i="2"/>
  <c r="BD18" i="2" s="1"/>
  <c r="BE15" i="2" l="1"/>
  <c r="BE16" i="2"/>
  <c r="BE18" i="2" s="1"/>
  <c r="BC26" i="2"/>
  <c r="BC27" i="2" s="1"/>
  <c r="BC28" i="2" s="1"/>
  <c r="BF32" i="2"/>
  <c r="BF13" i="2"/>
  <c r="BD31" i="2"/>
  <c r="BD19" i="2"/>
  <c r="BD23" i="2" s="1"/>
  <c r="BD25" i="2" s="1"/>
  <c r="BD26" i="2" s="1"/>
  <c r="BD27" i="2" s="1"/>
  <c r="BD28" i="2" s="1"/>
  <c r="BH6" i="2"/>
  <c r="BH5" i="2" s="1"/>
  <c r="BG5" i="2"/>
  <c r="BF15" i="2" l="1"/>
  <c r="BF16" i="2"/>
  <c r="BF18" i="2" s="1"/>
  <c r="BG32" i="2"/>
  <c r="BG13" i="2"/>
  <c r="BH32" i="2"/>
  <c r="BH13" i="2"/>
  <c r="BE31" i="2"/>
  <c r="BE19" i="2"/>
  <c r="BE23" i="2" s="1"/>
  <c r="BE25" i="2" s="1"/>
  <c r="BE26" i="2" s="1"/>
  <c r="BE27" i="2" s="1"/>
  <c r="BE28" i="2" s="1"/>
  <c r="BH15" i="2" l="1"/>
  <c r="BH16" i="2"/>
  <c r="BH18" i="2" s="1"/>
  <c r="BG15" i="2"/>
  <c r="BG16" i="2"/>
  <c r="BG18" i="2" s="1"/>
  <c r="BF19" i="2"/>
  <c r="BF23" i="2" s="1"/>
  <c r="BF25" i="2" s="1"/>
  <c r="BF26" i="2" s="1"/>
  <c r="BF27" i="2" s="1"/>
  <c r="BF28" i="2" s="1"/>
  <c r="BF31" i="2"/>
  <c r="BG31" i="2" l="1"/>
  <c r="BG19" i="2"/>
  <c r="BG23" i="2" s="1"/>
  <c r="BG25" i="2" s="1"/>
  <c r="BG26" i="2" s="1"/>
  <c r="BG27" i="2" s="1"/>
  <c r="BG28" i="2" s="1"/>
  <c r="BH31" i="2"/>
  <c r="BH19" i="2"/>
  <c r="BH23" i="2" s="1"/>
  <c r="BH25" i="2" s="1"/>
  <c r="BH26" i="2" s="1"/>
  <c r="BH27" i="2" s="1"/>
  <c r="O12" i="1" l="1"/>
  <c r="O13" i="1" s="1"/>
  <c r="O14" i="1" s="1"/>
  <c r="BH28" i="2"/>
</calcChain>
</file>

<file path=xl/sharedStrings.xml><?xml version="1.0" encoding="utf-8"?>
<sst xmlns="http://schemas.openxmlformats.org/spreadsheetml/2006/main" count="111" uniqueCount="104">
  <si>
    <t>Price</t>
  </si>
  <si>
    <t>Shares</t>
  </si>
  <si>
    <t>MC</t>
  </si>
  <si>
    <t>Cash</t>
  </si>
  <si>
    <t>Debt</t>
  </si>
  <si>
    <t>EV</t>
  </si>
  <si>
    <t>Main</t>
  </si>
  <si>
    <t>Revenue</t>
  </si>
  <si>
    <t>Gross Profit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</si>
  <si>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</si>
  <si>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</si>
  <si>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</si>
  <si>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</si>
  <si>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</si>
  <si>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</si>
  <si>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</si>
  <si>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</si>
  <si>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</si>
  <si>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</si>
  <si>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</si>
  <si>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</si>
  <si>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</si>
  <si>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</si>
  <si>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</si>
  <si>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</si>
  <si>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</si>
  <si>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F2021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</si>
  <si>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</si>
  <si>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</si>
  <si>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</si>
  <si>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</si>
  <si>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</si>
  <si>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</si>
  <si>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</si>
  <si>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</si>
  <si>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</si>
  <si>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</si>
  <si>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</si>
  <si>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</si>
  <si>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</si>
  <si>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</si>
  <si>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</si>
  <si>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</si>
  <si>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</si>
  <si>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Tax Rate</t>
  </si>
  <si>
    <t>Services y/y</t>
  </si>
  <si>
    <t>Services Margin</t>
  </si>
  <si>
    <t>Products Margin</t>
  </si>
  <si>
    <t>Brand</t>
  </si>
  <si>
    <t>Releases</t>
  </si>
  <si>
    <t>9/2021 - Releases iPhone 13, mini, Pro, Pro Max</t>
  </si>
  <si>
    <t>10/2020 - Releases iPhone 12, mini, Pro, Pro Max (5G)</t>
  </si>
  <si>
    <t xml:space="preserve">  Units</t>
  </si>
  <si>
    <t xml:space="preserve">  ASP</t>
  </si>
  <si>
    <t>-</t>
  </si>
  <si>
    <t>F2016</t>
  </si>
  <si>
    <t>F2015</t>
  </si>
  <si>
    <t>F2014</t>
  </si>
  <si>
    <t>Discount</t>
  </si>
  <si>
    <t>Terminal</t>
  </si>
  <si>
    <t>Share</t>
  </si>
  <si>
    <t>Upside</t>
  </si>
  <si>
    <t>Equity Value</t>
  </si>
  <si>
    <t>Cost of Product Revenues</t>
  </si>
  <si>
    <t>Total Product Revenues</t>
  </si>
  <si>
    <t>Cost of Services Revenues</t>
  </si>
  <si>
    <t>Total Services Revenues</t>
  </si>
  <si>
    <t>9/2023 - Releases iPhone 15, Pro, Max</t>
  </si>
  <si>
    <t>9/2024 - Releases iPhone 14, Pro, Max</t>
  </si>
  <si>
    <t>Macbook</t>
  </si>
  <si>
    <t>M3 Macbook Pro, 14" &amp; 16", M3/Pro/Max</t>
  </si>
  <si>
    <t>1FQ2023A</t>
  </si>
  <si>
    <t>4FQ2022A</t>
  </si>
  <si>
    <t>1FQ2018A</t>
  </si>
  <si>
    <t>2FQ2018A</t>
  </si>
  <si>
    <t>3FQ2018A</t>
  </si>
  <si>
    <t>4FQ2018A</t>
  </si>
  <si>
    <t>1FQ2019A</t>
  </si>
  <si>
    <t>2FQ2019A</t>
  </si>
  <si>
    <t>3FQ2019A</t>
  </si>
  <si>
    <t>4FQ2020A</t>
  </si>
  <si>
    <t>4FQ2019A</t>
  </si>
  <si>
    <t>1FQ2020A</t>
  </si>
  <si>
    <t>2FQ2020A</t>
  </si>
  <si>
    <t>3FQ2020A</t>
  </si>
  <si>
    <t>1FQ2021A</t>
  </si>
  <si>
    <t>2FQ2021A</t>
  </si>
  <si>
    <t>3FQ2021A</t>
  </si>
  <si>
    <t>4FQ2021A</t>
  </si>
  <si>
    <t>1FQ2022A</t>
  </si>
  <si>
    <t>2FQ2022A</t>
  </si>
  <si>
    <t>3FQ2022A</t>
  </si>
  <si>
    <t>F2022A</t>
  </si>
  <si>
    <t>F2023A</t>
  </si>
  <si>
    <t>2FQ2023A</t>
  </si>
  <si>
    <t>3FQ2023A</t>
  </si>
  <si>
    <t>4FQ2023A</t>
  </si>
  <si>
    <t>FY2017A</t>
  </si>
  <si>
    <t>FY2018A</t>
  </si>
  <si>
    <t>FY2019A</t>
  </si>
  <si>
    <t>FY2020A</t>
  </si>
  <si>
    <t>Cost of Goods Sold</t>
  </si>
  <si>
    <t>AAPL</t>
  </si>
  <si>
    <t>4Q23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</si>
</sst>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9" fontId="6" fillId="0" borderId="0" xfId="0" applyNumberFormat="1" applyFont="1"/>
    <xf numFmtId="9" fontId="3" fillId="0" borderId="0" xfId="0" applyNumberFormat="1" applyFont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671479</xdr:colOff>
      <xdr:row>1</xdr:row>
      <xdr:rowOff>0</xdr:rowOff>
    </xdr:from>
    <xdr:to>
      <xdr:col>25</xdr:col>
      <xdr:colOff>671479</xdr:colOff>
      <xdr:row>40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7816479" y="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37908</xdr:colOff>
      <xdr:row>1</xdr:row>
      <xdr:rowOff>38100</xdr:rowOff>
    </xdr:from>
    <xdr:to>
      <xdr:col>43</xdr:col>
      <xdr:colOff>37908</xdr:colOff>
      <xdr:row>40</xdr:row>
      <xdr:rowOff>82685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9374908" y="3810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4"/>
  <sheetViews>
    <sheetView topLeftCell="E1" zoomScaleNormal="100" workbookViewId="0">
      <selection activeCell="P3" sqref="P3"/>
    </sheetView>
  </sheetViews>
  <sheetFormatPr baseColWidth="10" defaultColWidth="8.83203125" defaultRowHeight="14" x14ac:dyDescent="0.2"/>
  <cols>
    <col min="1" max="7" width="8.83203125" style="1"/>
    <col min="8" max="8" width="9.1640625" style="1" bestFit="1" customWidth="1"/>
    <col min="9" max="14" width="8.83203125" style="1"/>
    <col min="15" max="15" width="9.83203125" style="1" customWidth="1"/>
    <col min="16" max="16384" width="8.83203125" style="1"/>
  </cols>
  <sheetData>
    <row r="2" spans="14:16" x14ac:dyDescent="0.2">
      <c r="N2" s="1" t="s">
        <v>0</v>
      </c>
      <c r="O2" s="1">
        <v>170.03</v>
      </c>
    </row>
    <row r="3" spans="14:16" x14ac:dyDescent="0.2">
      <c r="N3" s="1" t="s">
        <v>1</v>
      </c>
      <c r="O3" s="2">
        <v>16070.752</v>
      </c>
      <c r="P3" s="3" t="s">
        <v>103</v>
      </c>
    </row>
    <row r="4" spans="14:16" x14ac:dyDescent="0.2">
      <c r="N4" s="1" t="s">
        <v>2</v>
      </c>
      <c r="O4" s="2">
        <f>+O2*O3</f>
        <v>2732509.9625599999</v>
      </c>
    </row>
    <row r="5" spans="14:16" x14ac:dyDescent="0.2">
      <c r="N5" s="1" t="s">
        <v>3</v>
      </c>
      <c r="O5" s="2">
        <f>23646+24658+120805</f>
        <v>169109</v>
      </c>
      <c r="P5" s="3" t="s">
        <v>103</v>
      </c>
    </row>
    <row r="6" spans="14:16" x14ac:dyDescent="0.2">
      <c r="N6" s="1" t="s">
        <v>4</v>
      </c>
      <c r="O6" s="2">
        <f>9982+11128+98959</f>
        <v>120069</v>
      </c>
      <c r="P6" s="3" t="s">
        <v>103</v>
      </c>
    </row>
    <row r="7" spans="14:16" x14ac:dyDescent="0.2">
      <c r="N7" s="1" t="s">
        <v>5</v>
      </c>
      <c r="O7" s="2">
        <f>+O4-O5+O6</f>
        <v>2683469.9625599999</v>
      </c>
    </row>
    <row r="10" spans="14:16" x14ac:dyDescent="0.2">
      <c r="N10" s="1" t="s">
        <v>58</v>
      </c>
      <c r="O10" s="4">
        <v>0.08</v>
      </c>
    </row>
    <row r="11" spans="14:16" x14ac:dyDescent="0.2">
      <c r="N11" s="1" t="s">
        <v>59</v>
      </c>
      <c r="O11" s="4">
        <v>-0.01</v>
      </c>
    </row>
    <row r="12" spans="14:16" x14ac:dyDescent="0.2">
      <c r="N12" s="1" t="s">
        <v>62</v>
      </c>
      <c r="O12" s="2">
        <f>NPV(O10,Model!AQ27:FP27)+Main!O5-Main!O6</f>
        <v>834698.1523954937</v>
      </c>
    </row>
    <row r="13" spans="14:16" x14ac:dyDescent="0.2">
      <c r="N13" s="1" t="s">
        <v>60</v>
      </c>
      <c r="O13" s="5">
        <f>O12/Main!O3</f>
        <v>51.938960441645399</v>
      </c>
    </row>
    <row r="14" spans="14:16" x14ac:dyDescent="0.2">
      <c r="N14" s="1" t="s">
        <v>61</v>
      </c>
      <c r="O14" s="6">
        <f>O13/Main!O2-1</f>
        <v>-0.69453060964744218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BH38"/>
  <sheetViews>
    <sheetView tabSelected="1" zoomScaleNormal="100" workbookViewId="0">
      <pane xSplit="2" ySplit="4" topLeftCell="Q15" activePane="bottomRight" state="frozen"/>
      <selection pane="topRight" activeCell="C1" sqref="C1"/>
      <selection pane="bottomLeft" activeCell="A3" sqref="A3"/>
      <selection pane="bottomRight" activeCell="Z30" sqref="Z30"/>
    </sheetView>
  </sheetViews>
  <sheetFormatPr baseColWidth="10" defaultColWidth="8.83203125" defaultRowHeight="14" x14ac:dyDescent="0.2"/>
  <cols>
    <col min="1" max="1" width="5" style="1" bestFit="1" customWidth="1"/>
    <col min="2" max="2" width="15.83203125" style="1" customWidth="1"/>
    <col min="3" max="14" width="8.83203125" style="1"/>
    <col min="15" max="15" width="9.1640625" style="1" customWidth="1"/>
    <col min="16" max="18" width="8.83203125" style="1"/>
    <col min="19" max="19" width="9.1640625" style="1" customWidth="1"/>
    <col min="20" max="20" width="8.83203125" style="1"/>
    <col min="21" max="21" width="9.1640625" style="1" customWidth="1"/>
    <col min="22" max="42" width="8.83203125" style="1"/>
    <col min="43" max="43" width="9.83203125" style="1" bestFit="1" customWidth="1"/>
    <col min="44" max="59" width="8.83203125" style="1"/>
    <col min="60" max="60" width="9.5" style="1" customWidth="1"/>
    <col min="61" max="62" width="8.83203125" style="1"/>
    <col min="63" max="63" width="10.83203125" style="1" customWidth="1"/>
    <col min="64" max="16384" width="8.83203125" style="1"/>
  </cols>
  <sheetData>
    <row r="1" spans="1:60" x14ac:dyDescent="0.2">
      <c r="B1" s="1" t="s">
        <v>102</v>
      </c>
    </row>
    <row r="2" spans="1:60" x14ac:dyDescent="0.2">
      <c r="A2" s="7" t="s">
        <v>6</v>
      </c>
    </row>
    <row r="3" spans="1:60" s="9" customFormat="1" x14ac:dyDescent="0.2">
      <c r="A3" s="8"/>
      <c r="C3" s="9">
        <v>43099</v>
      </c>
      <c r="D3" s="9">
        <v>43190</v>
      </c>
      <c r="E3" s="9">
        <v>43281</v>
      </c>
      <c r="F3" s="9">
        <f>+G3-91</f>
        <v>43373</v>
      </c>
      <c r="G3" s="9">
        <f>+H3-91</f>
        <v>43464</v>
      </c>
      <c r="H3" s="9">
        <f>+I3-91</f>
        <v>43555</v>
      </c>
      <c r="I3" s="9">
        <f>+J3-91</f>
        <v>43646</v>
      </c>
      <c r="J3" s="9">
        <f>+K3-90</f>
        <v>43737</v>
      </c>
      <c r="K3" s="9">
        <v>43827</v>
      </c>
      <c r="L3" s="9">
        <v>43918</v>
      </c>
      <c r="M3" s="9">
        <v>44009</v>
      </c>
      <c r="N3" s="9">
        <v>44100</v>
      </c>
      <c r="O3" s="9">
        <v>44191</v>
      </c>
      <c r="P3" s="9">
        <v>44282</v>
      </c>
      <c r="Q3" s="9">
        <v>44373</v>
      </c>
      <c r="R3" s="9">
        <v>44464</v>
      </c>
      <c r="S3" s="9">
        <v>44555</v>
      </c>
      <c r="T3" s="9">
        <v>44646</v>
      </c>
      <c r="U3" s="9">
        <v>44737</v>
      </c>
      <c r="V3" s="9">
        <f>+R3+364</f>
        <v>44828</v>
      </c>
      <c r="W3" s="9">
        <f>+S3+371</f>
        <v>44926</v>
      </c>
      <c r="X3" s="9">
        <f>+T3+371</f>
        <v>45017</v>
      </c>
      <c r="Y3" s="9">
        <f>+U3+371</f>
        <v>45108</v>
      </c>
      <c r="Z3" s="9">
        <f>+V3+370</f>
        <v>45198</v>
      </c>
    </row>
    <row r="4" spans="1:60" s="3" customFormat="1" x14ac:dyDescent="0.2">
      <c r="C4" s="3" t="s">
        <v>73</v>
      </c>
      <c r="D4" s="3" t="s">
        <v>74</v>
      </c>
      <c r="E4" s="3" t="s">
        <v>75</v>
      </c>
      <c r="F4" s="3" t="s">
        <v>76</v>
      </c>
      <c r="G4" s="3" t="s">
        <v>77</v>
      </c>
      <c r="H4" s="3" t="s">
        <v>78</v>
      </c>
      <c r="I4" s="3" t="s">
        <v>79</v>
      </c>
      <c r="J4" s="3" t="s">
        <v>81</v>
      </c>
      <c r="K4" s="3" t="s">
        <v>82</v>
      </c>
      <c r="L4" s="3" t="s">
        <v>83</v>
      </c>
      <c r="M4" s="3" t="s">
        <v>84</v>
      </c>
      <c r="N4" s="3" t="s">
        <v>80</v>
      </c>
      <c r="O4" s="3" t="s">
        <v>85</v>
      </c>
      <c r="P4" s="3" t="s">
        <v>86</v>
      </c>
      <c r="Q4" s="3" t="s">
        <v>87</v>
      </c>
      <c r="R4" s="3" t="s">
        <v>88</v>
      </c>
      <c r="S4" s="3" t="s">
        <v>89</v>
      </c>
      <c r="T4" s="3" t="s">
        <v>90</v>
      </c>
      <c r="U4" s="3" t="s">
        <v>91</v>
      </c>
      <c r="V4" s="3" t="s">
        <v>72</v>
      </c>
      <c r="W4" s="3" t="s">
        <v>71</v>
      </c>
      <c r="X4" s="3" t="s">
        <v>94</v>
      </c>
      <c r="Y4" s="3" t="s">
        <v>95</v>
      </c>
      <c r="Z4" s="3" t="s">
        <v>96</v>
      </c>
      <c r="AH4" s="3" t="s">
        <v>57</v>
      </c>
      <c r="AI4" s="3" t="s">
        <v>56</v>
      </c>
      <c r="AJ4" s="3" t="s">
        <v>55</v>
      </c>
      <c r="AK4" s="3" t="s">
        <v>97</v>
      </c>
      <c r="AL4" s="3" t="s">
        <v>98</v>
      </c>
      <c r="AM4" s="3" t="s">
        <v>99</v>
      </c>
      <c r="AN4" s="3" t="s">
        <v>100</v>
      </c>
      <c r="AO4" s="3" t="s">
        <v>26</v>
      </c>
      <c r="AP4" s="3" t="s">
        <v>92</v>
      </c>
      <c r="AQ4" s="3" t="s">
        <v>93</v>
      </c>
      <c r="AR4" s="3" t="s">
        <v>27</v>
      </c>
      <c r="AS4" s="3" t="s">
        <v>28</v>
      </c>
      <c r="AT4" s="3" t="s">
        <v>29</v>
      </c>
      <c r="AU4" s="3" t="s">
        <v>30</v>
      </c>
      <c r="AV4" s="3" t="s">
        <v>31</v>
      </c>
      <c r="AW4" s="3" t="s">
        <v>32</v>
      </c>
      <c r="AX4" s="3" t="s">
        <v>33</v>
      </c>
      <c r="AY4" s="3" t="s">
        <v>34</v>
      </c>
      <c r="AZ4" s="3" t="s">
        <v>35</v>
      </c>
      <c r="BA4" s="3" t="s">
        <v>36</v>
      </c>
      <c r="BB4" s="3" t="s">
        <v>37</v>
      </c>
      <c r="BC4" s="3" t="s">
        <v>38</v>
      </c>
      <c r="BD4" s="3" t="s">
        <v>39</v>
      </c>
      <c r="BE4" s="3" t="s">
        <v>40</v>
      </c>
      <c r="BF4" s="3" t="s">
        <v>41</v>
      </c>
      <c r="BG4" s="3" t="s">
        <v>42</v>
      </c>
      <c r="BH4" s="3" t="s">
        <v>43</v>
      </c>
    </row>
    <row r="5" spans="1:60" s="10" customFormat="1" x14ac:dyDescent="0.2">
      <c r="B5" s="2" t="s">
        <v>20</v>
      </c>
      <c r="C5" s="10">
        <v>61576</v>
      </c>
      <c r="D5" s="10">
        <v>38032</v>
      </c>
      <c r="E5" s="10">
        <v>29906</v>
      </c>
      <c r="F5" s="10">
        <f>166699-E5-D5-C5</f>
        <v>37185</v>
      </c>
      <c r="K5" s="10">
        <v>55957</v>
      </c>
      <c r="L5" s="10">
        <v>28962</v>
      </c>
      <c r="M5" s="10">
        <v>26418</v>
      </c>
      <c r="N5" s="10">
        <v>26444</v>
      </c>
      <c r="O5" s="10">
        <v>65597</v>
      </c>
      <c r="P5" s="10">
        <v>47938</v>
      </c>
      <c r="Q5" s="10">
        <v>39570</v>
      </c>
      <c r="R5" s="10">
        <v>38868</v>
      </c>
      <c r="S5" s="10">
        <v>71628</v>
      </c>
      <c r="T5" s="10">
        <v>50570</v>
      </c>
      <c r="U5" s="10">
        <v>40665</v>
      </c>
      <c r="V5" s="10">
        <f>AP5-U5-T5-S5</f>
        <v>42626</v>
      </c>
      <c r="W5" s="10">
        <v>65775</v>
      </c>
      <c r="X5" s="10">
        <v>51334</v>
      </c>
      <c r="Y5" s="10">
        <v>39669</v>
      </c>
      <c r="Z5" s="10">
        <f>AQ5-Y5-X5-W5</f>
        <v>43805</v>
      </c>
      <c r="AJ5" s="10">
        <v>136700</v>
      </c>
      <c r="AK5" s="10">
        <v>141319</v>
      </c>
      <c r="AL5" s="10">
        <v>164888</v>
      </c>
      <c r="AM5" s="10">
        <v>142381</v>
      </c>
      <c r="AN5" s="10">
        <f>SUM(K5:N5)</f>
        <v>137781</v>
      </c>
      <c r="AO5" s="10">
        <f>SUM(O5:R5)</f>
        <v>191973</v>
      </c>
      <c r="AP5" s="10">
        <v>205489</v>
      </c>
      <c r="AQ5" s="10">
        <v>200583</v>
      </c>
      <c r="AR5" s="10">
        <f t="shared" ref="AR5:BH5" si="0">+AR6*AR7/1000</f>
        <v>0</v>
      </c>
      <c r="AS5" s="10">
        <f t="shared" si="0"/>
        <v>0</v>
      </c>
      <c r="AT5" s="10">
        <f t="shared" si="0"/>
        <v>0</v>
      </c>
      <c r="AU5" s="10">
        <f t="shared" si="0"/>
        <v>0</v>
      </c>
      <c r="AV5" s="10">
        <f t="shared" si="0"/>
        <v>0</v>
      </c>
      <c r="AW5" s="10">
        <f t="shared" si="0"/>
        <v>0</v>
      </c>
      <c r="AX5" s="10">
        <f t="shared" si="0"/>
        <v>0</v>
      </c>
      <c r="AY5" s="10">
        <f t="shared" si="0"/>
        <v>0</v>
      </c>
      <c r="AZ5" s="10">
        <f t="shared" si="0"/>
        <v>0</v>
      </c>
      <c r="BA5" s="10">
        <f t="shared" si="0"/>
        <v>0</v>
      </c>
      <c r="BB5" s="10">
        <f t="shared" si="0"/>
        <v>0</v>
      </c>
      <c r="BC5" s="10">
        <f t="shared" si="0"/>
        <v>0</v>
      </c>
      <c r="BD5" s="10">
        <f t="shared" si="0"/>
        <v>0</v>
      </c>
      <c r="BE5" s="10">
        <f t="shared" si="0"/>
        <v>0</v>
      </c>
      <c r="BF5" s="10">
        <f t="shared" si="0"/>
        <v>0</v>
      </c>
      <c r="BG5" s="10">
        <f t="shared" si="0"/>
        <v>0</v>
      </c>
      <c r="BH5" s="10">
        <f t="shared" si="0"/>
        <v>0</v>
      </c>
    </row>
    <row r="6" spans="1:60" s="10" customFormat="1" x14ac:dyDescent="0.2">
      <c r="B6" s="2" t="s">
        <v>52</v>
      </c>
      <c r="C6" s="10">
        <v>77316</v>
      </c>
      <c r="D6" s="10">
        <v>52217</v>
      </c>
      <c r="E6" s="10">
        <v>41300</v>
      </c>
      <c r="F6" s="10">
        <f>217722-E6-D6-C6</f>
        <v>46889</v>
      </c>
      <c r="G6" s="10">
        <v>68400</v>
      </c>
      <c r="H6" s="10">
        <v>36400</v>
      </c>
      <c r="I6" s="10">
        <v>33800</v>
      </c>
      <c r="J6" s="10">
        <v>46600</v>
      </c>
      <c r="K6" s="10">
        <v>73800</v>
      </c>
      <c r="L6" s="10">
        <v>36700</v>
      </c>
      <c r="M6" s="10">
        <v>37600</v>
      </c>
      <c r="N6" s="10">
        <v>41700</v>
      </c>
      <c r="O6" s="10">
        <f>O5/O7*1000</f>
        <v>75139.747995418104</v>
      </c>
      <c r="P6" s="10">
        <f t="shared" ref="P6:U6" si="1">P5/P7*1000</f>
        <v>56597.402597402601</v>
      </c>
      <c r="Q6" s="10">
        <f t="shared" si="1"/>
        <v>45535.097813578832</v>
      </c>
      <c r="R6" s="10">
        <f t="shared" si="1"/>
        <v>44934.10404624277</v>
      </c>
      <c r="S6" s="10">
        <f t="shared" si="1"/>
        <v>75477.344573234994</v>
      </c>
      <c r="T6" s="10">
        <f t="shared" si="1"/>
        <v>57335.600907029482</v>
      </c>
      <c r="U6" s="10">
        <f t="shared" si="1"/>
        <v>42625.786163522018</v>
      </c>
      <c r="V6" s="10">
        <f t="shared" ref="V6" si="2">V5/V7*1000</f>
        <v>44541.274817136888</v>
      </c>
      <c r="W6" s="10">
        <f t="shared" ref="W6" si="3">W5/W7*1000</f>
        <v>67669.753086419747</v>
      </c>
      <c r="X6" s="10">
        <f t="shared" ref="X6" si="4">X5/X7*1000</f>
        <v>51957.48987854251</v>
      </c>
      <c r="AL6" s="10">
        <f>SUM(C6:F6)</f>
        <v>217722</v>
      </c>
      <c r="AM6" s="10">
        <f>SUM(G6:J6)</f>
        <v>185200</v>
      </c>
      <c r="AN6" s="10">
        <f>SUM(K6:N6)</f>
        <v>189800</v>
      </c>
      <c r="AO6" s="10">
        <f>SUM(O6:R6)</f>
        <v>222206.35245264234</v>
      </c>
      <c r="AP6" s="10">
        <f>SUM(S6:V6)</f>
        <v>219980.00646092341</v>
      </c>
      <c r="AQ6" s="10">
        <f>SUM(W6:Z6)</f>
        <v>119627.24296496226</v>
      </c>
      <c r="AR6" s="10">
        <f t="shared" ref="AR6:BH6" si="5">+AQ6*1.01</f>
        <v>120823.5153946119</v>
      </c>
      <c r="AS6" s="10">
        <f t="shared" si="5"/>
        <v>122031.75054855802</v>
      </c>
      <c r="AT6" s="10">
        <f t="shared" si="5"/>
        <v>123252.0680540436</v>
      </c>
      <c r="AU6" s="10">
        <f t="shared" si="5"/>
        <v>124484.58873458403</v>
      </c>
      <c r="AV6" s="10">
        <f t="shared" si="5"/>
        <v>125729.43462192987</v>
      </c>
      <c r="AW6" s="10">
        <f t="shared" si="5"/>
        <v>126986.72896814918</v>
      </c>
      <c r="AX6" s="10">
        <f t="shared" si="5"/>
        <v>128256.59625783068</v>
      </c>
      <c r="AY6" s="10">
        <f t="shared" si="5"/>
        <v>129539.16222040898</v>
      </c>
      <c r="AZ6" s="10">
        <f t="shared" si="5"/>
        <v>130834.55384261307</v>
      </c>
      <c r="BA6" s="10">
        <f t="shared" si="5"/>
        <v>132142.8993810392</v>
      </c>
      <c r="BB6" s="10">
        <f t="shared" si="5"/>
        <v>133464.3283748496</v>
      </c>
      <c r="BC6" s="10">
        <f t="shared" si="5"/>
        <v>134798.97165859811</v>
      </c>
      <c r="BD6" s="10">
        <f t="shared" si="5"/>
        <v>136146.9613751841</v>
      </c>
      <c r="BE6" s="10">
        <f t="shared" si="5"/>
        <v>137508.43098893593</v>
      </c>
      <c r="BF6" s="10">
        <f t="shared" si="5"/>
        <v>138883.51529882528</v>
      </c>
      <c r="BG6" s="10">
        <f t="shared" si="5"/>
        <v>140272.35045181355</v>
      </c>
      <c r="BH6" s="10">
        <f t="shared" si="5"/>
        <v>141675.07395633167</v>
      </c>
    </row>
    <row r="7" spans="1:60" s="10" customFormat="1" x14ac:dyDescent="0.2">
      <c r="B7" s="2" t="s">
        <v>53</v>
      </c>
      <c r="C7" s="10">
        <f>+C5*1000/C6</f>
        <v>796.41988721610016</v>
      </c>
      <c r="D7" s="10">
        <f>+D5*1000/D6</f>
        <v>728.34517494302622</v>
      </c>
      <c r="E7" s="10">
        <f>+E5*1000/E6</f>
        <v>724.11622276029061</v>
      </c>
      <c r="F7" s="10">
        <f>+F5*1000/F6</f>
        <v>793.04314444752504</v>
      </c>
      <c r="K7" s="10">
        <f>+K5*1000/K6</f>
        <v>758.22493224932248</v>
      </c>
      <c r="L7" s="10">
        <f t="shared" ref="L7:N7" si="6">+L5*1000/L6</f>
        <v>789.15531335149865</v>
      </c>
      <c r="M7" s="10">
        <f t="shared" si="6"/>
        <v>702.60638297872345</v>
      </c>
      <c r="N7" s="10">
        <f t="shared" si="6"/>
        <v>634.14868105515586</v>
      </c>
      <c r="O7" s="10">
        <v>873</v>
      </c>
      <c r="P7" s="10">
        <v>847</v>
      </c>
      <c r="Q7" s="10">
        <v>869</v>
      </c>
      <c r="R7" s="10">
        <v>865</v>
      </c>
      <c r="S7" s="10">
        <v>949</v>
      </c>
      <c r="T7" s="10">
        <v>882</v>
      </c>
      <c r="U7" s="11">
        <v>954</v>
      </c>
      <c r="V7" s="11">
        <v>957</v>
      </c>
      <c r="W7" s="10">
        <v>972</v>
      </c>
      <c r="X7" s="10">
        <v>988</v>
      </c>
      <c r="AL7" s="10">
        <f>+AL5*1000/AL6</f>
        <v>757.33274542765548</v>
      </c>
      <c r="AM7" s="10">
        <f>+AM5*1000/AM6</f>
        <v>768.79589632829379</v>
      </c>
      <c r="AN7" s="10">
        <f>+AN5*1000/AN6</f>
        <v>725.92729188619603</v>
      </c>
      <c r="AO7" s="10">
        <f>+AO5*1000/AO6</f>
        <v>863.94019739338546</v>
      </c>
      <c r="AP7" s="10">
        <f>+AP5*1000/AP6</f>
        <v>934.12580218512926</v>
      </c>
      <c r="AR7" s="10">
        <f t="shared" ref="AR7:AS7" si="7">+AQ7*1.05</f>
        <v>0</v>
      </c>
      <c r="AS7" s="10">
        <f t="shared" si="7"/>
        <v>0</v>
      </c>
      <c r="AT7" s="10">
        <f>+AS7*1.04</f>
        <v>0</v>
      </c>
      <c r="AU7" s="10">
        <f>+AT7*1.04</f>
        <v>0</v>
      </c>
      <c r="AV7" s="10">
        <f>+AU7*1.04</f>
        <v>0</v>
      </c>
      <c r="AW7" s="10">
        <f>+AV7*1.04</f>
        <v>0</v>
      </c>
      <c r="AX7" s="10">
        <f>+AW7*1.03</f>
        <v>0</v>
      </c>
      <c r="AY7" s="10">
        <f>+AX7*1.03</f>
        <v>0</v>
      </c>
      <c r="AZ7" s="10">
        <f t="shared" ref="AZ7:BA7" si="8">+AY7*1.03</f>
        <v>0</v>
      </c>
      <c r="BA7" s="10">
        <f t="shared" si="8"/>
        <v>0</v>
      </c>
      <c r="BB7" s="10">
        <f>+BA7*1.02</f>
        <v>0</v>
      </c>
      <c r="BC7" s="10">
        <f t="shared" ref="BC7:BH7" si="9">+BB7*1.02</f>
        <v>0</v>
      </c>
      <c r="BD7" s="10">
        <f t="shared" si="9"/>
        <v>0</v>
      </c>
      <c r="BE7" s="10">
        <f t="shared" si="9"/>
        <v>0</v>
      </c>
      <c r="BF7" s="10">
        <f t="shared" si="9"/>
        <v>0</v>
      </c>
      <c r="BG7" s="10">
        <f t="shared" si="9"/>
        <v>0</v>
      </c>
      <c r="BH7" s="10">
        <f t="shared" si="9"/>
        <v>0</v>
      </c>
    </row>
    <row r="8" spans="1:60" s="10" customFormat="1" x14ac:dyDescent="0.2">
      <c r="B8" s="2"/>
    </row>
    <row r="9" spans="1:60" s="10" customFormat="1" x14ac:dyDescent="0.2">
      <c r="B9" s="2" t="s">
        <v>21</v>
      </c>
      <c r="C9" s="10">
        <v>6895</v>
      </c>
      <c r="D9" s="10">
        <v>5848</v>
      </c>
      <c r="E9" s="10">
        <v>5330</v>
      </c>
      <c r="F9" s="10">
        <f>25484-E9-D9-C9</f>
        <v>7411</v>
      </c>
      <c r="K9" s="10">
        <v>7160</v>
      </c>
      <c r="L9" s="10">
        <v>5351</v>
      </c>
      <c r="M9" s="10">
        <v>7079</v>
      </c>
      <c r="N9" s="10">
        <v>9032</v>
      </c>
      <c r="O9" s="10">
        <v>8675</v>
      </c>
      <c r="P9" s="10">
        <v>9102</v>
      </c>
      <c r="Q9" s="10">
        <v>8235</v>
      </c>
      <c r="R9" s="10">
        <v>9178</v>
      </c>
      <c r="S9" s="10">
        <v>10852</v>
      </c>
      <c r="T9" s="10">
        <v>10435</v>
      </c>
      <c r="U9" s="10">
        <v>7382</v>
      </c>
      <c r="V9" s="10">
        <f>AP9-U9-T9-S9</f>
        <v>11508</v>
      </c>
      <c r="W9" s="10">
        <v>7735</v>
      </c>
      <c r="X9" s="10">
        <v>7168</v>
      </c>
      <c r="Y9" s="10">
        <v>6840</v>
      </c>
      <c r="Z9" s="10">
        <f>AQ9-Y9-X9-W9</f>
        <v>7614</v>
      </c>
      <c r="AJ9" s="10">
        <v>22831</v>
      </c>
      <c r="AK9" s="10">
        <v>25850</v>
      </c>
      <c r="AL9" s="10">
        <v>25198</v>
      </c>
      <c r="AM9" s="10">
        <v>25740</v>
      </c>
      <c r="AN9" s="10">
        <f t="shared" ref="AN9:AN10" si="10">SUM(K9:N9)</f>
        <v>28622</v>
      </c>
      <c r="AO9" s="10">
        <f t="shared" ref="AO9:AO10" si="11">SUM(O9:R9)</f>
        <v>35190</v>
      </c>
      <c r="AP9" s="10">
        <v>40177</v>
      </c>
      <c r="AQ9" s="10">
        <v>29357</v>
      </c>
      <c r="AR9" s="10">
        <f t="shared" ref="AR9:AW9" si="12">+AQ9*1.07</f>
        <v>31411.99</v>
      </c>
      <c r="AS9" s="10">
        <f t="shared" si="12"/>
        <v>33610.829300000005</v>
      </c>
      <c r="AT9" s="10">
        <f t="shared" si="12"/>
        <v>35963.587351000009</v>
      </c>
      <c r="AU9" s="10">
        <f t="shared" si="12"/>
        <v>38481.038465570011</v>
      </c>
      <c r="AV9" s="10">
        <f t="shared" si="12"/>
        <v>41174.711158159917</v>
      </c>
      <c r="AW9" s="10">
        <f t="shared" si="12"/>
        <v>44056.940939231114</v>
      </c>
      <c r="AX9" s="10">
        <f>+AW9*1.06</f>
        <v>46700.357395584986</v>
      </c>
      <c r="AY9" s="10">
        <f t="shared" ref="AY9:BB9" si="13">+AX9*1.06</f>
        <v>49502.378839320088</v>
      </c>
      <c r="AZ9" s="10">
        <f t="shared" si="13"/>
        <v>52472.521569679295</v>
      </c>
      <c r="BA9" s="10">
        <f t="shared" si="13"/>
        <v>55620.872863860059</v>
      </c>
      <c r="BB9" s="10">
        <f t="shared" si="13"/>
        <v>58958.125235691667</v>
      </c>
      <c r="BC9" s="10">
        <f>+BB9*1.05</f>
        <v>61906.031497476251</v>
      </c>
      <c r="BD9" s="10">
        <f t="shared" ref="BD9:BH9" si="14">+BC9*1.05</f>
        <v>65001.333072350069</v>
      </c>
      <c r="BE9" s="10">
        <f t="shared" si="14"/>
        <v>68251.399725967582</v>
      </c>
      <c r="BF9" s="10">
        <f t="shared" si="14"/>
        <v>71663.969712265971</v>
      </c>
      <c r="BG9" s="10">
        <f t="shared" si="14"/>
        <v>75247.168197879277</v>
      </c>
      <c r="BH9" s="10">
        <f t="shared" si="14"/>
        <v>79009.526607773238</v>
      </c>
    </row>
    <row r="10" spans="1:60" s="10" customFormat="1" x14ac:dyDescent="0.2">
      <c r="B10" s="2" t="s">
        <v>22</v>
      </c>
      <c r="C10" s="10">
        <v>5862</v>
      </c>
      <c r="D10" s="10">
        <v>4113</v>
      </c>
      <c r="E10" s="10">
        <v>4741</v>
      </c>
      <c r="F10" s="10">
        <f>18805-E10-D10-C10</f>
        <v>4089</v>
      </c>
      <c r="K10" s="10">
        <v>5977</v>
      </c>
      <c r="L10" s="10">
        <v>4368</v>
      </c>
      <c r="M10" s="10">
        <v>6582</v>
      </c>
      <c r="N10" s="10">
        <v>6797</v>
      </c>
      <c r="O10" s="10">
        <v>8435</v>
      </c>
      <c r="P10" s="10">
        <v>7807</v>
      </c>
      <c r="Q10" s="10">
        <v>7368</v>
      </c>
      <c r="R10" s="10">
        <v>8252</v>
      </c>
      <c r="S10" s="10">
        <v>7248</v>
      </c>
      <c r="T10" s="10">
        <v>7646</v>
      </c>
      <c r="U10" s="10">
        <v>7224</v>
      </c>
      <c r="V10" s="10">
        <f>AP10-U10-T10-S10</f>
        <v>7174</v>
      </c>
      <c r="W10" s="10">
        <v>9396</v>
      </c>
      <c r="X10" s="10">
        <v>6670</v>
      </c>
      <c r="Y10" s="10">
        <v>5791</v>
      </c>
      <c r="Z10" s="10">
        <f t="shared" ref="Z10:Z11" si="15">AQ10-Y10-X10-W10</f>
        <v>6443</v>
      </c>
      <c r="AJ10" s="10">
        <v>20628</v>
      </c>
      <c r="AK10" s="10">
        <v>19222</v>
      </c>
      <c r="AL10" s="10">
        <v>18380</v>
      </c>
      <c r="AM10" s="10">
        <v>21280</v>
      </c>
      <c r="AN10" s="10">
        <f t="shared" si="10"/>
        <v>23724</v>
      </c>
      <c r="AO10" s="10">
        <f t="shared" si="11"/>
        <v>31862</v>
      </c>
      <c r="AP10" s="10">
        <v>29292</v>
      </c>
      <c r="AQ10" s="10">
        <v>28300</v>
      </c>
      <c r="AR10" s="10">
        <f t="shared" ref="AR10:BH10" si="16">+AQ10*1.04</f>
        <v>29432</v>
      </c>
      <c r="AS10" s="10">
        <f t="shared" si="16"/>
        <v>30609.280000000002</v>
      </c>
      <c r="AT10" s="10">
        <f t="shared" si="16"/>
        <v>31833.651200000004</v>
      </c>
      <c r="AU10" s="10">
        <f t="shared" si="16"/>
        <v>33106.997248000007</v>
      </c>
      <c r="AV10" s="10">
        <f t="shared" si="16"/>
        <v>34431.277137920006</v>
      </c>
      <c r="AW10" s="10">
        <f t="shared" si="16"/>
        <v>35808.528223436806</v>
      </c>
      <c r="AX10" s="10">
        <f t="shared" si="16"/>
        <v>37240.869352374277</v>
      </c>
      <c r="AY10" s="10">
        <f t="shared" si="16"/>
        <v>38730.504126469248</v>
      </c>
      <c r="AZ10" s="10">
        <f t="shared" si="16"/>
        <v>40279.724291528022</v>
      </c>
      <c r="BA10" s="10">
        <f t="shared" si="16"/>
        <v>41890.913263189148</v>
      </c>
      <c r="BB10" s="10">
        <f t="shared" si="16"/>
        <v>43566.549793716717</v>
      </c>
      <c r="BC10" s="10">
        <f t="shared" si="16"/>
        <v>45309.211785465384</v>
      </c>
      <c r="BD10" s="10">
        <f t="shared" si="16"/>
        <v>47121.580256884001</v>
      </c>
      <c r="BE10" s="10">
        <f t="shared" si="16"/>
        <v>49006.443467159363</v>
      </c>
      <c r="BF10" s="10">
        <f t="shared" si="16"/>
        <v>50966.70120584574</v>
      </c>
      <c r="BG10" s="10">
        <f t="shared" si="16"/>
        <v>53005.369254079575</v>
      </c>
      <c r="BH10" s="10">
        <f t="shared" si="16"/>
        <v>55125.584024242758</v>
      </c>
    </row>
    <row r="11" spans="1:60" s="10" customFormat="1" x14ac:dyDescent="0.2">
      <c r="B11" s="2" t="s">
        <v>23</v>
      </c>
      <c r="C11" s="10">
        <v>5489</v>
      </c>
      <c r="D11" s="10">
        <v>3954</v>
      </c>
      <c r="E11" s="10">
        <v>3740</v>
      </c>
      <c r="F11" s="10">
        <f>17417-E11-D11-C11</f>
        <v>4234</v>
      </c>
      <c r="K11" s="10">
        <v>10010</v>
      </c>
      <c r="L11" s="10">
        <v>6284</v>
      </c>
      <c r="M11" s="10">
        <v>6450</v>
      </c>
      <c r="N11" s="10">
        <v>7876</v>
      </c>
      <c r="O11" s="10">
        <v>12971</v>
      </c>
      <c r="P11" s="10">
        <v>7836</v>
      </c>
      <c r="Q11" s="10">
        <v>8775</v>
      </c>
      <c r="R11" s="10">
        <v>8785</v>
      </c>
      <c r="S11" s="10">
        <v>14701</v>
      </c>
      <c r="T11" s="10">
        <v>8806</v>
      </c>
      <c r="U11" s="10">
        <v>8084</v>
      </c>
      <c r="V11" s="10">
        <f>AP11-U11-T11-S11</f>
        <v>9650</v>
      </c>
      <c r="W11" s="10">
        <v>13482</v>
      </c>
      <c r="X11" s="10">
        <v>8757</v>
      </c>
      <c r="Y11" s="10">
        <v>8284</v>
      </c>
      <c r="Z11" s="10">
        <f t="shared" si="15"/>
        <v>9322</v>
      </c>
      <c r="AJ11" s="10">
        <v>11132</v>
      </c>
      <c r="AK11" s="10">
        <v>12863</v>
      </c>
      <c r="AL11" s="10">
        <v>17381</v>
      </c>
      <c r="AM11" s="10">
        <v>24482</v>
      </c>
      <c r="AN11" s="10">
        <f t="shared" ref="AN11" si="17">SUM(K11:N11)</f>
        <v>30620</v>
      </c>
      <c r="AO11" s="10">
        <f t="shared" ref="AO11" si="18">SUM(O11:R11)</f>
        <v>38367</v>
      </c>
      <c r="AP11" s="10">
        <v>41241</v>
      </c>
      <c r="AQ11" s="10">
        <v>39845</v>
      </c>
      <c r="AR11" s="10">
        <f t="shared" ref="AR11:BH11" si="19">+AQ11*1.04</f>
        <v>41438.800000000003</v>
      </c>
      <c r="AS11" s="10">
        <f t="shared" si="19"/>
        <v>43096.352000000006</v>
      </c>
      <c r="AT11" s="10">
        <f t="shared" si="19"/>
        <v>44820.206080000011</v>
      </c>
      <c r="AU11" s="10">
        <f t="shared" si="19"/>
        <v>46613.014323200012</v>
      </c>
      <c r="AV11" s="10">
        <f t="shared" si="19"/>
        <v>48477.534896128011</v>
      </c>
      <c r="AW11" s="10">
        <f t="shared" si="19"/>
        <v>50416.636291973133</v>
      </c>
      <c r="AX11" s="10">
        <f t="shared" si="19"/>
        <v>52433.30174365206</v>
      </c>
      <c r="AY11" s="10">
        <f t="shared" si="19"/>
        <v>54530.633813398148</v>
      </c>
      <c r="AZ11" s="10">
        <f t="shared" si="19"/>
        <v>56711.859165934075</v>
      </c>
      <c r="BA11" s="10">
        <f t="shared" si="19"/>
        <v>58980.333532571436</v>
      </c>
      <c r="BB11" s="10">
        <f t="shared" si="19"/>
        <v>61339.546873874293</v>
      </c>
      <c r="BC11" s="10">
        <f t="shared" si="19"/>
        <v>63793.128748829266</v>
      </c>
      <c r="BD11" s="10">
        <f t="shared" si="19"/>
        <v>66344.853898782443</v>
      </c>
      <c r="BE11" s="10">
        <f t="shared" si="19"/>
        <v>68998.648054733741</v>
      </c>
      <c r="BF11" s="10">
        <f t="shared" si="19"/>
        <v>71758.59397692309</v>
      </c>
      <c r="BG11" s="10">
        <f t="shared" si="19"/>
        <v>74628.937736000022</v>
      </c>
      <c r="BH11" s="10">
        <f t="shared" si="19"/>
        <v>77614.095245440025</v>
      </c>
    </row>
    <row r="12" spans="1:60" s="10" customFormat="1" x14ac:dyDescent="0.2">
      <c r="B12" s="2"/>
    </row>
    <row r="13" spans="1:60" s="2" customFormat="1" x14ac:dyDescent="0.2">
      <c r="B13" s="2" t="s">
        <v>64</v>
      </c>
      <c r="C13" s="2">
        <f>SUM(C9:C11)+C5</f>
        <v>79822</v>
      </c>
      <c r="D13" s="2">
        <f>SUM(D9:D11)+D5</f>
        <v>51947</v>
      </c>
      <c r="E13" s="2">
        <f>SUM(E9:E11)+E5</f>
        <v>43717</v>
      </c>
      <c r="F13" s="2">
        <f>SUM(F9:F11)+F5</f>
        <v>52919</v>
      </c>
      <c r="K13" s="2">
        <f>K5+K9+K10+K11</f>
        <v>79104</v>
      </c>
      <c r="L13" s="2">
        <f t="shared" ref="L13:Z13" si="20">L5+L9+L10+L11</f>
        <v>44965</v>
      </c>
      <c r="M13" s="2">
        <f t="shared" si="20"/>
        <v>46529</v>
      </c>
      <c r="N13" s="2">
        <f t="shared" si="20"/>
        <v>50149</v>
      </c>
      <c r="O13" s="2">
        <f t="shared" si="20"/>
        <v>95678</v>
      </c>
      <c r="P13" s="2">
        <f t="shared" si="20"/>
        <v>72683</v>
      </c>
      <c r="Q13" s="2">
        <f t="shared" si="20"/>
        <v>63948</v>
      </c>
      <c r="R13" s="2">
        <f t="shared" si="20"/>
        <v>65083</v>
      </c>
      <c r="S13" s="2">
        <f t="shared" si="20"/>
        <v>104429</v>
      </c>
      <c r="T13" s="2">
        <f t="shared" si="20"/>
        <v>77457</v>
      </c>
      <c r="U13" s="2">
        <f t="shared" si="20"/>
        <v>63355</v>
      </c>
      <c r="V13" s="2">
        <f t="shared" si="20"/>
        <v>70958</v>
      </c>
      <c r="W13" s="2">
        <f t="shared" si="20"/>
        <v>96388</v>
      </c>
      <c r="X13" s="2">
        <f t="shared" si="20"/>
        <v>73929</v>
      </c>
      <c r="Y13" s="2">
        <f t="shared" si="20"/>
        <v>60584</v>
      </c>
      <c r="Z13" s="2">
        <f t="shared" si="20"/>
        <v>67184</v>
      </c>
      <c r="AJ13" s="2">
        <f t="shared" ref="AJ13:AP13" si="21">SUM(AJ9:AJ11)+AJ5</f>
        <v>191291</v>
      </c>
      <c r="AK13" s="2">
        <f t="shared" si="21"/>
        <v>199254</v>
      </c>
      <c r="AL13" s="2">
        <f t="shared" si="21"/>
        <v>225847</v>
      </c>
      <c r="AM13" s="2">
        <f t="shared" si="21"/>
        <v>213883</v>
      </c>
      <c r="AN13" s="2">
        <f t="shared" si="21"/>
        <v>220747</v>
      </c>
      <c r="AO13" s="2">
        <f t="shared" si="21"/>
        <v>297392</v>
      </c>
      <c r="AP13" s="2">
        <f t="shared" si="21"/>
        <v>316199</v>
      </c>
      <c r="AQ13" s="2">
        <f>SUM(AQ9:AQ11)+AQ5</f>
        <v>298085</v>
      </c>
      <c r="AR13" s="2">
        <f t="shared" ref="AR13:BH13" si="22">SUM(AR9:AR11)+AR5</f>
        <v>102282.79000000001</v>
      </c>
      <c r="AS13" s="2">
        <f t="shared" si="22"/>
        <v>107316.46130000002</v>
      </c>
      <c r="AT13" s="2">
        <f t="shared" si="22"/>
        <v>112617.44463100002</v>
      </c>
      <c r="AU13" s="2">
        <f t="shared" si="22"/>
        <v>118201.05003677003</v>
      </c>
      <c r="AV13" s="2">
        <f t="shared" si="22"/>
        <v>124083.52319220793</v>
      </c>
      <c r="AW13" s="2">
        <f t="shared" si="22"/>
        <v>130282.10545464106</v>
      </c>
      <c r="AX13" s="2">
        <f t="shared" si="22"/>
        <v>136374.52849161133</v>
      </c>
      <c r="AY13" s="2">
        <f t="shared" si="22"/>
        <v>142763.51677918748</v>
      </c>
      <c r="AZ13" s="2">
        <f t="shared" si="22"/>
        <v>149464.1050271414</v>
      </c>
      <c r="BA13" s="2">
        <f t="shared" si="22"/>
        <v>156492.11965962066</v>
      </c>
      <c r="BB13" s="2">
        <f t="shared" si="22"/>
        <v>163864.22190328268</v>
      </c>
      <c r="BC13" s="2">
        <f t="shared" si="22"/>
        <v>171008.37203177091</v>
      </c>
      <c r="BD13" s="2">
        <f t="shared" si="22"/>
        <v>178467.76722801651</v>
      </c>
      <c r="BE13" s="2">
        <f t="shared" si="22"/>
        <v>186256.49124786069</v>
      </c>
      <c r="BF13" s="2">
        <f t="shared" si="22"/>
        <v>194389.26489503481</v>
      </c>
      <c r="BG13" s="2">
        <f t="shared" si="22"/>
        <v>202881.47518795886</v>
      </c>
      <c r="BH13" s="2">
        <f t="shared" si="22"/>
        <v>211749.20587745603</v>
      </c>
    </row>
    <row r="14" spans="1:60" s="2" customFormat="1" x14ac:dyDescent="0.2">
      <c r="B14" s="2" t="s">
        <v>66</v>
      </c>
      <c r="C14" s="2">
        <v>8471</v>
      </c>
      <c r="D14" s="2">
        <v>9190</v>
      </c>
      <c r="E14" s="2">
        <v>9548</v>
      </c>
      <c r="F14" s="2">
        <f>37190-E14-D14-C14</f>
        <v>9981</v>
      </c>
      <c r="K14" s="2">
        <v>12715</v>
      </c>
      <c r="L14" s="2">
        <v>13348</v>
      </c>
      <c r="M14" s="2">
        <v>13156</v>
      </c>
      <c r="N14" s="2">
        <v>14549</v>
      </c>
      <c r="O14" s="2">
        <v>15761</v>
      </c>
      <c r="P14" s="2">
        <v>16901</v>
      </c>
      <c r="Q14" s="2">
        <v>17486</v>
      </c>
      <c r="R14" s="2">
        <v>18277</v>
      </c>
      <c r="S14" s="2">
        <v>19516</v>
      </c>
      <c r="T14" s="2">
        <v>19821</v>
      </c>
      <c r="U14" s="2">
        <v>19604</v>
      </c>
      <c r="V14" s="10">
        <f>AP14-U14-T14-S14</f>
        <v>19188</v>
      </c>
      <c r="W14" s="2">
        <v>20766</v>
      </c>
      <c r="X14" s="2">
        <v>20970</v>
      </c>
      <c r="Y14" s="2">
        <v>21213</v>
      </c>
      <c r="Z14" s="10">
        <f>AQ14-Y14-X14-W14</f>
        <v>22251</v>
      </c>
      <c r="AJ14" s="2">
        <v>24348</v>
      </c>
      <c r="AK14" s="2">
        <v>29980</v>
      </c>
      <c r="AL14" s="10">
        <v>39748</v>
      </c>
      <c r="AM14" s="10">
        <v>46291</v>
      </c>
      <c r="AN14" s="10">
        <f>SUM(K14:N14)</f>
        <v>53768</v>
      </c>
      <c r="AO14" s="10">
        <f t="shared" ref="AO14" si="23">SUM(O14:R14)</f>
        <v>68425</v>
      </c>
      <c r="AP14" s="10">
        <v>78129</v>
      </c>
      <c r="AQ14" s="10">
        <v>85200</v>
      </c>
      <c r="AR14" s="10">
        <f>+AQ14*1.15</f>
        <v>97979.999999999985</v>
      </c>
      <c r="AS14" s="10">
        <f>+AR14*1.15</f>
        <v>112676.99999999997</v>
      </c>
      <c r="AT14" s="10">
        <f>+AS14*1.1</f>
        <v>123944.69999999998</v>
      </c>
      <c r="AU14" s="10">
        <f>+AT14*1.1</f>
        <v>136339.16999999998</v>
      </c>
      <c r="AV14" s="10">
        <f>+AU14*1.1</f>
        <v>149973.087</v>
      </c>
      <c r="AW14" s="10">
        <f>+AV14*1.05</f>
        <v>157471.74135</v>
      </c>
      <c r="AX14" s="10">
        <f t="shared" ref="AX14:BH14" si="24">+AW14*1.05</f>
        <v>165345.32841750002</v>
      </c>
      <c r="AY14" s="10">
        <f t="shared" si="24"/>
        <v>173612.59483837502</v>
      </c>
      <c r="AZ14" s="10">
        <f t="shared" si="24"/>
        <v>182293.22458029378</v>
      </c>
      <c r="BA14" s="10">
        <f t="shared" si="24"/>
        <v>191407.88580930847</v>
      </c>
      <c r="BB14" s="10">
        <f t="shared" si="24"/>
        <v>200978.2800997739</v>
      </c>
      <c r="BC14" s="10">
        <f t="shared" si="24"/>
        <v>211027.1941047626</v>
      </c>
      <c r="BD14" s="10">
        <f t="shared" si="24"/>
        <v>221578.55381000074</v>
      </c>
      <c r="BE14" s="10">
        <f t="shared" si="24"/>
        <v>232657.48150050078</v>
      </c>
      <c r="BF14" s="10">
        <f t="shared" si="24"/>
        <v>244290.35557552584</v>
      </c>
      <c r="BG14" s="10">
        <f t="shared" si="24"/>
        <v>256504.87335430214</v>
      </c>
      <c r="BH14" s="10">
        <f t="shared" si="24"/>
        <v>269330.11702201725</v>
      </c>
    </row>
    <row r="15" spans="1:60" s="12" customFormat="1" x14ac:dyDescent="0.2">
      <c r="B15" s="12" t="s">
        <v>7</v>
      </c>
      <c r="C15" s="12">
        <f t="shared" ref="C15:F15" si="25">+C13+C14</f>
        <v>88293</v>
      </c>
      <c r="D15" s="12">
        <f t="shared" si="25"/>
        <v>61137</v>
      </c>
      <c r="E15" s="12">
        <f t="shared" si="25"/>
        <v>53265</v>
      </c>
      <c r="F15" s="12">
        <f t="shared" si="25"/>
        <v>62900</v>
      </c>
      <c r="K15" s="12">
        <f t="shared" ref="K15:N15" si="26">+K13+K14</f>
        <v>91819</v>
      </c>
      <c r="L15" s="12">
        <f t="shared" si="26"/>
        <v>58313</v>
      </c>
      <c r="M15" s="12">
        <f t="shared" si="26"/>
        <v>59685</v>
      </c>
      <c r="N15" s="12">
        <f t="shared" si="26"/>
        <v>64698</v>
      </c>
      <c r="O15" s="12">
        <f>+O13+O14</f>
        <v>111439</v>
      </c>
      <c r="P15" s="12">
        <f>+P13+P14</f>
        <v>89584</v>
      </c>
      <c r="Q15" s="12">
        <f>+Q13+Q14</f>
        <v>81434</v>
      </c>
      <c r="R15" s="12">
        <f t="shared" ref="R15" si="27">+R13+R14</f>
        <v>83360</v>
      </c>
      <c r="S15" s="12">
        <f t="shared" ref="S15" si="28">+S13+S14</f>
        <v>123945</v>
      </c>
      <c r="T15" s="12">
        <f>+T13+T14</f>
        <v>97278</v>
      </c>
      <c r="U15" s="12">
        <f t="shared" ref="U15:Z15" si="29">+U13+U14</f>
        <v>82959</v>
      </c>
      <c r="V15" s="12">
        <f t="shared" si="29"/>
        <v>90146</v>
      </c>
      <c r="W15" s="12">
        <f t="shared" si="29"/>
        <v>117154</v>
      </c>
      <c r="X15" s="12">
        <f t="shared" si="29"/>
        <v>94899</v>
      </c>
      <c r="Y15" s="12">
        <f t="shared" si="29"/>
        <v>81797</v>
      </c>
      <c r="Z15" s="12">
        <f t="shared" si="29"/>
        <v>89435</v>
      </c>
      <c r="AH15" s="12">
        <v>182795</v>
      </c>
      <c r="AI15" s="12">
        <v>233715</v>
      </c>
      <c r="AJ15" s="12">
        <f t="shared" ref="AJ15:AM15" si="30">+AJ13+AJ14</f>
        <v>215639</v>
      </c>
      <c r="AK15" s="12">
        <f t="shared" si="30"/>
        <v>229234</v>
      </c>
      <c r="AL15" s="12">
        <f t="shared" si="30"/>
        <v>265595</v>
      </c>
      <c r="AM15" s="12">
        <f t="shared" si="30"/>
        <v>260174</v>
      </c>
      <c r="AN15" s="12">
        <f>+AN13+AN14</f>
        <v>274515</v>
      </c>
      <c r="AO15" s="12">
        <f>+AO13+AO14</f>
        <v>365817</v>
      </c>
      <c r="AP15" s="12">
        <f>+AP13+AP14</f>
        <v>394328</v>
      </c>
      <c r="AQ15" s="12">
        <f>+AQ13+AQ14</f>
        <v>383285</v>
      </c>
      <c r="AR15" s="12">
        <f t="shared" ref="AR15:BH15" si="31">+AR13+AR14</f>
        <v>200262.78999999998</v>
      </c>
      <c r="AS15" s="12">
        <f t="shared" si="31"/>
        <v>219993.4613</v>
      </c>
      <c r="AT15" s="12">
        <f t="shared" si="31"/>
        <v>236562.144631</v>
      </c>
      <c r="AU15" s="12">
        <f t="shared" si="31"/>
        <v>254540.22003677001</v>
      </c>
      <c r="AV15" s="12">
        <f t="shared" si="31"/>
        <v>274056.61019220791</v>
      </c>
      <c r="AW15" s="12">
        <f t="shared" si="31"/>
        <v>287753.84680464107</v>
      </c>
      <c r="AX15" s="12">
        <f t="shared" si="31"/>
        <v>301719.85690911137</v>
      </c>
      <c r="AY15" s="12">
        <f t="shared" si="31"/>
        <v>316376.11161756248</v>
      </c>
      <c r="AZ15" s="12">
        <f t="shared" si="31"/>
        <v>331757.32960743515</v>
      </c>
      <c r="BA15" s="12">
        <f t="shared" si="31"/>
        <v>347900.00546892913</v>
      </c>
      <c r="BB15" s="12">
        <f t="shared" si="31"/>
        <v>364842.50200305658</v>
      </c>
      <c r="BC15" s="12">
        <f t="shared" si="31"/>
        <v>382035.56613653351</v>
      </c>
      <c r="BD15" s="12">
        <f t="shared" si="31"/>
        <v>400046.32103801728</v>
      </c>
      <c r="BE15" s="12">
        <f t="shared" si="31"/>
        <v>418913.97274836147</v>
      </c>
      <c r="BF15" s="12">
        <f t="shared" si="31"/>
        <v>438679.62047056062</v>
      </c>
      <c r="BG15" s="12">
        <f t="shared" si="31"/>
        <v>459386.348542261</v>
      </c>
      <c r="BH15" s="12">
        <f t="shared" si="31"/>
        <v>481079.32289947325</v>
      </c>
    </row>
    <row r="16" spans="1:60" s="2" customFormat="1" x14ac:dyDescent="0.2">
      <c r="B16" s="2" t="s">
        <v>63</v>
      </c>
      <c r="K16" s="2">
        <v>52075</v>
      </c>
      <c r="L16" s="2">
        <v>31321</v>
      </c>
      <c r="M16" s="2">
        <v>32693</v>
      </c>
      <c r="N16" s="2">
        <v>35197</v>
      </c>
      <c r="O16" s="2">
        <v>62130</v>
      </c>
      <c r="P16" s="2">
        <v>46447</v>
      </c>
      <c r="Q16" s="2">
        <v>40899</v>
      </c>
      <c r="R16" s="2">
        <v>42790</v>
      </c>
      <c r="S16" s="2">
        <v>64309</v>
      </c>
      <c r="T16" s="2">
        <v>49290</v>
      </c>
      <c r="U16" s="2">
        <v>41485</v>
      </c>
      <c r="AL16" s="10">
        <v>148164</v>
      </c>
      <c r="AM16" s="10">
        <v>144996</v>
      </c>
      <c r="AN16" s="10">
        <f>SUM(K16:N16)</f>
        <v>151286</v>
      </c>
      <c r="AO16" s="10">
        <f t="shared" ref="AO16:AO17" si="32">SUM(O16:R16)</f>
        <v>192266</v>
      </c>
      <c r="AP16" s="10">
        <f t="shared" ref="AP16:AP17" si="33">SUM(S16:V16)</f>
        <v>155084</v>
      </c>
      <c r="AQ16" s="2">
        <v>189282</v>
      </c>
      <c r="AR16" s="2">
        <f t="shared" ref="AR16:BH16" si="34">+AR13*0.64</f>
        <v>65460.985600000007</v>
      </c>
      <c r="AS16" s="2">
        <f t="shared" si="34"/>
        <v>68682.535232000024</v>
      </c>
      <c r="AT16" s="2">
        <f t="shared" si="34"/>
        <v>72075.164563840008</v>
      </c>
      <c r="AU16" s="2">
        <f t="shared" si="34"/>
        <v>75648.672023532825</v>
      </c>
      <c r="AV16" s="2">
        <f t="shared" si="34"/>
        <v>79413.454843013067</v>
      </c>
      <c r="AW16" s="2">
        <f t="shared" si="34"/>
        <v>83380.547490970275</v>
      </c>
      <c r="AX16" s="2">
        <f t="shared" si="34"/>
        <v>87279.698234631258</v>
      </c>
      <c r="AY16" s="2">
        <f t="shared" si="34"/>
        <v>91368.650738679993</v>
      </c>
      <c r="AZ16" s="2">
        <f t="shared" si="34"/>
        <v>95657.027217370502</v>
      </c>
      <c r="BA16" s="2">
        <f t="shared" si="34"/>
        <v>100154.95658215722</v>
      </c>
      <c r="BB16" s="2">
        <f t="shared" si="34"/>
        <v>104873.10201810092</v>
      </c>
      <c r="BC16" s="2">
        <f t="shared" si="34"/>
        <v>109445.35810033338</v>
      </c>
      <c r="BD16" s="2">
        <f t="shared" si="34"/>
        <v>114219.37102593057</v>
      </c>
      <c r="BE16" s="2">
        <f t="shared" si="34"/>
        <v>119204.15439863084</v>
      </c>
      <c r="BF16" s="2">
        <f t="shared" si="34"/>
        <v>124409.12953282228</v>
      </c>
      <c r="BG16" s="2">
        <f t="shared" si="34"/>
        <v>129844.14412029367</v>
      </c>
      <c r="BH16" s="2">
        <f t="shared" si="34"/>
        <v>135519.49176157187</v>
      </c>
    </row>
    <row r="17" spans="2:60" s="2" customFormat="1" x14ac:dyDescent="0.2">
      <c r="B17" s="2" t="s">
        <v>65</v>
      </c>
      <c r="K17" s="2">
        <v>4527</v>
      </c>
      <c r="L17" s="2">
        <v>4622</v>
      </c>
      <c r="M17" s="2">
        <v>4312</v>
      </c>
      <c r="N17" s="2">
        <v>4812</v>
      </c>
      <c r="O17" s="2">
        <v>4981</v>
      </c>
      <c r="P17" s="2">
        <v>5058</v>
      </c>
      <c r="Q17" s="2">
        <v>5280</v>
      </c>
      <c r="R17" s="2">
        <v>5396</v>
      </c>
      <c r="S17" s="2">
        <v>5393</v>
      </c>
      <c r="T17" s="2">
        <v>5429</v>
      </c>
      <c r="U17" s="2">
        <v>5589</v>
      </c>
      <c r="AL17" s="10">
        <v>15592</v>
      </c>
      <c r="AM17" s="10">
        <v>16786</v>
      </c>
      <c r="AN17" s="10">
        <f>SUM(K17:N17)</f>
        <v>18273</v>
      </c>
      <c r="AO17" s="10">
        <f t="shared" si="32"/>
        <v>20715</v>
      </c>
      <c r="AP17" s="10">
        <f t="shared" si="33"/>
        <v>16411</v>
      </c>
      <c r="AQ17" s="2">
        <v>24855</v>
      </c>
      <c r="AR17" s="2">
        <f t="shared" ref="AR17:BH17" si="35">+AR14*0.27</f>
        <v>26454.6</v>
      </c>
      <c r="AS17" s="2">
        <f t="shared" si="35"/>
        <v>30422.789999999994</v>
      </c>
      <c r="AT17" s="2">
        <f t="shared" si="35"/>
        <v>33465.068999999996</v>
      </c>
      <c r="AU17" s="2">
        <f t="shared" si="35"/>
        <v>36811.575899999996</v>
      </c>
      <c r="AV17" s="2">
        <f t="shared" si="35"/>
        <v>40492.733490000006</v>
      </c>
      <c r="AW17" s="2">
        <f t="shared" si="35"/>
        <v>42517.370164500004</v>
      </c>
      <c r="AX17" s="2">
        <f t="shared" si="35"/>
        <v>44643.238672725005</v>
      </c>
      <c r="AY17" s="2">
        <f t="shared" si="35"/>
        <v>46875.400606361261</v>
      </c>
      <c r="AZ17" s="2">
        <f t="shared" si="35"/>
        <v>49219.170636679322</v>
      </c>
      <c r="BA17" s="2">
        <f t="shared" si="35"/>
        <v>51680.129168513289</v>
      </c>
      <c r="BB17" s="2">
        <f t="shared" si="35"/>
        <v>54264.135626938958</v>
      </c>
      <c r="BC17" s="2">
        <f t="shared" si="35"/>
        <v>56977.342408285906</v>
      </c>
      <c r="BD17" s="2">
        <f t="shared" si="35"/>
        <v>59826.209528700201</v>
      </c>
      <c r="BE17" s="2">
        <f t="shared" si="35"/>
        <v>62817.520005135215</v>
      </c>
      <c r="BF17" s="2">
        <f t="shared" si="35"/>
        <v>65958.396005391987</v>
      </c>
      <c r="BG17" s="2">
        <f t="shared" si="35"/>
        <v>69256.315805661579</v>
      </c>
      <c r="BH17" s="2">
        <f t="shared" si="35"/>
        <v>72719.131595944666</v>
      </c>
    </row>
    <row r="18" spans="2:60" s="2" customFormat="1" x14ac:dyDescent="0.2">
      <c r="B18" s="2" t="s">
        <v>101</v>
      </c>
      <c r="C18" s="2">
        <v>54381</v>
      </c>
      <c r="D18" s="2">
        <v>37715</v>
      </c>
      <c r="E18" s="2">
        <v>32844</v>
      </c>
      <c r="F18" s="2">
        <f>163756-E18-D18-C18</f>
        <v>38816</v>
      </c>
      <c r="K18" s="2">
        <f t="shared" ref="K18:N18" si="36">+K16+K17</f>
        <v>56602</v>
      </c>
      <c r="L18" s="2">
        <f t="shared" si="36"/>
        <v>35943</v>
      </c>
      <c r="M18" s="2">
        <f t="shared" si="36"/>
        <v>37005</v>
      </c>
      <c r="N18" s="2">
        <f t="shared" si="36"/>
        <v>40009</v>
      </c>
      <c r="O18" s="2">
        <f>+O16+O17</f>
        <v>67111</v>
      </c>
      <c r="P18" s="2">
        <f>+P16+P17</f>
        <v>51505</v>
      </c>
      <c r="Q18" s="2">
        <f>+Q16+Q17</f>
        <v>46179</v>
      </c>
      <c r="R18" s="2">
        <f t="shared" ref="R18" si="37">+R16+R17</f>
        <v>48186</v>
      </c>
      <c r="S18" s="2">
        <f t="shared" ref="S18" si="38">+S16+S17</f>
        <v>69702</v>
      </c>
      <c r="T18" s="2">
        <f>+T16+T17</f>
        <v>54719</v>
      </c>
      <c r="U18" s="2">
        <f t="shared" ref="U18" si="39">+U16+U17</f>
        <v>47074</v>
      </c>
      <c r="AL18" s="2">
        <f t="shared" ref="AL18:AM18" si="40">+AL16+AL17</f>
        <v>163756</v>
      </c>
      <c r="AM18" s="2">
        <f t="shared" si="40"/>
        <v>161782</v>
      </c>
      <c r="AN18" s="2">
        <f>+AN16+AN17</f>
        <v>169559</v>
      </c>
      <c r="AO18" s="2">
        <f>+AO16+AO17</f>
        <v>212981</v>
      </c>
      <c r="AP18" s="2">
        <f>+AP16+AP17</f>
        <v>171495</v>
      </c>
      <c r="AQ18" s="2">
        <f>+AQ16+AQ17</f>
        <v>214137</v>
      </c>
      <c r="AR18" s="2">
        <f t="shared" ref="AR18:BH18" si="41">+AR16+AR17</f>
        <v>91915.585600000006</v>
      </c>
      <c r="AS18" s="2">
        <f t="shared" si="41"/>
        <v>99105.325232000017</v>
      </c>
      <c r="AT18" s="2">
        <f t="shared" si="41"/>
        <v>105540.23356384001</v>
      </c>
      <c r="AU18" s="2">
        <f t="shared" si="41"/>
        <v>112460.24792353282</v>
      </c>
      <c r="AV18" s="2">
        <f t="shared" si="41"/>
        <v>119906.18833301307</v>
      </c>
      <c r="AW18" s="2">
        <f t="shared" si="41"/>
        <v>125897.91765547029</v>
      </c>
      <c r="AX18" s="2">
        <f t="shared" si="41"/>
        <v>131922.93690735626</v>
      </c>
      <c r="AY18" s="2">
        <f t="shared" si="41"/>
        <v>138244.05134504125</v>
      </c>
      <c r="AZ18" s="2">
        <f t="shared" si="41"/>
        <v>144876.19785404982</v>
      </c>
      <c r="BA18" s="2">
        <f t="shared" si="41"/>
        <v>151835.08575067052</v>
      </c>
      <c r="BB18" s="2">
        <f t="shared" si="41"/>
        <v>159137.23764503989</v>
      </c>
      <c r="BC18" s="2">
        <f t="shared" si="41"/>
        <v>166422.70050861928</v>
      </c>
      <c r="BD18" s="2">
        <f t="shared" si="41"/>
        <v>174045.58055463078</v>
      </c>
      <c r="BE18" s="2">
        <f t="shared" si="41"/>
        <v>182021.67440376605</v>
      </c>
      <c r="BF18" s="2">
        <f t="shared" si="41"/>
        <v>190367.52553821425</v>
      </c>
      <c r="BG18" s="2">
        <f t="shared" si="41"/>
        <v>199100.45992595525</v>
      </c>
      <c r="BH18" s="2">
        <f t="shared" si="41"/>
        <v>208238.62335751654</v>
      </c>
    </row>
    <row r="19" spans="2:60" s="2" customFormat="1" x14ac:dyDescent="0.2">
      <c r="B19" s="2" t="s">
        <v>8</v>
      </c>
      <c r="C19" s="2">
        <f t="shared" ref="C19" si="42">+C15-C18</f>
        <v>33912</v>
      </c>
      <c r="D19" s="2">
        <f t="shared" ref="D19:F19" si="43">+D15-D18</f>
        <v>23422</v>
      </c>
      <c r="E19" s="2">
        <f t="shared" si="43"/>
        <v>20421</v>
      </c>
      <c r="F19" s="2">
        <f t="shared" si="43"/>
        <v>24084</v>
      </c>
      <c r="K19" s="2">
        <f t="shared" ref="K19:N19" si="44">+K15-K18</f>
        <v>35217</v>
      </c>
      <c r="L19" s="2">
        <f t="shared" si="44"/>
        <v>22370</v>
      </c>
      <c r="M19" s="2">
        <f t="shared" si="44"/>
        <v>22680</v>
      </c>
      <c r="N19" s="2">
        <f t="shared" si="44"/>
        <v>24689</v>
      </c>
      <c r="O19" s="2">
        <f>+O15-O18</f>
        <v>44328</v>
      </c>
      <c r="P19" s="2">
        <f>+P15-P18</f>
        <v>38079</v>
      </c>
      <c r="Q19" s="2">
        <f>+Q15-Q18</f>
        <v>35255</v>
      </c>
      <c r="R19" s="2">
        <f t="shared" ref="R19" si="45">+R15-R18</f>
        <v>35174</v>
      </c>
      <c r="S19" s="2">
        <f t="shared" ref="S19" si="46">+S15-S18</f>
        <v>54243</v>
      </c>
      <c r="T19" s="2">
        <f>+T15-T18</f>
        <v>42559</v>
      </c>
      <c r="U19" s="2">
        <f t="shared" ref="U19" si="47">+U15-U18</f>
        <v>35885</v>
      </c>
      <c r="AL19" s="2">
        <f t="shared" ref="AL19:AM19" si="48">+AL15-AL18</f>
        <v>101839</v>
      </c>
      <c r="AM19" s="2">
        <f t="shared" si="48"/>
        <v>98392</v>
      </c>
      <c r="AN19" s="2">
        <f>+AN15-AN18</f>
        <v>104956</v>
      </c>
      <c r="AO19" s="2">
        <f>+AO15-AO18</f>
        <v>152836</v>
      </c>
      <c r="AP19" s="2">
        <f>+AP15-AP18</f>
        <v>222833</v>
      </c>
      <c r="AQ19" s="2">
        <f>+AQ15-AQ18</f>
        <v>169148</v>
      </c>
      <c r="AR19" s="2">
        <f t="shared" ref="AR19:BH19" si="49">+AR15-AR18</f>
        <v>108347.20439999997</v>
      </c>
      <c r="AS19" s="2">
        <f t="shared" si="49"/>
        <v>120888.13606799998</v>
      </c>
      <c r="AT19" s="2">
        <f t="shared" si="49"/>
        <v>131021.91106715999</v>
      </c>
      <c r="AU19" s="2">
        <f t="shared" si="49"/>
        <v>142079.97211323719</v>
      </c>
      <c r="AV19" s="2">
        <f t="shared" si="49"/>
        <v>154150.42185919484</v>
      </c>
      <c r="AW19" s="2">
        <f t="shared" si="49"/>
        <v>161855.92914917078</v>
      </c>
      <c r="AX19" s="2">
        <f t="shared" si="49"/>
        <v>169796.92000175512</v>
      </c>
      <c r="AY19" s="2">
        <f t="shared" si="49"/>
        <v>178132.06027252122</v>
      </c>
      <c r="AZ19" s="2">
        <f t="shared" si="49"/>
        <v>186881.13175338533</v>
      </c>
      <c r="BA19" s="2">
        <f t="shared" si="49"/>
        <v>196064.91971825861</v>
      </c>
      <c r="BB19" s="2">
        <f t="shared" si="49"/>
        <v>205705.26435801669</v>
      </c>
      <c r="BC19" s="2">
        <f t="shared" si="49"/>
        <v>215612.86562791423</v>
      </c>
      <c r="BD19" s="2">
        <f t="shared" si="49"/>
        <v>226000.7404833865</v>
      </c>
      <c r="BE19" s="2">
        <f t="shared" si="49"/>
        <v>236892.29834459542</v>
      </c>
      <c r="BF19" s="2">
        <f t="shared" si="49"/>
        <v>248312.09493234637</v>
      </c>
      <c r="BG19" s="2">
        <f t="shared" si="49"/>
        <v>260285.88861630575</v>
      </c>
      <c r="BH19" s="2">
        <f t="shared" si="49"/>
        <v>272840.69954195671</v>
      </c>
    </row>
    <row r="20" spans="2:60" s="2" customFormat="1" x14ac:dyDescent="0.2">
      <c r="B20" s="2" t="s">
        <v>9</v>
      </c>
      <c r="C20" s="2">
        <v>3407</v>
      </c>
      <c r="D20" s="2">
        <v>3378</v>
      </c>
      <c r="E20" s="2">
        <v>3701</v>
      </c>
      <c r="F20" s="2">
        <f>14236-E20-D20-C20</f>
        <v>3750</v>
      </c>
      <c r="K20" s="2">
        <v>4451</v>
      </c>
      <c r="L20" s="2">
        <v>4565</v>
      </c>
      <c r="M20" s="2">
        <v>4758</v>
      </c>
      <c r="N20" s="2">
        <v>4978</v>
      </c>
      <c r="O20" s="2">
        <v>5163</v>
      </c>
      <c r="P20" s="2">
        <v>5262</v>
      </c>
      <c r="Q20" s="2">
        <v>5717</v>
      </c>
      <c r="R20" s="2">
        <v>5772</v>
      </c>
      <c r="S20" s="2">
        <v>6306</v>
      </c>
      <c r="T20" s="2">
        <v>6387</v>
      </c>
      <c r="U20" s="2">
        <v>6797</v>
      </c>
      <c r="AL20" s="10">
        <v>14236</v>
      </c>
      <c r="AM20" s="10">
        <v>16217</v>
      </c>
      <c r="AN20" s="10">
        <f>SUM(K20:N20)</f>
        <v>18752</v>
      </c>
      <c r="AO20" s="10">
        <f t="shared" ref="AO20:AO21" si="50">SUM(O20:R20)</f>
        <v>21914</v>
      </c>
      <c r="AP20" s="10">
        <f t="shared" ref="AP20:AP21" si="51">SUM(S20:V20)</f>
        <v>19490</v>
      </c>
      <c r="AQ20" s="2">
        <v>29915</v>
      </c>
      <c r="AR20" s="2">
        <f t="shared" ref="AR20:BH20" si="52">+AQ20*1.03</f>
        <v>30812.45</v>
      </c>
      <c r="AS20" s="2">
        <f t="shared" si="52"/>
        <v>31736.823500000002</v>
      </c>
      <c r="AT20" s="2">
        <f t="shared" si="52"/>
        <v>32688.928205000004</v>
      </c>
      <c r="AU20" s="2">
        <f t="shared" si="52"/>
        <v>33669.596051150002</v>
      </c>
      <c r="AV20" s="2">
        <f t="shared" si="52"/>
        <v>34679.6839326845</v>
      </c>
      <c r="AW20" s="2">
        <f t="shared" si="52"/>
        <v>35720.074450665037</v>
      </c>
      <c r="AX20" s="2">
        <f t="shared" si="52"/>
        <v>36791.676684184989</v>
      </c>
      <c r="AY20" s="2">
        <f t="shared" si="52"/>
        <v>37895.426984710539</v>
      </c>
      <c r="AZ20" s="2">
        <f t="shared" si="52"/>
        <v>39032.289794251854</v>
      </c>
      <c r="BA20" s="2">
        <f t="shared" si="52"/>
        <v>40203.258488079409</v>
      </c>
      <c r="BB20" s="2">
        <f t="shared" si="52"/>
        <v>41409.356242721791</v>
      </c>
      <c r="BC20" s="2">
        <f t="shared" si="52"/>
        <v>42651.636930003449</v>
      </c>
      <c r="BD20" s="2">
        <f t="shared" si="52"/>
        <v>43931.186037903557</v>
      </c>
      <c r="BE20" s="2">
        <f t="shared" si="52"/>
        <v>45249.121619040663</v>
      </c>
      <c r="BF20" s="2">
        <f t="shared" si="52"/>
        <v>46606.595267611883</v>
      </c>
      <c r="BG20" s="2">
        <f t="shared" si="52"/>
        <v>48004.793125640244</v>
      </c>
      <c r="BH20" s="2">
        <f t="shared" si="52"/>
        <v>49444.936919409454</v>
      </c>
    </row>
    <row r="21" spans="2:60" s="2" customFormat="1" x14ac:dyDescent="0.2">
      <c r="B21" s="2" t="s">
        <v>10</v>
      </c>
      <c r="C21" s="2">
        <v>4231</v>
      </c>
      <c r="D21" s="2">
        <v>4150</v>
      </c>
      <c r="E21" s="2">
        <v>4108</v>
      </c>
      <c r="F21" s="2">
        <f>16705-E21-D21-C21</f>
        <v>4216</v>
      </c>
      <c r="K21" s="2">
        <v>5197</v>
      </c>
      <c r="L21" s="2">
        <v>4952</v>
      </c>
      <c r="M21" s="2">
        <v>4831</v>
      </c>
      <c r="N21" s="2">
        <v>4936</v>
      </c>
      <c r="O21" s="2">
        <v>5631</v>
      </c>
      <c r="P21" s="2">
        <v>5314</v>
      </c>
      <c r="Q21" s="2">
        <v>5412</v>
      </c>
      <c r="R21" s="2">
        <v>5616</v>
      </c>
      <c r="S21" s="2">
        <v>6449</v>
      </c>
      <c r="T21" s="2">
        <v>6193</v>
      </c>
      <c r="U21" s="2">
        <v>6012</v>
      </c>
      <c r="AL21" s="10">
        <v>16705</v>
      </c>
      <c r="AM21" s="10">
        <v>18245</v>
      </c>
      <c r="AN21" s="10">
        <f>SUM(K21:N21)</f>
        <v>19916</v>
      </c>
      <c r="AO21" s="10">
        <f t="shared" si="50"/>
        <v>21973</v>
      </c>
      <c r="AP21" s="10">
        <f t="shared" si="51"/>
        <v>18654</v>
      </c>
      <c r="AQ21" s="2">
        <v>24932</v>
      </c>
      <c r="AR21" s="2">
        <f t="shared" ref="AR21:BH21" si="53">+AQ21*1.03</f>
        <v>25679.96</v>
      </c>
      <c r="AS21" s="2">
        <f t="shared" si="53"/>
        <v>26450.358799999998</v>
      </c>
      <c r="AT21" s="2">
        <f t="shared" si="53"/>
        <v>27243.869564000001</v>
      </c>
      <c r="AU21" s="2">
        <f t="shared" si="53"/>
        <v>28061.185650920001</v>
      </c>
      <c r="AV21" s="2">
        <f t="shared" si="53"/>
        <v>28903.021220447601</v>
      </c>
      <c r="AW21" s="2">
        <f t="shared" si="53"/>
        <v>29770.111857061031</v>
      </c>
      <c r="AX21" s="2">
        <f t="shared" si="53"/>
        <v>30663.215212772862</v>
      </c>
      <c r="AY21" s="2">
        <f t="shared" si="53"/>
        <v>31583.111669156049</v>
      </c>
      <c r="AZ21" s="2">
        <f t="shared" si="53"/>
        <v>32530.60501923073</v>
      </c>
      <c r="BA21" s="2">
        <f t="shared" si="53"/>
        <v>33506.523169807653</v>
      </c>
      <c r="BB21" s="2">
        <f t="shared" si="53"/>
        <v>34511.718864901886</v>
      </c>
      <c r="BC21" s="2">
        <f t="shared" si="53"/>
        <v>35547.070430848944</v>
      </c>
      <c r="BD21" s="2">
        <f t="shared" si="53"/>
        <v>36613.482543774415</v>
      </c>
      <c r="BE21" s="2">
        <f t="shared" si="53"/>
        <v>37711.887020087648</v>
      </c>
      <c r="BF21" s="2">
        <f t="shared" si="53"/>
        <v>38843.243630690282</v>
      </c>
      <c r="BG21" s="2">
        <f t="shared" si="53"/>
        <v>40008.54093961099</v>
      </c>
      <c r="BH21" s="2">
        <f t="shared" si="53"/>
        <v>41208.797167799319</v>
      </c>
    </row>
    <row r="22" spans="2:60" s="2" customFormat="1" x14ac:dyDescent="0.2">
      <c r="B22" s="2" t="s">
        <v>11</v>
      </c>
      <c r="C22" s="2">
        <f t="shared" ref="C22" si="54">+C20+C21</f>
        <v>7638</v>
      </c>
      <c r="D22" s="2">
        <f t="shared" ref="D22:F22" si="55">+D20+D21</f>
        <v>7528</v>
      </c>
      <c r="E22" s="2">
        <f t="shared" si="55"/>
        <v>7809</v>
      </c>
      <c r="F22" s="2">
        <f t="shared" si="55"/>
        <v>7966</v>
      </c>
      <c r="K22" s="2">
        <f t="shared" ref="K22:N22" si="56">+K20+K21</f>
        <v>9648</v>
      </c>
      <c r="L22" s="2">
        <f t="shared" si="56"/>
        <v>9517</v>
      </c>
      <c r="M22" s="2">
        <f t="shared" si="56"/>
        <v>9589</v>
      </c>
      <c r="N22" s="2">
        <f t="shared" si="56"/>
        <v>9914</v>
      </c>
      <c r="O22" s="2">
        <f>+O20+O21</f>
        <v>10794</v>
      </c>
      <c r="P22" s="2">
        <f>+P20+P21</f>
        <v>10576</v>
      </c>
      <c r="Q22" s="2">
        <f>+Q20+Q21</f>
        <v>11129</v>
      </c>
      <c r="R22" s="2">
        <f t="shared" ref="R22" si="57">+R20+R21</f>
        <v>11388</v>
      </c>
      <c r="S22" s="2">
        <f t="shared" ref="S22" si="58">+S20+S21</f>
        <v>12755</v>
      </c>
      <c r="T22" s="2">
        <f>+T20+T21</f>
        <v>12580</v>
      </c>
      <c r="U22" s="2">
        <f t="shared" ref="U22" si="59">+U20+U21</f>
        <v>12809</v>
      </c>
      <c r="AL22" s="2">
        <f t="shared" ref="AL22:AM22" si="60">+AL20+AL21</f>
        <v>30941</v>
      </c>
      <c r="AM22" s="2">
        <f t="shared" si="60"/>
        <v>34462</v>
      </c>
      <c r="AN22" s="2">
        <f>+AN20+AN21</f>
        <v>38668</v>
      </c>
      <c r="AO22" s="2">
        <f>+AO20+AO21</f>
        <v>43887</v>
      </c>
      <c r="AP22" s="2">
        <f>+AP20+AP21</f>
        <v>38144</v>
      </c>
      <c r="AQ22" s="2">
        <f>+AQ20+AQ21</f>
        <v>54847</v>
      </c>
      <c r="AR22" s="2">
        <f t="shared" ref="AR22:BH22" si="61">+AR20+AR21</f>
        <v>56492.41</v>
      </c>
      <c r="AS22" s="2">
        <f t="shared" si="61"/>
        <v>58187.1823</v>
      </c>
      <c r="AT22" s="2">
        <f t="shared" si="61"/>
        <v>59932.797769000004</v>
      </c>
      <c r="AU22" s="2">
        <f t="shared" si="61"/>
        <v>61730.781702070002</v>
      </c>
      <c r="AV22" s="2">
        <f t="shared" si="61"/>
        <v>63582.705153132105</v>
      </c>
      <c r="AW22" s="2">
        <f t="shared" si="61"/>
        <v>65490.186307726064</v>
      </c>
      <c r="AX22" s="2">
        <f t="shared" si="61"/>
        <v>67454.891896957852</v>
      </c>
      <c r="AY22" s="2">
        <f t="shared" si="61"/>
        <v>69478.538653866592</v>
      </c>
      <c r="AZ22" s="2">
        <f t="shared" si="61"/>
        <v>71562.894813482591</v>
      </c>
      <c r="BA22" s="2">
        <f t="shared" si="61"/>
        <v>73709.78165788707</v>
      </c>
      <c r="BB22" s="2">
        <f t="shared" si="61"/>
        <v>75921.075107623677</v>
      </c>
      <c r="BC22" s="2">
        <f t="shared" si="61"/>
        <v>78198.707360852393</v>
      </c>
      <c r="BD22" s="2">
        <f t="shared" si="61"/>
        <v>80544.668581677979</v>
      </c>
      <c r="BE22" s="2">
        <f t="shared" si="61"/>
        <v>82961.008639128311</v>
      </c>
      <c r="BF22" s="2">
        <f t="shared" si="61"/>
        <v>85449.838898302172</v>
      </c>
      <c r="BG22" s="2">
        <f t="shared" si="61"/>
        <v>88013.334065251227</v>
      </c>
      <c r="BH22" s="2">
        <f t="shared" si="61"/>
        <v>90653.734087208781</v>
      </c>
    </row>
    <row r="23" spans="2:60" s="2" customFormat="1" x14ac:dyDescent="0.2">
      <c r="B23" s="2" t="s">
        <v>12</v>
      </c>
      <c r="C23" s="2">
        <f t="shared" ref="C23" si="62">+C19-C22</f>
        <v>26274</v>
      </c>
      <c r="D23" s="2">
        <f t="shared" ref="D23:F23" si="63">+D19-D22</f>
        <v>15894</v>
      </c>
      <c r="E23" s="2">
        <f t="shared" si="63"/>
        <v>12612</v>
      </c>
      <c r="F23" s="2">
        <f t="shared" si="63"/>
        <v>16118</v>
      </c>
      <c r="K23" s="2">
        <f t="shared" ref="K23:N23" si="64">+K19-K22</f>
        <v>25569</v>
      </c>
      <c r="L23" s="2">
        <f t="shared" si="64"/>
        <v>12853</v>
      </c>
      <c r="M23" s="2">
        <f t="shared" si="64"/>
        <v>13091</v>
      </c>
      <c r="N23" s="2">
        <f t="shared" si="64"/>
        <v>14775</v>
      </c>
      <c r="O23" s="2">
        <f>+O19-O22</f>
        <v>33534</v>
      </c>
      <c r="P23" s="2">
        <f>+P19-P22</f>
        <v>27503</v>
      </c>
      <c r="Q23" s="2">
        <f>+Q19-Q22</f>
        <v>24126</v>
      </c>
      <c r="R23" s="2">
        <f t="shared" ref="R23" si="65">+R19-R22</f>
        <v>23786</v>
      </c>
      <c r="S23" s="2">
        <f t="shared" ref="S23" si="66">+S19-S22</f>
        <v>41488</v>
      </c>
      <c r="T23" s="2">
        <f>+T19-T22</f>
        <v>29979</v>
      </c>
      <c r="U23" s="2">
        <f t="shared" ref="U23" si="67">+U19-U22</f>
        <v>23076</v>
      </c>
      <c r="AL23" s="2">
        <f t="shared" ref="AL23:AM23" si="68">+AL19-AL22</f>
        <v>70898</v>
      </c>
      <c r="AM23" s="2">
        <f t="shared" si="68"/>
        <v>63930</v>
      </c>
      <c r="AN23" s="2">
        <f>+AN19-AN22</f>
        <v>66288</v>
      </c>
      <c r="AO23" s="2">
        <f>+AO19-AO22</f>
        <v>108949</v>
      </c>
      <c r="AP23" s="2">
        <f>+AP19-AP22</f>
        <v>184689</v>
      </c>
      <c r="AQ23" s="2">
        <f>+AQ19-AQ22</f>
        <v>114301</v>
      </c>
      <c r="AR23" s="2">
        <f t="shared" ref="AR23:BH23" si="69">+AR19-AR22</f>
        <v>51854.79439999997</v>
      </c>
      <c r="AS23" s="2">
        <f t="shared" si="69"/>
        <v>62700.953767999978</v>
      </c>
      <c r="AT23" s="2">
        <f t="shared" si="69"/>
        <v>71089.113298159995</v>
      </c>
      <c r="AU23" s="2">
        <f t="shared" si="69"/>
        <v>80349.19041116719</v>
      </c>
      <c r="AV23" s="2">
        <f t="shared" si="69"/>
        <v>90567.71670606274</v>
      </c>
      <c r="AW23" s="2">
        <f t="shared" si="69"/>
        <v>96365.74284144472</v>
      </c>
      <c r="AX23" s="2">
        <f t="shared" si="69"/>
        <v>102342.02810479727</v>
      </c>
      <c r="AY23" s="2">
        <f t="shared" si="69"/>
        <v>108653.52161865463</v>
      </c>
      <c r="AZ23" s="2">
        <f t="shared" si="69"/>
        <v>115318.23693990274</v>
      </c>
      <c r="BA23" s="2">
        <f t="shared" si="69"/>
        <v>122355.13806037154</v>
      </c>
      <c r="BB23" s="2">
        <f t="shared" si="69"/>
        <v>129784.18925039301</v>
      </c>
      <c r="BC23" s="2">
        <f t="shared" si="69"/>
        <v>137414.15826706184</v>
      </c>
      <c r="BD23" s="2">
        <f t="shared" si="69"/>
        <v>145456.07190170852</v>
      </c>
      <c r="BE23" s="2">
        <f t="shared" si="69"/>
        <v>153931.28970546712</v>
      </c>
      <c r="BF23" s="2">
        <f t="shared" si="69"/>
        <v>162862.2560340442</v>
      </c>
      <c r="BG23" s="2">
        <f t="shared" si="69"/>
        <v>172272.55455105452</v>
      </c>
      <c r="BH23" s="2">
        <f t="shared" si="69"/>
        <v>182186.96545474793</v>
      </c>
    </row>
    <row r="24" spans="2:60" s="2" customFormat="1" x14ac:dyDescent="0.2">
      <c r="B24" s="2" t="s">
        <v>18</v>
      </c>
      <c r="C24" s="2">
        <v>756</v>
      </c>
      <c r="D24" s="2">
        <v>274</v>
      </c>
      <c r="E24" s="2">
        <v>672</v>
      </c>
      <c r="F24" s="2">
        <f>2005-E24-D24-C24</f>
        <v>303</v>
      </c>
      <c r="K24" s="2">
        <v>349</v>
      </c>
      <c r="L24" s="2">
        <v>282</v>
      </c>
      <c r="M24" s="2">
        <v>46</v>
      </c>
      <c r="N24" s="2">
        <v>126</v>
      </c>
      <c r="O24" s="2">
        <v>45</v>
      </c>
      <c r="P24" s="2">
        <v>508</v>
      </c>
      <c r="Q24" s="2">
        <v>243</v>
      </c>
      <c r="R24" s="2">
        <v>-538</v>
      </c>
      <c r="S24" s="2">
        <v>-247</v>
      </c>
      <c r="T24" s="2">
        <v>160</v>
      </c>
      <c r="U24" s="2">
        <v>-10</v>
      </c>
      <c r="AL24" s="10">
        <v>2005</v>
      </c>
      <c r="AM24" s="10">
        <v>1807</v>
      </c>
      <c r="AN24" s="10">
        <f>SUM(K24:N24)</f>
        <v>803</v>
      </c>
      <c r="AO24" s="10">
        <f t="shared" ref="AO24" si="70">SUM(O24:R24)</f>
        <v>258</v>
      </c>
      <c r="AP24" s="10">
        <f t="shared" ref="AP24" si="71">SUM(S24:V24)</f>
        <v>-97</v>
      </c>
      <c r="AQ24" s="2">
        <v>-565</v>
      </c>
    </row>
    <row r="25" spans="2:60" s="2" customFormat="1" x14ac:dyDescent="0.2">
      <c r="B25" s="2" t="s">
        <v>17</v>
      </c>
      <c r="C25" s="2">
        <f t="shared" ref="C25" si="72">+C23+C24</f>
        <v>27030</v>
      </c>
      <c r="D25" s="2">
        <f t="shared" ref="D25:F25" si="73">+D23+D24</f>
        <v>16168</v>
      </c>
      <c r="E25" s="2">
        <f t="shared" si="73"/>
        <v>13284</v>
      </c>
      <c r="F25" s="2">
        <f t="shared" si="73"/>
        <v>16421</v>
      </c>
      <c r="K25" s="2">
        <f t="shared" ref="K25:N25" si="74">+K23+K24</f>
        <v>25918</v>
      </c>
      <c r="L25" s="2">
        <f t="shared" si="74"/>
        <v>13135</v>
      </c>
      <c r="M25" s="2">
        <f t="shared" si="74"/>
        <v>13137</v>
      </c>
      <c r="N25" s="2">
        <f t="shared" si="74"/>
        <v>14901</v>
      </c>
      <c r="O25" s="2">
        <f>+O23+O24</f>
        <v>33579</v>
      </c>
      <c r="P25" s="2">
        <f>+P23+P24</f>
        <v>28011</v>
      </c>
      <c r="Q25" s="2">
        <f>+Q23+Q24</f>
        <v>24369</v>
      </c>
      <c r="R25" s="2">
        <f t="shared" ref="R25" si="75">+R23+R24</f>
        <v>23248</v>
      </c>
      <c r="S25" s="2">
        <f t="shared" ref="S25" si="76">+S23+S24</f>
        <v>41241</v>
      </c>
      <c r="T25" s="2">
        <f>+T23+T24</f>
        <v>30139</v>
      </c>
      <c r="U25" s="2">
        <f t="shared" ref="U25" si="77">+U23+U24</f>
        <v>23066</v>
      </c>
      <c r="AL25" s="2">
        <f t="shared" ref="AL25:AM25" si="78">+AL23+AL24</f>
        <v>72903</v>
      </c>
      <c r="AM25" s="2">
        <f t="shared" si="78"/>
        <v>65737</v>
      </c>
      <c r="AN25" s="2">
        <f>+AN23+AN24</f>
        <v>67091</v>
      </c>
      <c r="AO25" s="2">
        <f>+AO23+AO24</f>
        <v>109207</v>
      </c>
      <c r="AP25" s="2">
        <f>+AP23+AP24</f>
        <v>184592</v>
      </c>
      <c r="AQ25" s="2">
        <f>+AQ23+AQ24</f>
        <v>113736</v>
      </c>
      <c r="AR25" s="2">
        <f t="shared" ref="AR25:BH25" si="79">+AR23+AR24</f>
        <v>51854.79439999997</v>
      </c>
      <c r="AS25" s="2">
        <f t="shared" si="79"/>
        <v>62700.953767999978</v>
      </c>
      <c r="AT25" s="2">
        <f t="shared" si="79"/>
        <v>71089.113298159995</v>
      </c>
      <c r="AU25" s="2">
        <f t="shared" si="79"/>
        <v>80349.19041116719</v>
      </c>
      <c r="AV25" s="2">
        <f t="shared" si="79"/>
        <v>90567.71670606274</v>
      </c>
      <c r="AW25" s="2">
        <f t="shared" si="79"/>
        <v>96365.74284144472</v>
      </c>
      <c r="AX25" s="2">
        <f t="shared" si="79"/>
        <v>102342.02810479727</v>
      </c>
      <c r="AY25" s="2">
        <f t="shared" si="79"/>
        <v>108653.52161865463</v>
      </c>
      <c r="AZ25" s="2">
        <f t="shared" si="79"/>
        <v>115318.23693990274</v>
      </c>
      <c r="BA25" s="2">
        <f t="shared" si="79"/>
        <v>122355.13806037154</v>
      </c>
      <c r="BB25" s="2">
        <f t="shared" si="79"/>
        <v>129784.18925039301</v>
      </c>
      <c r="BC25" s="2">
        <f t="shared" si="79"/>
        <v>137414.15826706184</v>
      </c>
      <c r="BD25" s="2">
        <f t="shared" si="79"/>
        <v>145456.07190170852</v>
      </c>
      <c r="BE25" s="2">
        <f t="shared" si="79"/>
        <v>153931.28970546712</v>
      </c>
      <c r="BF25" s="2">
        <f t="shared" si="79"/>
        <v>162862.2560340442</v>
      </c>
      <c r="BG25" s="2">
        <f t="shared" si="79"/>
        <v>172272.55455105452</v>
      </c>
      <c r="BH25" s="2">
        <f t="shared" si="79"/>
        <v>182186.96545474793</v>
      </c>
    </row>
    <row r="26" spans="2:60" s="2" customFormat="1" x14ac:dyDescent="0.2">
      <c r="B26" s="2" t="s">
        <v>16</v>
      </c>
      <c r="C26" s="2">
        <v>6965</v>
      </c>
      <c r="D26" s="2">
        <v>2346</v>
      </c>
      <c r="E26" s="2">
        <v>1765</v>
      </c>
      <c r="F26" s="2">
        <f>13372-E26-D26-C26</f>
        <v>2296</v>
      </c>
      <c r="K26" s="2">
        <v>3682</v>
      </c>
      <c r="L26" s="2">
        <v>1886</v>
      </c>
      <c r="M26" s="2">
        <v>1884</v>
      </c>
      <c r="N26" s="2">
        <v>2228</v>
      </c>
      <c r="O26" s="2">
        <v>4824</v>
      </c>
      <c r="P26" s="2">
        <v>4381</v>
      </c>
      <c r="Q26" s="2">
        <v>2625</v>
      </c>
      <c r="R26" s="2">
        <v>2697</v>
      </c>
      <c r="S26" s="2">
        <v>6611</v>
      </c>
      <c r="T26" s="2">
        <v>5129</v>
      </c>
      <c r="U26" s="2">
        <v>3624</v>
      </c>
      <c r="AL26" s="10">
        <v>13372</v>
      </c>
      <c r="AM26" s="10">
        <v>10481</v>
      </c>
      <c r="AN26" s="10">
        <f>SUM(K26:N26)</f>
        <v>9680</v>
      </c>
      <c r="AO26" s="10">
        <f t="shared" ref="AO26" si="80">SUM(O26:R26)</f>
        <v>14527</v>
      </c>
      <c r="AP26" s="10">
        <f t="shared" ref="AP26" si="81">SUM(S26:V26)</f>
        <v>15364</v>
      </c>
      <c r="AQ26" s="2">
        <v>16741</v>
      </c>
      <c r="AR26" s="2">
        <f t="shared" ref="AR26:BH26" si="82">+AR25*0.2</f>
        <v>10370.958879999995</v>
      </c>
      <c r="AS26" s="2">
        <f t="shared" si="82"/>
        <v>12540.190753599996</v>
      </c>
      <c r="AT26" s="2">
        <f t="shared" si="82"/>
        <v>14217.822659632</v>
      </c>
      <c r="AU26" s="2">
        <f t="shared" si="82"/>
        <v>16069.838082233438</v>
      </c>
      <c r="AV26" s="2">
        <f t="shared" si="82"/>
        <v>18113.543341212549</v>
      </c>
      <c r="AW26" s="2">
        <f t="shared" si="82"/>
        <v>19273.148568288943</v>
      </c>
      <c r="AX26" s="2">
        <f t="shared" si="82"/>
        <v>20468.405620959456</v>
      </c>
      <c r="AY26" s="2">
        <f t="shared" si="82"/>
        <v>21730.704323730926</v>
      </c>
      <c r="AZ26" s="2">
        <f t="shared" si="82"/>
        <v>23063.647387980549</v>
      </c>
      <c r="BA26" s="2">
        <f t="shared" si="82"/>
        <v>24471.027612074307</v>
      </c>
      <c r="BB26" s="2">
        <f t="shared" si="82"/>
        <v>25956.837850078606</v>
      </c>
      <c r="BC26" s="2">
        <f t="shared" si="82"/>
        <v>27482.83165341237</v>
      </c>
      <c r="BD26" s="2">
        <f t="shared" si="82"/>
        <v>29091.214380341706</v>
      </c>
      <c r="BE26" s="2">
        <f t="shared" si="82"/>
        <v>30786.257941093427</v>
      </c>
      <c r="BF26" s="2">
        <f t="shared" si="82"/>
        <v>32572.451206808841</v>
      </c>
      <c r="BG26" s="2">
        <f t="shared" si="82"/>
        <v>34454.510910210905</v>
      </c>
      <c r="BH26" s="2">
        <f t="shared" si="82"/>
        <v>36437.39309094959</v>
      </c>
    </row>
    <row r="27" spans="2:60" s="2" customFormat="1" x14ac:dyDescent="0.2">
      <c r="B27" s="2" t="s">
        <v>15</v>
      </c>
      <c r="C27" s="2">
        <f t="shared" ref="C27" si="83">+C25-C26</f>
        <v>20065</v>
      </c>
      <c r="D27" s="2">
        <f t="shared" ref="D27:F27" si="84">+D25-D26</f>
        <v>13822</v>
      </c>
      <c r="E27" s="2">
        <f t="shared" si="84"/>
        <v>11519</v>
      </c>
      <c r="F27" s="2">
        <f t="shared" si="84"/>
        <v>14125</v>
      </c>
      <c r="K27" s="2">
        <f t="shared" ref="K27:N27" si="85">+K25-K26</f>
        <v>22236</v>
      </c>
      <c r="L27" s="2">
        <f t="shared" si="85"/>
        <v>11249</v>
      </c>
      <c r="M27" s="2">
        <f t="shared" si="85"/>
        <v>11253</v>
      </c>
      <c r="N27" s="2">
        <f t="shared" si="85"/>
        <v>12673</v>
      </c>
      <c r="O27" s="2">
        <f>+O25-O26</f>
        <v>28755</v>
      </c>
      <c r="P27" s="2">
        <f>+P25-P26</f>
        <v>23630</v>
      </c>
      <c r="Q27" s="2">
        <f>+Q25-Q26</f>
        <v>21744</v>
      </c>
      <c r="R27" s="2">
        <f t="shared" ref="R27" si="86">+R25-R26</f>
        <v>20551</v>
      </c>
      <c r="S27" s="2">
        <f t="shared" ref="S27" si="87">+S25-S26</f>
        <v>34630</v>
      </c>
      <c r="T27" s="2">
        <f>+T25-T26</f>
        <v>25010</v>
      </c>
      <c r="U27" s="2">
        <f t="shared" ref="U27" si="88">+U25-U26</f>
        <v>19442</v>
      </c>
      <c r="AL27" s="2">
        <f t="shared" ref="AL27:AM27" si="89">+AL25-AL26</f>
        <v>59531</v>
      </c>
      <c r="AM27" s="2">
        <f t="shared" si="89"/>
        <v>55256</v>
      </c>
      <c r="AN27" s="2">
        <f>+AN25-AN26</f>
        <v>57411</v>
      </c>
      <c r="AO27" s="2">
        <f>+AO25-AO26</f>
        <v>94680</v>
      </c>
      <c r="AP27" s="2">
        <f>+AP25-AP26</f>
        <v>169228</v>
      </c>
      <c r="AQ27" s="2">
        <f>+AQ25-AQ26</f>
        <v>96995</v>
      </c>
      <c r="AR27" s="2">
        <f t="shared" ref="AR27:BH27" si="90">+AR25-AR26</f>
        <v>41483.835519999979</v>
      </c>
      <c r="AS27" s="2">
        <f t="shared" si="90"/>
        <v>50160.763014399985</v>
      </c>
      <c r="AT27" s="2">
        <f t="shared" si="90"/>
        <v>56871.290638527993</v>
      </c>
      <c r="AU27" s="2">
        <f t="shared" si="90"/>
        <v>64279.352328933754</v>
      </c>
      <c r="AV27" s="2">
        <f t="shared" si="90"/>
        <v>72454.173364850198</v>
      </c>
      <c r="AW27" s="2">
        <f t="shared" si="90"/>
        <v>77092.594273155773</v>
      </c>
      <c r="AX27" s="2">
        <f t="shared" si="90"/>
        <v>81873.622483837811</v>
      </c>
      <c r="AY27" s="2">
        <f t="shared" si="90"/>
        <v>86922.817294923705</v>
      </c>
      <c r="AZ27" s="2">
        <f t="shared" si="90"/>
        <v>92254.589551922196</v>
      </c>
      <c r="BA27" s="2">
        <f t="shared" si="90"/>
        <v>97884.11044829723</v>
      </c>
      <c r="BB27" s="2">
        <f t="shared" si="90"/>
        <v>103827.35140031441</v>
      </c>
      <c r="BC27" s="2">
        <f t="shared" si="90"/>
        <v>109931.32661364946</v>
      </c>
      <c r="BD27" s="2">
        <f t="shared" si="90"/>
        <v>116364.85752136682</v>
      </c>
      <c r="BE27" s="2">
        <f t="shared" si="90"/>
        <v>123145.03176437369</v>
      </c>
      <c r="BF27" s="2">
        <f t="shared" si="90"/>
        <v>130289.80482723536</v>
      </c>
      <c r="BG27" s="2">
        <f t="shared" si="90"/>
        <v>137818.04364084362</v>
      </c>
      <c r="BH27" s="2">
        <f t="shared" si="90"/>
        <v>145749.57236379833</v>
      </c>
    </row>
    <row r="28" spans="2:60" s="13" customFormat="1" x14ac:dyDescent="0.2">
      <c r="B28" s="13" t="s">
        <v>19</v>
      </c>
      <c r="C28" s="14">
        <f t="shared" ref="C28" si="91">+C27/C29</f>
        <v>0.97255857987156114</v>
      </c>
      <c r="D28" s="14">
        <f t="shared" ref="D28:F28" si="92">+D27/D29</f>
        <v>0.68176083107937602</v>
      </c>
      <c r="E28" s="14">
        <f t="shared" si="92"/>
        <v>0.58452984598534197</v>
      </c>
      <c r="F28" s="14">
        <f t="shared" si="92"/>
        <v>0.70623460408563088</v>
      </c>
      <c r="G28" s="14"/>
      <c r="H28" s="14"/>
      <c r="I28" s="14"/>
      <c r="J28" s="14"/>
      <c r="K28" s="14">
        <f t="shared" ref="K28:N28" si="93">+K27/K29</f>
        <v>1.2479223042091785</v>
      </c>
      <c r="L28" s="14">
        <f t="shared" si="93"/>
        <v>0.63846699811252383</v>
      </c>
      <c r="M28" s="14">
        <f t="shared" si="93"/>
        <v>0.64601300384622584</v>
      </c>
      <c r="N28" s="14">
        <f t="shared" si="93"/>
        <v>0.73438904632051849</v>
      </c>
      <c r="O28" s="14">
        <f>+O27/O29</f>
        <v>1.6802339741147556</v>
      </c>
      <c r="P28" s="14">
        <f>+P27/P29</f>
        <v>1.3958166966021994</v>
      </c>
      <c r="Q28" s="14">
        <f>+Q27/Q29</f>
        <v>1.2956943963183782</v>
      </c>
      <c r="R28" s="14">
        <f t="shared" ref="R28" si="94">+R27/R29</f>
        <v>1.2354000701047909</v>
      </c>
      <c r="S28" s="14">
        <f t="shared" ref="S28" si="95">+S27/S29</f>
        <v>2.0963369432743812</v>
      </c>
      <c r="T28" s="14">
        <f>+T27/T29</f>
        <v>1.5246917147727936</v>
      </c>
      <c r="U28" s="14">
        <f t="shared" ref="U28" si="96">+U27/U29</f>
        <v>1.1955329791418789</v>
      </c>
      <c r="V28" s="14"/>
      <c r="AL28" s="14">
        <f t="shared" ref="AL28:AM28" si="97">+AL27/AL29</f>
        <v>2.9764851126245446</v>
      </c>
      <c r="AM28" s="14">
        <f t="shared" si="97"/>
        <v>2.9714474637107351</v>
      </c>
      <c r="AN28" s="14">
        <f>+AN27/AN29</f>
        <v>3.2753479151477172</v>
      </c>
      <c r="AO28" s="14">
        <f>+AO27/AO29</f>
        <v>5.6140203576723327</v>
      </c>
      <c r="AP28" s="14">
        <f>+AP27/AP29</f>
        <v>10.321967290307718</v>
      </c>
      <c r="AQ28" s="14"/>
      <c r="AR28" s="14">
        <f t="shared" ref="AR28:BH28" si="98">+AR27/AR29</f>
        <v>2.6348594300985537</v>
      </c>
      <c r="AS28" s="14">
        <f t="shared" si="98"/>
        <v>3.1859773281019561</v>
      </c>
      <c r="AT28" s="14">
        <f t="shared" si="98"/>
        <v>3.6121986928753773</v>
      </c>
      <c r="AU28" s="14">
        <f t="shared" si="98"/>
        <v>4.0827241628335962</v>
      </c>
      <c r="AV28" s="14">
        <f t="shared" si="98"/>
        <v>4.601950604310252</v>
      </c>
      <c r="AW28" s="14">
        <f t="shared" si="98"/>
        <v>4.8965614308603431</v>
      </c>
      <c r="AX28" s="14">
        <f t="shared" si="98"/>
        <v>5.2002300070316432</v>
      </c>
      <c r="AY28" s="14">
        <f t="shared" si="98"/>
        <v>5.5209312728531303</v>
      </c>
      <c r="AZ28" s="14">
        <f t="shared" si="98"/>
        <v>5.859580537907644</v>
      </c>
      <c r="BA28" s="14">
        <f t="shared" si="98"/>
        <v>6.2171414055279826</v>
      </c>
      <c r="BB28" s="14">
        <f t="shared" si="98"/>
        <v>6.5946283054608648</v>
      </c>
      <c r="BC28" s="14">
        <f t="shared" si="98"/>
        <v>6.9823242947622823</v>
      </c>
      <c r="BD28" s="14">
        <f t="shared" si="98"/>
        <v>7.3909521221688648</v>
      </c>
      <c r="BE28" s="14">
        <f t="shared" si="98"/>
        <v>7.8215971148018406</v>
      </c>
      <c r="BF28" s="14">
        <f t="shared" si="98"/>
        <v>8.2753997211572514</v>
      </c>
      <c r="BG28" s="14">
        <f t="shared" si="98"/>
        <v>8.7535582805437517</v>
      </c>
      <c r="BH28" s="14">
        <f t="shared" si="98"/>
        <v>9.2573319309020761</v>
      </c>
    </row>
    <row r="29" spans="2:60" s="2" customFormat="1" x14ac:dyDescent="0.2">
      <c r="B29" s="2" t="s">
        <v>1</v>
      </c>
      <c r="C29" s="2">
        <f>5157.787*4</f>
        <v>20631.148000000001</v>
      </c>
      <c r="D29" s="2">
        <f>5068.493*4</f>
        <v>20273.972000000002</v>
      </c>
      <c r="E29" s="2">
        <f>4926.609*4</f>
        <v>19706.436000000002</v>
      </c>
      <c r="F29" s="2">
        <f>5000.109*4</f>
        <v>20000.436000000002</v>
      </c>
      <c r="K29" s="2">
        <v>17818.417000000001</v>
      </c>
      <c r="L29" s="2">
        <v>17618.764999999999</v>
      </c>
      <c r="M29" s="2">
        <v>17419.153999999999</v>
      </c>
      <c r="N29" s="2">
        <v>17256.521000000001</v>
      </c>
      <c r="O29" s="2">
        <v>17113.687999999998</v>
      </c>
      <c r="P29" s="2">
        <v>16929.156999999999</v>
      </c>
      <c r="Q29" s="2">
        <v>16781.735000000001</v>
      </c>
      <c r="R29" s="2">
        <v>16635.097000000002</v>
      </c>
      <c r="S29" s="2">
        <v>16519.291000000001</v>
      </c>
      <c r="T29" s="2">
        <v>16403.315999999999</v>
      </c>
      <c r="U29" s="2">
        <v>16262.203</v>
      </c>
      <c r="AL29" s="2">
        <f>5000.109*4</f>
        <v>20000.436000000002</v>
      </c>
      <c r="AM29" s="2">
        <v>18595.651000000002</v>
      </c>
      <c r="AN29" s="2">
        <f>AVERAGE(K29:N29)</f>
        <v>17528.214249999997</v>
      </c>
      <c r="AO29" s="2">
        <f>AVERAGE(O29:R29)</f>
        <v>16864.919249999999</v>
      </c>
      <c r="AP29" s="2">
        <f>AVERAGE(S29:V29)</f>
        <v>16394.936666666668</v>
      </c>
      <c r="AQ29" s="2">
        <v>15744.231</v>
      </c>
      <c r="AR29" s="2">
        <f t="shared" ref="AR29:BH29" si="99">+AQ29</f>
        <v>15744.231</v>
      </c>
      <c r="AS29" s="2">
        <f t="shared" si="99"/>
        <v>15744.231</v>
      </c>
      <c r="AT29" s="2">
        <f t="shared" si="99"/>
        <v>15744.231</v>
      </c>
      <c r="AU29" s="2">
        <f t="shared" si="99"/>
        <v>15744.231</v>
      </c>
      <c r="AV29" s="2">
        <f t="shared" si="99"/>
        <v>15744.231</v>
      </c>
      <c r="AW29" s="2">
        <f t="shared" si="99"/>
        <v>15744.231</v>
      </c>
      <c r="AX29" s="2">
        <f t="shared" si="99"/>
        <v>15744.231</v>
      </c>
      <c r="AY29" s="2">
        <f t="shared" si="99"/>
        <v>15744.231</v>
      </c>
      <c r="AZ29" s="2">
        <f t="shared" si="99"/>
        <v>15744.231</v>
      </c>
      <c r="BA29" s="2">
        <f t="shared" si="99"/>
        <v>15744.231</v>
      </c>
      <c r="BB29" s="2">
        <f t="shared" si="99"/>
        <v>15744.231</v>
      </c>
      <c r="BC29" s="2">
        <f t="shared" si="99"/>
        <v>15744.231</v>
      </c>
      <c r="BD29" s="2">
        <f t="shared" si="99"/>
        <v>15744.231</v>
      </c>
      <c r="BE29" s="2">
        <f t="shared" si="99"/>
        <v>15744.231</v>
      </c>
      <c r="BF29" s="2">
        <f t="shared" si="99"/>
        <v>15744.231</v>
      </c>
      <c r="BG29" s="2">
        <f t="shared" si="99"/>
        <v>15744.231</v>
      </c>
      <c r="BH29" s="2">
        <f t="shared" si="99"/>
        <v>15744.231</v>
      </c>
    </row>
    <row r="31" spans="2:60" s="13" customFormat="1" x14ac:dyDescent="0.2">
      <c r="B31" s="12" t="s">
        <v>24</v>
      </c>
      <c r="L31" s="15"/>
      <c r="M31" s="15"/>
      <c r="N31" s="15"/>
      <c r="O31" s="15">
        <f>O15/K15-1</f>
        <v>0.21368126422635836</v>
      </c>
      <c r="P31" s="15">
        <f t="shared" ref="P31" si="100">P15/L15-1</f>
        <v>0.53626121105070901</v>
      </c>
      <c r="Q31" s="15">
        <f t="shared" ref="Q31" si="101">Q15/M15-1</f>
        <v>0.36439641450950822</v>
      </c>
      <c r="R31" s="15">
        <f t="shared" ref="R31" si="102">R15/N15-1</f>
        <v>0.28844786546724777</v>
      </c>
      <c r="S31" s="15">
        <f>S15/O15-1</f>
        <v>0.11222283042740866</v>
      </c>
      <c r="T31" s="15">
        <f>T15/P15-1</f>
        <v>8.5885872477228009E-2</v>
      </c>
      <c r="U31" s="15">
        <f>U15/Q15-1</f>
        <v>1.8726821720657316E-2</v>
      </c>
      <c r="V31" s="15"/>
      <c r="AI31" s="15">
        <f t="shared" ref="AI31:AL31" si="103">+AI15/AH15-1</f>
        <v>0.27856341803659834</v>
      </c>
      <c r="AJ31" s="15">
        <f t="shared" si="103"/>
        <v>-7.7342061913013738E-2</v>
      </c>
      <c r="AK31" s="15">
        <f t="shared" si="103"/>
        <v>6.304518199398057E-2</v>
      </c>
      <c r="AL31" s="15">
        <f t="shared" si="103"/>
        <v>0.15861957650261305</v>
      </c>
      <c r="AM31" s="15">
        <f>+AM15/AL15-1</f>
        <v>-2.04107758052674E-2</v>
      </c>
      <c r="AN31" s="15">
        <f>+AN15/AM15-1</f>
        <v>5.5120803769784787E-2</v>
      </c>
      <c r="AO31" s="15">
        <f t="shared" ref="AO31:BH31" si="104">+AO15/AN15-1</f>
        <v>0.33259384733074704</v>
      </c>
      <c r="AP31" s="15">
        <f t="shared" si="104"/>
        <v>7.7937876041846099E-2</v>
      </c>
      <c r="AQ31" s="15">
        <f t="shared" si="104"/>
        <v>-2.800460530319937E-2</v>
      </c>
      <c r="AR31" s="15">
        <f t="shared" si="104"/>
        <v>-0.4775094511916721</v>
      </c>
      <c r="AS31" s="15">
        <f t="shared" si="104"/>
        <v>9.8523901020254545E-2</v>
      </c>
      <c r="AT31" s="15">
        <f t="shared" si="104"/>
        <v>7.5314435406812708E-2</v>
      </c>
      <c r="AU31" s="15">
        <f t="shared" si="104"/>
        <v>7.5997262511349861E-2</v>
      </c>
      <c r="AV31" s="15">
        <f t="shared" si="104"/>
        <v>7.6673109470160039E-2</v>
      </c>
      <c r="AW31" s="15">
        <f t="shared" si="104"/>
        <v>4.9979588534013741E-2</v>
      </c>
      <c r="AX31" s="15">
        <f t="shared" si="104"/>
        <v>4.8534573071935316E-2</v>
      </c>
      <c r="AY31" s="15">
        <f t="shared" si="104"/>
        <v>4.8575704822987786E-2</v>
      </c>
      <c r="AZ31" s="15">
        <f t="shared" si="104"/>
        <v>4.8616875374160928E-2</v>
      </c>
      <c r="BA31" s="15">
        <f t="shared" si="104"/>
        <v>4.8658083547379105E-2</v>
      </c>
      <c r="BB31" s="15">
        <f t="shared" si="104"/>
        <v>4.8699328162673972E-2</v>
      </c>
      <c r="BC31" s="15">
        <f t="shared" si="104"/>
        <v>4.7124619634729026E-2</v>
      </c>
      <c r="BD31" s="15">
        <f t="shared" si="104"/>
        <v>4.7144183678037521E-2</v>
      </c>
      <c r="BE31" s="15">
        <f t="shared" si="104"/>
        <v>4.7163667600760517E-2</v>
      </c>
      <c r="BF31" s="15">
        <f t="shared" si="104"/>
        <v>4.7183071007450561E-2</v>
      </c>
      <c r="BG31" s="15">
        <f t="shared" si="104"/>
        <v>4.7202393513263274E-2</v>
      </c>
      <c r="BH31" s="15">
        <f t="shared" si="104"/>
        <v>4.7221634743934038E-2</v>
      </c>
    </row>
    <row r="32" spans="2:60" s="13" customFormat="1" x14ac:dyDescent="0.2">
      <c r="B32" s="12" t="s">
        <v>25</v>
      </c>
      <c r="L32" s="15"/>
      <c r="M32" s="15"/>
      <c r="N32" s="15"/>
      <c r="O32" s="15">
        <f t="shared" ref="O32:U32" si="105">+O5/K5-1</f>
        <v>0.1722751398395197</v>
      </c>
      <c r="P32" s="15">
        <f t="shared" si="105"/>
        <v>0.65520336993301576</v>
      </c>
      <c r="Q32" s="15">
        <f t="shared" si="105"/>
        <v>0.49784238019532134</v>
      </c>
      <c r="R32" s="15">
        <f t="shared" si="105"/>
        <v>0.46982302223566785</v>
      </c>
      <c r="S32" s="15">
        <f t="shared" si="105"/>
        <v>9.1940180191167231E-2</v>
      </c>
      <c r="T32" s="15">
        <f t="shared" si="105"/>
        <v>5.4904251324627618E-2</v>
      </c>
      <c r="U32" s="15">
        <f t="shared" si="105"/>
        <v>2.7672479150871787E-2</v>
      </c>
      <c r="V32" s="15"/>
      <c r="AJ32" s="15"/>
      <c r="AK32" s="15">
        <f t="shared" ref="AK32:AP32" si="106">+AK5/AJ5-1</f>
        <v>3.3789319678127372E-2</v>
      </c>
      <c r="AL32" s="15">
        <f t="shared" si="106"/>
        <v>0.16677870633106662</v>
      </c>
      <c r="AM32" s="15">
        <f t="shared" si="106"/>
        <v>-0.13649871427878313</v>
      </c>
      <c r="AN32" s="15">
        <f t="shared" si="106"/>
        <v>-3.2307681502447672E-2</v>
      </c>
      <c r="AO32" s="15">
        <f t="shared" si="106"/>
        <v>0.39331983364905176</v>
      </c>
      <c r="AP32" s="15">
        <f t="shared" si="106"/>
        <v>7.0405734139696641E-2</v>
      </c>
      <c r="AQ32" s="15">
        <f t="shared" ref="AQ32:BH32" si="107">+AQ5/AP5-1</f>
        <v>-2.3874757286278081E-2</v>
      </c>
      <c r="AR32" s="15">
        <f t="shared" si="107"/>
        <v>-1</v>
      </c>
      <c r="AS32" s="15" t="e">
        <f t="shared" si="107"/>
        <v>#DIV/0!</v>
      </c>
      <c r="AT32" s="15" t="e">
        <f t="shared" si="107"/>
        <v>#DIV/0!</v>
      </c>
      <c r="AU32" s="15" t="e">
        <f t="shared" si="107"/>
        <v>#DIV/0!</v>
      </c>
      <c r="AV32" s="15" t="e">
        <f t="shared" si="107"/>
        <v>#DIV/0!</v>
      </c>
      <c r="AW32" s="15" t="e">
        <f t="shared" si="107"/>
        <v>#DIV/0!</v>
      </c>
      <c r="AX32" s="15" t="e">
        <f t="shared" si="107"/>
        <v>#DIV/0!</v>
      </c>
      <c r="AY32" s="15" t="e">
        <f t="shared" si="107"/>
        <v>#DIV/0!</v>
      </c>
      <c r="AZ32" s="15" t="e">
        <f t="shared" si="107"/>
        <v>#DIV/0!</v>
      </c>
      <c r="BA32" s="15" t="e">
        <f t="shared" si="107"/>
        <v>#DIV/0!</v>
      </c>
      <c r="BB32" s="15" t="e">
        <f t="shared" si="107"/>
        <v>#DIV/0!</v>
      </c>
      <c r="BC32" s="15" t="e">
        <f t="shared" si="107"/>
        <v>#DIV/0!</v>
      </c>
      <c r="BD32" s="15" t="e">
        <f t="shared" si="107"/>
        <v>#DIV/0!</v>
      </c>
      <c r="BE32" s="15" t="e">
        <f t="shared" si="107"/>
        <v>#DIV/0!</v>
      </c>
      <c r="BF32" s="15" t="e">
        <f t="shared" si="107"/>
        <v>#DIV/0!</v>
      </c>
      <c r="BG32" s="15" t="e">
        <f t="shared" si="107"/>
        <v>#DIV/0!</v>
      </c>
      <c r="BH32" s="15" t="e">
        <f t="shared" si="107"/>
        <v>#DIV/0!</v>
      </c>
    </row>
    <row r="33" spans="2:42" s="13" customFormat="1" x14ac:dyDescent="0.2">
      <c r="B33" s="12" t="s">
        <v>45</v>
      </c>
      <c r="L33" s="15"/>
      <c r="M33" s="15"/>
      <c r="N33" s="15"/>
      <c r="O33" s="15">
        <f>+O14/K14-1</f>
        <v>0.23955957530475813</v>
      </c>
      <c r="P33" s="15">
        <f t="shared" ref="P33:U33" si="108">+P14/L14-1</f>
        <v>0.26618219958046141</v>
      </c>
      <c r="Q33" s="15">
        <f t="shared" si="108"/>
        <v>0.32912739434478566</v>
      </c>
      <c r="R33" s="15">
        <f t="shared" si="108"/>
        <v>0.25623754209911342</v>
      </c>
      <c r="S33" s="15">
        <f t="shared" si="108"/>
        <v>0.23824630416851722</v>
      </c>
      <c r="T33" s="15">
        <f t="shared" si="108"/>
        <v>0.17277084196201398</v>
      </c>
      <c r="U33" s="15">
        <f t="shared" si="108"/>
        <v>0.12112547180601618</v>
      </c>
      <c r="V33" s="15"/>
      <c r="AM33" s="15">
        <f>+AM14/AL14-1</f>
        <v>0.16461205595250084</v>
      </c>
      <c r="AN33" s="15">
        <f t="shared" ref="AN33:AP33" si="109">+AN14/AM14-1</f>
        <v>0.16152167807997242</v>
      </c>
      <c r="AO33" s="15">
        <f t="shared" si="109"/>
        <v>0.27259708376729663</v>
      </c>
      <c r="AP33" s="15">
        <f t="shared" si="109"/>
        <v>0.14181951041286078</v>
      </c>
    </row>
    <row r="34" spans="2:42" x14ac:dyDescent="0.2">
      <c r="B34" s="1" t="s">
        <v>14</v>
      </c>
      <c r="C34" s="6"/>
      <c r="D34" s="6"/>
      <c r="E34" s="6">
        <f t="shared" ref="E34" si="110">+E19/E15</f>
        <v>0.38338496198254013</v>
      </c>
      <c r="K34" s="6">
        <f t="shared" ref="K34" si="111">+K19/K15</f>
        <v>0.38354806739345887</v>
      </c>
      <c r="L34" s="6">
        <f t="shared" ref="L34:N34" si="112">+L19/L15</f>
        <v>0.38361943305952362</v>
      </c>
      <c r="M34" s="6">
        <f t="shared" si="112"/>
        <v>0.37999497361146017</v>
      </c>
      <c r="N34" s="6">
        <f t="shared" si="112"/>
        <v>0.38160375900336951</v>
      </c>
      <c r="O34" s="6">
        <f t="shared" ref="O34:Q34" si="113">+O19/O15</f>
        <v>0.39777815665969724</v>
      </c>
      <c r="P34" s="6">
        <f t="shared" si="113"/>
        <v>0.42506474370423292</v>
      </c>
      <c r="Q34" s="6">
        <f t="shared" si="113"/>
        <v>0.43292727853230839</v>
      </c>
      <c r="R34" s="6">
        <f t="shared" ref="R34" si="114">+R19/R15</f>
        <v>0.42195297504798462</v>
      </c>
      <c r="S34" s="6">
        <f>+S19/S15</f>
        <v>0.43763766186615033</v>
      </c>
      <c r="T34" s="6">
        <f>+T19/T15</f>
        <v>0.43749871502292398</v>
      </c>
      <c r="U34" s="6">
        <f>+U19/U15</f>
        <v>0.43256307332537758</v>
      </c>
      <c r="V34" s="6"/>
      <c r="AL34" s="6">
        <f t="shared" ref="AL34:AP34" si="115">+AL19/AL15</f>
        <v>0.38343718820007905</v>
      </c>
      <c r="AM34" s="6">
        <f t="shared" si="115"/>
        <v>0.37817768109034722</v>
      </c>
      <c r="AN34" s="6">
        <f t="shared" si="115"/>
        <v>0.38233247727810865</v>
      </c>
      <c r="AO34" s="6">
        <f t="shared" si="115"/>
        <v>0.41779359625167778</v>
      </c>
      <c r="AP34" s="6">
        <f t="shared" si="115"/>
        <v>0.56509555496946706</v>
      </c>
    </row>
    <row r="35" spans="2:42" x14ac:dyDescent="0.2">
      <c r="B35" s="2" t="s">
        <v>46</v>
      </c>
      <c r="C35" s="16"/>
      <c r="D35" s="16"/>
      <c r="E35" s="16" t="s">
        <v>54</v>
      </c>
      <c r="K35" s="6">
        <f>(K14-K17)/K14</f>
        <v>0.64396382225717652</v>
      </c>
      <c r="L35" s="6">
        <f t="shared" ref="L35:U35" si="116">(L14-L17)/L14</f>
        <v>0.65373089601438417</v>
      </c>
      <c r="M35" s="6">
        <f t="shared" si="116"/>
        <v>0.67224080267558528</v>
      </c>
      <c r="N35" s="6">
        <f t="shared" si="116"/>
        <v>0.66925561894288266</v>
      </c>
      <c r="O35" s="6">
        <f t="shared" si="116"/>
        <v>0.6839667533785927</v>
      </c>
      <c r="P35" s="6">
        <f t="shared" si="116"/>
        <v>0.70072776758771671</v>
      </c>
      <c r="Q35" s="6">
        <f t="shared" si="116"/>
        <v>0.69804414960539862</v>
      </c>
      <c r="R35" s="6">
        <f t="shared" si="116"/>
        <v>0.704765552333534</v>
      </c>
      <c r="S35" s="6">
        <f t="shared" si="116"/>
        <v>0.72366263578602175</v>
      </c>
      <c r="T35" s="6">
        <f t="shared" si="116"/>
        <v>0.72609858231168967</v>
      </c>
      <c r="U35" s="6">
        <f t="shared" si="116"/>
        <v>0.71490512140379514</v>
      </c>
      <c r="V35" s="6"/>
      <c r="AL35" s="6">
        <f t="shared" ref="AL35:AP35" si="117">(AL14-AL17)/AL14</f>
        <v>0.60772869075173597</v>
      </c>
      <c r="AM35" s="6">
        <f t="shared" si="117"/>
        <v>0.63738091637683347</v>
      </c>
      <c r="AN35" s="6">
        <f t="shared" si="117"/>
        <v>0.66015101919357233</v>
      </c>
      <c r="AO35" s="6">
        <f t="shared" si="117"/>
        <v>0.69725977347460721</v>
      </c>
      <c r="AP35" s="6">
        <f t="shared" si="117"/>
        <v>0.78994995456232642</v>
      </c>
    </row>
    <row r="36" spans="2:42" x14ac:dyDescent="0.2">
      <c r="B36" s="2" t="s">
        <v>47</v>
      </c>
      <c r="C36" s="16"/>
      <c r="D36" s="16"/>
      <c r="E36" s="16" t="s">
        <v>54</v>
      </c>
      <c r="K36" s="6">
        <f>(K13-K16)/K13</f>
        <v>0.3416894215210356</v>
      </c>
      <c r="L36" s="6">
        <f t="shared" ref="L36:U36" si="118">(L13-L16)/L13</f>
        <v>0.30343600578227509</v>
      </c>
      <c r="M36" s="6">
        <f t="shared" si="118"/>
        <v>0.29736293494379851</v>
      </c>
      <c r="N36" s="6">
        <f t="shared" si="118"/>
        <v>0.2981515085046561</v>
      </c>
      <c r="O36" s="6">
        <f t="shared" si="118"/>
        <v>0.35063441961579467</v>
      </c>
      <c r="P36" s="6">
        <f t="shared" si="118"/>
        <v>0.3609647372838215</v>
      </c>
      <c r="Q36" s="6">
        <f t="shared" si="118"/>
        <v>0.36043347720022517</v>
      </c>
      <c r="R36" s="6">
        <f t="shared" si="118"/>
        <v>0.34253184395310604</v>
      </c>
      <c r="S36" s="6">
        <f t="shared" si="118"/>
        <v>0.38418446983117716</v>
      </c>
      <c r="T36" s="6">
        <f t="shared" si="118"/>
        <v>0.36364692668190091</v>
      </c>
      <c r="U36" s="6">
        <f t="shared" si="118"/>
        <v>0.34519769552521506</v>
      </c>
      <c r="V36" s="6"/>
      <c r="AL36" s="6">
        <f t="shared" ref="AL36:AP36" si="119">(AL13-AL16)/AL13</f>
        <v>0.34396294836770025</v>
      </c>
      <c r="AM36" s="6">
        <f t="shared" si="119"/>
        <v>0.32207795851002652</v>
      </c>
      <c r="AN36" s="6">
        <f t="shared" si="119"/>
        <v>0.31466339293399231</v>
      </c>
      <c r="AO36" s="6">
        <f t="shared" si="119"/>
        <v>0.35349303276483562</v>
      </c>
      <c r="AP36" s="6">
        <f t="shared" si="119"/>
        <v>0.50953671580239024</v>
      </c>
    </row>
    <row r="37" spans="2:42" x14ac:dyDescent="0.2">
      <c r="B37" s="1" t="s">
        <v>13</v>
      </c>
      <c r="C37" s="6"/>
      <c r="D37" s="6"/>
      <c r="E37" s="6">
        <f t="shared" ref="E37" si="120">+E23/E15</f>
        <v>0.23677837228949591</v>
      </c>
      <c r="K37" s="6">
        <f t="shared" ref="K37" si="121">+K23/K15</f>
        <v>0.2784717759940753</v>
      </c>
      <c r="L37" s="6">
        <f t="shared" ref="L37:N37" si="122">+L23/L15</f>
        <v>0.22041397287054346</v>
      </c>
      <c r="M37" s="6">
        <f t="shared" si="122"/>
        <v>0.21933484124989527</v>
      </c>
      <c r="N37" s="6">
        <f t="shared" si="122"/>
        <v>0.2283687285542057</v>
      </c>
      <c r="O37" s="6">
        <f t="shared" ref="O37:Q37" si="123">+O23/O15</f>
        <v>0.30091799100853384</v>
      </c>
      <c r="P37" s="6">
        <f t="shared" si="123"/>
        <v>0.30700794784782998</v>
      </c>
      <c r="Q37" s="6">
        <f t="shared" si="123"/>
        <v>0.29626445956234498</v>
      </c>
      <c r="R37" s="6">
        <f t="shared" ref="R37" si="124">+R23/R15</f>
        <v>0.28534069097888676</v>
      </c>
      <c r="S37" s="6">
        <f>+S23/S15</f>
        <v>0.33472911371979508</v>
      </c>
      <c r="T37" s="6">
        <f>+T23/T15</f>
        <v>0.30817862209338187</v>
      </c>
      <c r="U37" s="6">
        <f>+U23/U15</f>
        <v>0.27816150146457891</v>
      </c>
      <c r="V37" s="6"/>
      <c r="AL37" s="6">
        <f t="shared" ref="AL37:AP37" si="125">+AL23/AL15</f>
        <v>0.26694026619477024</v>
      </c>
      <c r="AM37" s="6">
        <f t="shared" si="125"/>
        <v>0.24572017188496928</v>
      </c>
      <c r="AN37" s="6">
        <f t="shared" si="125"/>
        <v>0.24147314354406862</v>
      </c>
      <c r="AO37" s="6">
        <f t="shared" si="125"/>
        <v>0.29782377527561593</v>
      </c>
      <c r="AP37" s="6">
        <f t="shared" si="125"/>
        <v>0.46836390010346718</v>
      </c>
    </row>
    <row r="38" spans="2:42" x14ac:dyDescent="0.2">
      <c r="B38" s="1" t="s">
        <v>44</v>
      </c>
      <c r="C38" s="6"/>
      <c r="D38" s="6"/>
      <c r="E38" s="6">
        <f>E26/E25</f>
        <v>0.13286660644384221</v>
      </c>
      <c r="K38" s="6">
        <f>K26/K25</f>
        <v>0.14206343082027933</v>
      </c>
      <c r="L38" s="6">
        <f t="shared" ref="L38:U38" si="126">L26/L25</f>
        <v>0.14358583936048724</v>
      </c>
      <c r="M38" s="6">
        <f t="shared" si="126"/>
        <v>0.14341173783968944</v>
      </c>
      <c r="N38" s="6">
        <f t="shared" si="126"/>
        <v>0.14952016643178309</v>
      </c>
      <c r="O38" s="6">
        <f t="shared" si="126"/>
        <v>0.14366121683194855</v>
      </c>
      <c r="P38" s="6">
        <f t="shared" si="126"/>
        <v>0.1564028417407447</v>
      </c>
      <c r="Q38" s="6">
        <f t="shared" si="126"/>
        <v>0.10771882309491568</v>
      </c>
      <c r="R38" s="6">
        <f t="shared" si="126"/>
        <v>0.11600997935306263</v>
      </c>
      <c r="S38" s="6">
        <f t="shared" si="126"/>
        <v>0.16030164157028201</v>
      </c>
      <c r="T38" s="6">
        <f t="shared" si="126"/>
        <v>0.17017817445834302</v>
      </c>
      <c r="U38" s="6">
        <f t="shared" si="126"/>
        <v>0.15711436746726784</v>
      </c>
      <c r="V38" s="6"/>
      <c r="AL38" s="6">
        <f t="shared" ref="AL38:AP38" si="127">AL26/AL25</f>
        <v>0.18342180705869443</v>
      </c>
      <c r="AM38" s="6">
        <f t="shared" si="127"/>
        <v>0.15943836804235059</v>
      </c>
      <c r="AN38" s="6">
        <f t="shared" si="127"/>
        <v>0.14428164731484103</v>
      </c>
      <c r="AO38" s="6">
        <f t="shared" si="127"/>
        <v>0.13302260844085087</v>
      </c>
      <c r="AP38" s="6">
        <f t="shared" si="127"/>
        <v>8.3232209413192343E-2</v>
      </c>
    </row>
  </sheetData>
  <phoneticPr fontId="2" type="noConversion"/>
  <hyperlinks>
    <hyperlink ref="A2" location="Main!A1" display="Main" xr:uid="{8359FE81-84D5-48DA-AAE3-BF56C6A2A8A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FC72-5FC6-1E48-8D7F-2ECB98C2F88B}">
  <dimension ref="A1"/>
  <sheetViews>
    <sheetView workbookViewId="0">
      <selection sqref="A1:XFD1048576"/>
    </sheetView>
  </sheetViews>
  <sheetFormatPr baseColWidth="10" defaultRowHeight="14" x14ac:dyDescent="0.2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baseColWidth="10" defaultColWidth="8.83203125" defaultRowHeight="13" x14ac:dyDescent="0.15"/>
  <sheetData>
    <row r="1" spans="1:13" x14ac:dyDescent="0.15">
      <c r="A1" t="s">
        <v>6</v>
      </c>
    </row>
    <row r="2" spans="1:13" x14ac:dyDescent="0.15">
      <c r="B2" t="s">
        <v>48</v>
      </c>
      <c r="C2" t="s">
        <v>20</v>
      </c>
      <c r="I2" t="s">
        <v>69</v>
      </c>
      <c r="M2" t="s">
        <v>21</v>
      </c>
    </row>
    <row r="3" spans="1:13" x14ac:dyDescent="0.15">
      <c r="B3" t="s">
        <v>49</v>
      </c>
      <c r="C3" t="s">
        <v>67</v>
      </c>
      <c r="I3" s="17">
        <v>45200</v>
      </c>
      <c r="J3" t="s">
        <v>70</v>
      </c>
    </row>
    <row r="4" spans="1:13" x14ac:dyDescent="0.15">
      <c r="C4" t="s">
        <v>68</v>
      </c>
    </row>
    <row r="5" spans="1:13" x14ac:dyDescent="0.15">
      <c r="C5" t="s">
        <v>50</v>
      </c>
    </row>
    <row r="6" spans="1:13" x14ac:dyDescent="0.15">
      <c r="C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Valuation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2022-08-26T02:02:45Z</dcterms:created>
  <dcterms:modified xsi:type="dcterms:W3CDTF">2023-11-09T17:14:50Z</dcterms:modified>
</cp:coreProperties>
</file>