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93951EEC-2855-9248-9A25-EA462B706FCB}" xr6:coauthVersionLast="47" xr6:coauthVersionMax="47" xr10:uidLastSave="{00000000-0000-0000-0000-000000000000}"/>
  <bookViews>
    <workbookView xWindow="0" yWindow="760" windowWidth="30240" windowHeight="18880" activeTab="3" xr2:uid="{5A812C0B-E8F7-EB48-972C-06D3E0AF6D61}"/>
  </bookViews>
  <sheets>
    <sheet name="Cover" sheetId="6" r:id="rId1"/>
    <sheet name="Summary" sheetId="7" r:id="rId2"/>
    <sheet name="Revenue Build" sheetId="4" r:id="rId3"/>
    <sheet name="P&amp;L GAAP" sheetId="1" r:id="rId4"/>
    <sheet name="BS" sheetId="3" r:id="rId5"/>
    <sheet name="CF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" i="1" l="1"/>
  <c r="N8" i="1"/>
  <c r="N12" i="1" s="1"/>
  <c r="N17" i="1" s="1"/>
  <c r="O8" i="1"/>
  <c r="O12" i="1" s="1"/>
  <c r="O17" i="1" s="1"/>
  <c r="P8" i="1"/>
  <c r="Q8" i="1"/>
  <c r="R8" i="1"/>
  <c r="S8" i="1"/>
  <c r="T8" i="1"/>
  <c r="U8" i="1"/>
  <c r="U12" i="1" s="1"/>
  <c r="V8" i="1"/>
  <c r="V12" i="1" s="1"/>
  <c r="V17" i="1" s="1"/>
  <c r="W8" i="1"/>
  <c r="W12" i="1" s="1"/>
  <c r="W17" i="1" s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M10" i="1"/>
  <c r="M9" i="1"/>
  <c r="M8" i="1"/>
  <c r="M12" i="1" s="1"/>
  <c r="M17" i="1" s="1"/>
  <c r="N28" i="1"/>
  <c r="M28" i="1"/>
  <c r="K60" i="1"/>
  <c r="L60" i="1"/>
  <c r="L74" i="1"/>
  <c r="L99" i="1" s="1"/>
  <c r="K74" i="1"/>
  <c r="K99" i="1" s="1"/>
  <c r="J74" i="1"/>
  <c r="J99" i="1" s="1"/>
  <c r="I74" i="1"/>
  <c r="I99" i="1" s="1"/>
  <c r="H74" i="1"/>
  <c r="H99" i="1" s="1"/>
  <c r="I77" i="1"/>
  <c r="I98" i="1" s="1"/>
  <c r="J77" i="1"/>
  <c r="J98" i="1" s="1"/>
  <c r="K77" i="1"/>
  <c r="K98" i="1" s="1"/>
  <c r="L77" i="1"/>
  <c r="L98" i="1" s="1"/>
  <c r="H77" i="1"/>
  <c r="H98" i="1" s="1"/>
  <c r="M41" i="7"/>
  <c r="N41" i="7"/>
  <c r="O41" i="7"/>
  <c r="P41" i="7"/>
  <c r="Q41" i="7"/>
  <c r="R41" i="7"/>
  <c r="S41" i="7"/>
  <c r="T41" i="7"/>
  <c r="U41" i="7"/>
  <c r="L42" i="7"/>
  <c r="M42" i="7"/>
  <c r="N42" i="7"/>
  <c r="O42" i="7"/>
  <c r="P42" i="7"/>
  <c r="Q42" i="7"/>
  <c r="R42" i="7"/>
  <c r="S42" i="7"/>
  <c r="T42" i="7"/>
  <c r="U42" i="7"/>
  <c r="K41" i="7"/>
  <c r="L41" i="7"/>
  <c r="K42" i="7"/>
  <c r="E82" i="1"/>
  <c r="F82" i="1"/>
  <c r="G82" i="1"/>
  <c r="H82" i="1"/>
  <c r="I82" i="1"/>
  <c r="J82" i="1"/>
  <c r="K82" i="1"/>
  <c r="L82" i="1"/>
  <c r="E79" i="1"/>
  <c r="F79" i="1"/>
  <c r="G79" i="1"/>
  <c r="H79" i="1"/>
  <c r="I79" i="1"/>
  <c r="J79" i="1"/>
  <c r="K79" i="1"/>
  <c r="L79" i="1"/>
  <c r="L55" i="1"/>
  <c r="L62" i="1" s="1"/>
  <c r="L66" i="1" s="1"/>
  <c r="J37" i="7" s="1"/>
  <c r="K55" i="1"/>
  <c r="K58" i="1" s="1"/>
  <c r="J55" i="1"/>
  <c r="J58" i="1" s="1"/>
  <c r="I55" i="1"/>
  <c r="I58" i="1" s="1"/>
  <c r="H55" i="1"/>
  <c r="H58" i="1" s="1"/>
  <c r="G55" i="1"/>
  <c r="G58" i="1" s="1"/>
  <c r="F55" i="1"/>
  <c r="F62" i="1" s="1"/>
  <c r="F66" i="1" s="1"/>
  <c r="D37" i="7" s="1"/>
  <c r="E55" i="1"/>
  <c r="E62" i="1" s="1"/>
  <c r="E66" i="1" s="1"/>
  <c r="C37" i="7" s="1"/>
  <c r="C34" i="7"/>
  <c r="D34" i="7"/>
  <c r="E34" i="7"/>
  <c r="F34" i="7"/>
  <c r="G34" i="7"/>
  <c r="H34" i="7"/>
  <c r="I34" i="7"/>
  <c r="J34" i="7"/>
  <c r="B34" i="7"/>
  <c r="C26" i="7"/>
  <c r="D26" i="7"/>
  <c r="E26" i="7"/>
  <c r="F26" i="7"/>
  <c r="G26" i="7"/>
  <c r="H26" i="7"/>
  <c r="I26" i="7"/>
  <c r="B26" i="7"/>
  <c r="C16" i="7"/>
  <c r="D16" i="7"/>
  <c r="E16" i="7"/>
  <c r="F16" i="7"/>
  <c r="J21" i="7" s="1"/>
  <c r="G16" i="7"/>
  <c r="H16" i="7"/>
  <c r="I16" i="7"/>
  <c r="J16" i="7"/>
  <c r="C17" i="7"/>
  <c r="D17" i="7"/>
  <c r="E17" i="7"/>
  <c r="F17" i="7"/>
  <c r="F22" i="7" s="1"/>
  <c r="G17" i="7"/>
  <c r="H17" i="7"/>
  <c r="I17" i="7"/>
  <c r="J17" i="7"/>
  <c r="C18" i="7"/>
  <c r="D18" i="7"/>
  <c r="E18" i="7"/>
  <c r="F18" i="7"/>
  <c r="J23" i="7" s="1"/>
  <c r="G18" i="7"/>
  <c r="H18" i="7"/>
  <c r="I18" i="7"/>
  <c r="J18" i="7"/>
  <c r="B18" i="7"/>
  <c r="B17" i="7"/>
  <c r="B16" i="7"/>
  <c r="C15" i="7"/>
  <c r="D15" i="7"/>
  <c r="E15" i="7"/>
  <c r="F15" i="7"/>
  <c r="G15" i="7"/>
  <c r="H15" i="7"/>
  <c r="I15" i="7"/>
  <c r="J15" i="7"/>
  <c r="C42" i="7"/>
  <c r="D42" i="7"/>
  <c r="E42" i="7"/>
  <c r="F42" i="7"/>
  <c r="G42" i="7"/>
  <c r="H42" i="7"/>
  <c r="I42" i="7"/>
  <c r="J42" i="7"/>
  <c r="C41" i="7"/>
  <c r="D41" i="7"/>
  <c r="E41" i="7"/>
  <c r="F41" i="7"/>
  <c r="G41" i="7"/>
  <c r="H41" i="7"/>
  <c r="I41" i="7"/>
  <c r="J41" i="7"/>
  <c r="B41" i="7"/>
  <c r="B42" i="7"/>
  <c r="B15" i="7"/>
  <c r="C90" i="1"/>
  <c r="D90" i="1"/>
  <c r="E90" i="1"/>
  <c r="F90" i="1"/>
  <c r="G90" i="1"/>
  <c r="H90" i="1"/>
  <c r="I90" i="1"/>
  <c r="J90" i="1"/>
  <c r="K90" i="1"/>
  <c r="L90" i="1"/>
  <c r="B90" i="1"/>
  <c r="G47" i="4"/>
  <c r="H47" i="4"/>
  <c r="I47" i="4"/>
  <c r="J47" i="4"/>
  <c r="G48" i="4"/>
  <c r="H48" i="4"/>
  <c r="I48" i="4"/>
  <c r="J48" i="4"/>
  <c r="G49" i="4"/>
  <c r="H49" i="4"/>
  <c r="I49" i="4"/>
  <c r="J49" i="4"/>
  <c r="F47" i="4"/>
  <c r="F48" i="4"/>
  <c r="F49" i="4"/>
  <c r="U27" i="1" l="1"/>
  <c r="U17" i="1"/>
  <c r="T27" i="1"/>
  <c r="T17" i="1"/>
  <c r="E60" i="1"/>
  <c r="S12" i="1"/>
  <c r="S17" i="1" s="1"/>
  <c r="M27" i="1"/>
  <c r="N27" i="1"/>
  <c r="Q12" i="1"/>
  <c r="Q17" i="1" s="1"/>
  <c r="G60" i="1"/>
  <c r="R12" i="1"/>
  <c r="R17" i="1" s="1"/>
  <c r="P12" i="1"/>
  <c r="P17" i="1" s="1"/>
  <c r="R36" i="1"/>
  <c r="R14" i="1"/>
  <c r="R27" i="1"/>
  <c r="P14" i="1"/>
  <c r="P27" i="1"/>
  <c r="Q36" i="1"/>
  <c r="Q30" i="1"/>
  <c r="Q27" i="1"/>
  <c r="Q13" i="1"/>
  <c r="W30" i="1"/>
  <c r="W14" i="1"/>
  <c r="W27" i="1"/>
  <c r="W33" i="1" s="1"/>
  <c r="W34" i="1" s="1"/>
  <c r="O36" i="1"/>
  <c r="O27" i="1"/>
  <c r="O14" i="1"/>
  <c r="U13" i="1"/>
  <c r="N30" i="1"/>
  <c r="N33" i="1" s="1"/>
  <c r="N39" i="1" s="1"/>
  <c r="N40" i="1" s="1"/>
  <c r="N36" i="1"/>
  <c r="N14" i="1"/>
  <c r="V13" i="1"/>
  <c r="V36" i="1"/>
  <c r="V30" i="1"/>
  <c r="V14" i="1"/>
  <c r="V27" i="1"/>
  <c r="S13" i="1"/>
  <c r="T36" i="1"/>
  <c r="F60" i="1"/>
  <c r="M36" i="1"/>
  <c r="U30" i="1"/>
  <c r="T30" i="1"/>
  <c r="T33" i="1" s="1"/>
  <c r="U14" i="1"/>
  <c r="I60" i="1"/>
  <c r="M30" i="1"/>
  <c r="M33" i="1" s="1"/>
  <c r="H60" i="1"/>
  <c r="U36" i="1"/>
  <c r="J60" i="1"/>
  <c r="P36" i="1"/>
  <c r="W36" i="1"/>
  <c r="R30" i="1"/>
  <c r="O30" i="1"/>
  <c r="O33" i="1" s="1"/>
  <c r="U33" i="1"/>
  <c r="U39" i="1" s="1"/>
  <c r="U40" i="1" s="1"/>
  <c r="L95" i="1"/>
  <c r="K96" i="1"/>
  <c r="J95" i="1"/>
  <c r="K95" i="1"/>
  <c r="L96" i="1"/>
  <c r="J80" i="1"/>
  <c r="J83" i="1"/>
  <c r="K80" i="1"/>
  <c r="J96" i="1"/>
  <c r="L80" i="1"/>
  <c r="G62" i="1"/>
  <c r="G66" i="1" s="1"/>
  <c r="E37" i="7" s="1"/>
  <c r="H62" i="1"/>
  <c r="H66" i="1" s="1"/>
  <c r="L94" i="1" s="1"/>
  <c r="K83" i="1"/>
  <c r="L83" i="1"/>
  <c r="I62" i="1"/>
  <c r="I66" i="1" s="1"/>
  <c r="G37" i="7" s="1"/>
  <c r="J62" i="1"/>
  <c r="J66" i="1" s="1"/>
  <c r="K62" i="1"/>
  <c r="K66" i="1" s="1"/>
  <c r="L58" i="1"/>
  <c r="F30" i="7"/>
  <c r="I30" i="7"/>
  <c r="H30" i="7"/>
  <c r="I20" i="7"/>
  <c r="G30" i="7"/>
  <c r="H20" i="7"/>
  <c r="G23" i="7"/>
  <c r="G21" i="7"/>
  <c r="G20" i="7"/>
  <c r="F23" i="7"/>
  <c r="J22" i="7"/>
  <c r="J20" i="7"/>
  <c r="I23" i="7"/>
  <c r="I22" i="7"/>
  <c r="I21" i="7"/>
  <c r="F21" i="7"/>
  <c r="H23" i="7"/>
  <c r="H22" i="7"/>
  <c r="H21" i="7"/>
  <c r="G22" i="7"/>
  <c r="F20" i="7"/>
  <c r="R33" i="1" l="1"/>
  <c r="S27" i="1"/>
  <c r="T39" i="1"/>
  <c r="T40" i="1" s="1"/>
  <c r="S14" i="1"/>
  <c r="T13" i="1"/>
  <c r="P30" i="1"/>
  <c r="P33" i="1" s="1"/>
  <c r="P34" i="1" s="1"/>
  <c r="S30" i="1"/>
  <c r="P39" i="1"/>
  <c r="P40" i="1" s="1"/>
  <c r="S36" i="1"/>
  <c r="W13" i="1"/>
  <c r="T14" i="1"/>
  <c r="U34" i="1"/>
  <c r="Q14" i="1"/>
  <c r="R13" i="1"/>
  <c r="M39" i="1"/>
  <c r="M40" i="1" s="1"/>
  <c r="M34" i="1"/>
  <c r="Q33" i="1"/>
  <c r="N34" i="1"/>
  <c r="V33" i="1"/>
  <c r="R39" i="1"/>
  <c r="R40" i="1" s="1"/>
  <c r="R34" i="1"/>
  <c r="O39" i="1"/>
  <c r="O40" i="1" s="1"/>
  <c r="O34" i="1"/>
  <c r="T34" i="1"/>
  <c r="W39" i="1"/>
  <c r="W40" i="1" s="1"/>
  <c r="H37" i="7"/>
  <c r="H39" i="7" s="1"/>
  <c r="J94" i="1"/>
  <c r="I37" i="7"/>
  <c r="I39" i="7" s="1"/>
  <c r="K94" i="1"/>
  <c r="F37" i="7"/>
  <c r="J39" i="7" s="1"/>
  <c r="S33" i="1" l="1"/>
  <c r="V34" i="1"/>
  <c r="V39" i="1"/>
  <c r="V40" i="1" s="1"/>
  <c r="Q39" i="1"/>
  <c r="Q40" i="1" s="1"/>
  <c r="Q34" i="1"/>
  <c r="N14" i="7"/>
  <c r="R14" i="7" s="1"/>
  <c r="M14" i="7"/>
  <c r="Q14" i="7" s="1"/>
  <c r="U14" i="7" s="1"/>
  <c r="L14" i="7"/>
  <c r="P14" i="7" s="1"/>
  <c r="T14" i="7" s="1"/>
  <c r="K14" i="7"/>
  <c r="O14" i="7" s="1"/>
  <c r="S14" i="7" s="1"/>
  <c r="J37" i="4"/>
  <c r="I37" i="4"/>
  <c r="H37" i="4"/>
  <c r="G37" i="4"/>
  <c r="F37" i="4"/>
  <c r="J33" i="4"/>
  <c r="H33" i="4"/>
  <c r="G33" i="4"/>
  <c r="F33" i="4"/>
  <c r="J29" i="4"/>
  <c r="H29" i="4"/>
  <c r="G29" i="4"/>
  <c r="F29" i="4"/>
  <c r="J19" i="4"/>
  <c r="H19" i="4"/>
  <c r="G19" i="4"/>
  <c r="F19" i="4"/>
  <c r="L25" i="2"/>
  <c r="J25" i="2"/>
  <c r="L13" i="2"/>
  <c r="C11" i="3"/>
  <c r="D11" i="3"/>
  <c r="E11" i="3"/>
  <c r="F11" i="3"/>
  <c r="G11" i="3"/>
  <c r="H11" i="3"/>
  <c r="I11" i="3"/>
  <c r="J11" i="3"/>
  <c r="K11" i="3"/>
  <c r="L11" i="3"/>
  <c r="AE70" i="1"/>
  <c r="AD70" i="1"/>
  <c r="AC70" i="1"/>
  <c r="AB70" i="1"/>
  <c r="AE68" i="1"/>
  <c r="AD68" i="1"/>
  <c r="AC68" i="1"/>
  <c r="AB68" i="1"/>
  <c r="AA68" i="1"/>
  <c r="AE66" i="1"/>
  <c r="AD66" i="1"/>
  <c r="AC66" i="1"/>
  <c r="AB66" i="1"/>
  <c r="AE64" i="1"/>
  <c r="AD64" i="1"/>
  <c r="AC64" i="1"/>
  <c r="AB64" i="1"/>
  <c r="AA64" i="1"/>
  <c r="AE62" i="1"/>
  <c r="AD62" i="1"/>
  <c r="AC62" i="1"/>
  <c r="AB62" i="1"/>
  <c r="AE60" i="1"/>
  <c r="AD60" i="1"/>
  <c r="AC60" i="1"/>
  <c r="AB60" i="1"/>
  <c r="AE57" i="1"/>
  <c r="AD57" i="1"/>
  <c r="AC57" i="1"/>
  <c r="AB57" i="1"/>
  <c r="AA57" i="1"/>
  <c r="AE55" i="1"/>
  <c r="AD55" i="1"/>
  <c r="AC55" i="1"/>
  <c r="AB55" i="1"/>
  <c r="AE53" i="1"/>
  <c r="AD53" i="1"/>
  <c r="AC53" i="1"/>
  <c r="AB53" i="1"/>
  <c r="AA53" i="1"/>
  <c r="AE52" i="1"/>
  <c r="AD52" i="1"/>
  <c r="AC52" i="1"/>
  <c r="AB52" i="1"/>
  <c r="AA52" i="1"/>
  <c r="AE50" i="1"/>
  <c r="AD50" i="1"/>
  <c r="AC50" i="1"/>
  <c r="AB50" i="1"/>
  <c r="AE48" i="1"/>
  <c r="AD48" i="1"/>
  <c r="AC48" i="1"/>
  <c r="AB48" i="1"/>
  <c r="AA48" i="1"/>
  <c r="AE47" i="1"/>
  <c r="AD47" i="1"/>
  <c r="AC47" i="1"/>
  <c r="AB47" i="1"/>
  <c r="AA47" i="1"/>
  <c r="AE46" i="1"/>
  <c r="AD46" i="1"/>
  <c r="AC46" i="1"/>
  <c r="AB46" i="1"/>
  <c r="AA46" i="1"/>
  <c r="AE42" i="1"/>
  <c r="AD42" i="1"/>
  <c r="AE39" i="1"/>
  <c r="AB39" i="1"/>
  <c r="AA39" i="1"/>
  <c r="AE36" i="1"/>
  <c r="AD36" i="1"/>
  <c r="AC36" i="1"/>
  <c r="AB36" i="1"/>
  <c r="AA36" i="1"/>
  <c r="AE33" i="1"/>
  <c r="AD33" i="1"/>
  <c r="AE30" i="1"/>
  <c r="AD30" i="1"/>
  <c r="AC30" i="1"/>
  <c r="AB30" i="1"/>
  <c r="AA30" i="1"/>
  <c r="AE27" i="1"/>
  <c r="AD27" i="1"/>
  <c r="AC27" i="1"/>
  <c r="AB27" i="1"/>
  <c r="AA27" i="1"/>
  <c r="AE25" i="1"/>
  <c r="AD25" i="1"/>
  <c r="AC25" i="1"/>
  <c r="AB25" i="1"/>
  <c r="AA25" i="1"/>
  <c r="AE21" i="1"/>
  <c r="AD21" i="1"/>
  <c r="AE17" i="1"/>
  <c r="AD17" i="1"/>
  <c r="AC17" i="1"/>
  <c r="AB17" i="1"/>
  <c r="AA17" i="1"/>
  <c r="AE12" i="1"/>
  <c r="AD12" i="1"/>
  <c r="AE10" i="1"/>
  <c r="AD10" i="1"/>
  <c r="AE9" i="1"/>
  <c r="AD9" i="1"/>
  <c r="AE8" i="1"/>
  <c r="AD8" i="1"/>
  <c r="C42" i="1"/>
  <c r="B42" i="1"/>
  <c r="C33" i="1"/>
  <c r="D33" i="1"/>
  <c r="E33" i="1"/>
  <c r="F33" i="1"/>
  <c r="G33" i="1"/>
  <c r="H33" i="1"/>
  <c r="I33" i="1"/>
  <c r="J33" i="1"/>
  <c r="K33" i="1"/>
  <c r="L33" i="1"/>
  <c r="L39" i="1" s="1"/>
  <c r="B33" i="1"/>
  <c r="D9" i="1"/>
  <c r="E9" i="1"/>
  <c r="F9" i="1"/>
  <c r="H9" i="1"/>
  <c r="D10" i="1"/>
  <c r="E10" i="1"/>
  <c r="F10" i="1"/>
  <c r="H10" i="1"/>
  <c r="I9" i="1"/>
  <c r="J9" i="1"/>
  <c r="I10" i="1"/>
  <c r="J10" i="1"/>
  <c r="B12" i="1"/>
  <c r="B18" i="1" s="1"/>
  <c r="C12" i="1"/>
  <c r="C40" i="1" s="1"/>
  <c r="C91" i="1" s="1"/>
  <c r="L9" i="1"/>
  <c r="AC9" i="1" s="1"/>
  <c r="L10" i="1"/>
  <c r="AC10" i="1" s="1"/>
  <c r="G15" i="4"/>
  <c r="H15" i="4"/>
  <c r="J15" i="4"/>
  <c r="F15" i="4"/>
  <c r="I36" i="4"/>
  <c r="K10" i="1" s="1"/>
  <c r="I32" i="4"/>
  <c r="I28" i="4"/>
  <c r="I18" i="4"/>
  <c r="I19" i="4" s="1"/>
  <c r="I14" i="4"/>
  <c r="E36" i="4"/>
  <c r="G10" i="1" s="1"/>
  <c r="E32" i="4"/>
  <c r="E28" i="4"/>
  <c r="G9" i="1" s="1"/>
  <c r="E18" i="4"/>
  <c r="E14" i="4"/>
  <c r="Z40" i="4"/>
  <c r="Y40" i="4"/>
  <c r="Y22" i="4"/>
  <c r="B40" i="4"/>
  <c r="C40" i="4"/>
  <c r="B22" i="4"/>
  <c r="D8" i="1" s="1"/>
  <c r="C22" i="4"/>
  <c r="E8" i="1" s="1"/>
  <c r="G40" i="4"/>
  <c r="G50" i="4" s="1"/>
  <c r="F40" i="4"/>
  <c r="F50" i="4" s="1"/>
  <c r="D40" i="4"/>
  <c r="D22" i="4"/>
  <c r="F8" i="1" s="1"/>
  <c r="G22" i="4"/>
  <c r="I8" i="1" s="1"/>
  <c r="H22" i="4"/>
  <c r="F22" i="4"/>
  <c r="H8" i="1" s="1"/>
  <c r="J22" i="4"/>
  <c r="L8" i="1" s="1"/>
  <c r="AC8" i="1" s="1"/>
  <c r="H40" i="4"/>
  <c r="J40" i="4"/>
  <c r="J50" i="4" s="1"/>
  <c r="K40" i="4"/>
  <c r="L40" i="4"/>
  <c r="N6" i="4"/>
  <c r="R6" i="4" s="1"/>
  <c r="M6" i="4"/>
  <c r="Q6" i="4" s="1"/>
  <c r="U6" i="4" s="1"/>
  <c r="L6" i="4"/>
  <c r="P6" i="4" s="1"/>
  <c r="T6" i="4" s="1"/>
  <c r="K6" i="4"/>
  <c r="O6" i="4" s="1"/>
  <c r="S6" i="4" s="1"/>
  <c r="P7" i="2"/>
  <c r="T7" i="2" s="1"/>
  <c r="O7" i="2"/>
  <c r="S7" i="2" s="1"/>
  <c r="W7" i="2" s="1"/>
  <c r="N7" i="2"/>
  <c r="R7" i="2" s="1"/>
  <c r="V7" i="2" s="1"/>
  <c r="M7" i="2"/>
  <c r="Q7" i="2" s="1"/>
  <c r="U7" i="2" s="1"/>
  <c r="P6" i="1"/>
  <c r="T6" i="1" s="1"/>
  <c r="O6" i="1"/>
  <c r="S6" i="1" s="1"/>
  <c r="W6" i="1" s="1"/>
  <c r="N6" i="1"/>
  <c r="R6" i="1" s="1"/>
  <c r="V6" i="1" s="1"/>
  <c r="M6" i="1"/>
  <c r="Q6" i="1" s="1"/>
  <c r="U6" i="1" s="1"/>
  <c r="N7" i="3"/>
  <c r="R7" i="3" s="1"/>
  <c r="V7" i="3" s="1"/>
  <c r="O7" i="3"/>
  <c r="S7" i="3" s="1"/>
  <c r="W7" i="3" s="1"/>
  <c r="P7" i="3"/>
  <c r="T7" i="3" s="1"/>
  <c r="M7" i="3"/>
  <c r="Q7" i="3" s="1"/>
  <c r="U7" i="3" s="1"/>
  <c r="S34" i="1" l="1"/>
  <c r="S39" i="1"/>
  <c r="AC39" i="1"/>
  <c r="J26" i="7"/>
  <c r="J30" i="7" s="1"/>
  <c r="H50" i="4"/>
  <c r="J41" i="4"/>
  <c r="G41" i="4"/>
  <c r="I33" i="4"/>
  <c r="F41" i="4"/>
  <c r="G42" i="4"/>
  <c r="F42" i="4"/>
  <c r="J23" i="4"/>
  <c r="J8" i="1"/>
  <c r="J12" i="1" s="1"/>
  <c r="F23" i="4"/>
  <c r="G23" i="4"/>
  <c r="I29" i="4"/>
  <c r="H23" i="4"/>
  <c r="G24" i="4"/>
  <c r="H41" i="4"/>
  <c r="AA33" i="1"/>
  <c r="AA10" i="1"/>
  <c r="AB33" i="1"/>
  <c r="AA9" i="1"/>
  <c r="AB10" i="1"/>
  <c r="AC33" i="1"/>
  <c r="I15" i="4"/>
  <c r="K9" i="1"/>
  <c r="AB9" i="1" s="1"/>
  <c r="I22" i="4"/>
  <c r="B34" i="1"/>
  <c r="C34" i="1"/>
  <c r="B44" i="1"/>
  <c r="B92" i="1" s="1"/>
  <c r="C44" i="1"/>
  <c r="C92" i="1" s="1"/>
  <c r="B28" i="1"/>
  <c r="B37" i="1"/>
  <c r="C28" i="1"/>
  <c r="C37" i="1"/>
  <c r="B31" i="1"/>
  <c r="C31" i="1"/>
  <c r="B40" i="1"/>
  <c r="B91" i="1" s="1"/>
  <c r="F12" i="1"/>
  <c r="C14" i="1"/>
  <c r="E12" i="1"/>
  <c r="E71" i="1" s="1"/>
  <c r="D12" i="1"/>
  <c r="C18" i="1"/>
  <c r="H12" i="1"/>
  <c r="H71" i="1" s="1"/>
  <c r="I12" i="1"/>
  <c r="L12" i="1"/>
  <c r="E22" i="4"/>
  <c r="J44" i="4"/>
  <c r="E40" i="4"/>
  <c r="D44" i="4"/>
  <c r="H44" i="4"/>
  <c r="H42" i="4" s="1"/>
  <c r="G44" i="4"/>
  <c r="I40" i="4"/>
  <c r="F44" i="4"/>
  <c r="C44" i="4"/>
  <c r="C42" i="4" s="1"/>
  <c r="B44" i="4"/>
  <c r="S40" i="1" l="1"/>
  <c r="AD39" i="1"/>
  <c r="I71" i="1"/>
  <c r="M13" i="1"/>
  <c r="L71" i="1"/>
  <c r="P13" i="1"/>
  <c r="M14" i="1"/>
  <c r="J71" i="1"/>
  <c r="N13" i="1"/>
  <c r="F88" i="1"/>
  <c r="F71" i="1"/>
  <c r="AC12" i="1"/>
  <c r="L88" i="1"/>
  <c r="I88" i="1"/>
  <c r="H88" i="1"/>
  <c r="J34" i="1"/>
  <c r="J88" i="1"/>
  <c r="I50" i="4"/>
  <c r="K8" i="1"/>
  <c r="AB8" i="1" s="1"/>
  <c r="I23" i="4"/>
  <c r="H24" i="4"/>
  <c r="J30" i="4"/>
  <c r="J20" i="4"/>
  <c r="J16" i="4"/>
  <c r="J34" i="4"/>
  <c r="J38" i="4"/>
  <c r="J42" i="4"/>
  <c r="J24" i="4"/>
  <c r="G8" i="1"/>
  <c r="G12" i="1" s="1"/>
  <c r="H30" i="4"/>
  <c r="H34" i="4"/>
  <c r="H38" i="4"/>
  <c r="H20" i="4"/>
  <c r="H16" i="4"/>
  <c r="D34" i="4"/>
  <c r="D38" i="4"/>
  <c r="D20" i="4"/>
  <c r="D16" i="4"/>
  <c r="D42" i="4"/>
  <c r="D30" i="4"/>
  <c r="B30" i="4"/>
  <c r="B34" i="4"/>
  <c r="B16" i="4"/>
  <c r="B38" i="4"/>
  <c r="B20" i="4"/>
  <c r="B42" i="4"/>
  <c r="D24" i="4"/>
  <c r="C34" i="4"/>
  <c r="C16" i="4"/>
  <c r="C38" i="4"/>
  <c r="C20" i="4"/>
  <c r="C24" i="4"/>
  <c r="C30" i="4"/>
  <c r="F38" i="4"/>
  <c r="F20" i="4"/>
  <c r="F30" i="4"/>
  <c r="F16" i="4"/>
  <c r="F34" i="4"/>
  <c r="I44" i="4"/>
  <c r="I41" i="4"/>
  <c r="I42" i="4"/>
  <c r="B24" i="4"/>
  <c r="G30" i="4"/>
  <c r="G34" i="4"/>
  <c r="G16" i="4"/>
  <c r="G38" i="4"/>
  <c r="G20" i="4"/>
  <c r="F24" i="4"/>
  <c r="F8" i="4"/>
  <c r="C8" i="4"/>
  <c r="G8" i="4"/>
  <c r="H8" i="4"/>
  <c r="D8" i="4"/>
  <c r="E44" i="4"/>
  <c r="B8" i="4"/>
  <c r="J8" i="4"/>
  <c r="E21" i="1"/>
  <c r="E31" i="1"/>
  <c r="E37" i="1"/>
  <c r="E28" i="1"/>
  <c r="E40" i="1"/>
  <c r="I34" i="1"/>
  <c r="I28" i="1"/>
  <c r="I40" i="1"/>
  <c r="I31" i="1"/>
  <c r="I37" i="1"/>
  <c r="H28" i="1"/>
  <c r="H34" i="1"/>
  <c r="H37" i="1"/>
  <c r="H40" i="1"/>
  <c r="H31" i="1"/>
  <c r="E34" i="1"/>
  <c r="L40" i="1"/>
  <c r="L31" i="1"/>
  <c r="L37" i="1"/>
  <c r="L28" i="1"/>
  <c r="L34" i="1"/>
  <c r="J40" i="1"/>
  <c r="J31" i="1"/>
  <c r="J28" i="1"/>
  <c r="J37" i="1"/>
  <c r="F37" i="1"/>
  <c r="F31" i="1"/>
  <c r="F28" i="1"/>
  <c r="F40" i="1"/>
  <c r="F13" i="1"/>
  <c r="D21" i="1"/>
  <c r="B25" i="7" s="1"/>
  <c r="D40" i="1"/>
  <c r="D31" i="1"/>
  <c r="D37" i="1"/>
  <c r="D28" i="1"/>
  <c r="D34" i="1"/>
  <c r="F34" i="1"/>
  <c r="L18" i="1"/>
  <c r="L21" i="1"/>
  <c r="J25" i="7" s="1"/>
  <c r="I18" i="1"/>
  <c r="I21" i="1"/>
  <c r="J18" i="1"/>
  <c r="J21" i="1"/>
  <c r="F18" i="1"/>
  <c r="F21" i="1"/>
  <c r="H18" i="1"/>
  <c r="H21" i="1"/>
  <c r="F25" i="7" s="1"/>
  <c r="F14" i="1"/>
  <c r="E14" i="1"/>
  <c r="E18" i="1"/>
  <c r="D14" i="1"/>
  <c r="D18" i="1"/>
  <c r="I13" i="1"/>
  <c r="I14" i="1"/>
  <c r="J14" i="1"/>
  <c r="J13" i="1"/>
  <c r="H13" i="1"/>
  <c r="L13" i="1"/>
  <c r="AA8" i="1" l="1"/>
  <c r="G14" i="1"/>
  <c r="G71" i="1"/>
  <c r="G18" i="1"/>
  <c r="G21" i="1"/>
  <c r="AA21" i="1" s="1"/>
  <c r="G34" i="1"/>
  <c r="G31" i="1"/>
  <c r="F29" i="7"/>
  <c r="G13" i="1"/>
  <c r="I42" i="1"/>
  <c r="G27" i="7" s="1"/>
  <c r="G25" i="7"/>
  <c r="E91" i="1"/>
  <c r="C33" i="7"/>
  <c r="J29" i="7"/>
  <c r="L91" i="1"/>
  <c r="J33" i="7"/>
  <c r="D91" i="1"/>
  <c r="B33" i="7"/>
  <c r="E42" i="1"/>
  <c r="C25" i="7"/>
  <c r="F42" i="1"/>
  <c r="D27" i="7" s="1"/>
  <c r="D25" i="7"/>
  <c r="G42" i="1"/>
  <c r="E27" i="7" s="1"/>
  <c r="I91" i="1"/>
  <c r="G33" i="7"/>
  <c r="J91" i="1"/>
  <c r="H33" i="7"/>
  <c r="J42" i="1"/>
  <c r="H27" i="7" s="1"/>
  <c r="H25" i="7"/>
  <c r="F91" i="1"/>
  <c r="D33" i="7"/>
  <c r="H91" i="1"/>
  <c r="F33" i="7"/>
  <c r="K12" i="1"/>
  <c r="O13" i="1" s="1"/>
  <c r="H14" i="1"/>
  <c r="G88" i="1"/>
  <c r="D10" i="4"/>
  <c r="E16" i="4"/>
  <c r="E34" i="4"/>
  <c r="E20" i="4"/>
  <c r="E30" i="4"/>
  <c r="E38" i="4"/>
  <c r="I34" i="4"/>
  <c r="I38" i="4"/>
  <c r="I30" i="4"/>
  <c r="I20" i="4"/>
  <c r="I16" i="4"/>
  <c r="E24" i="4"/>
  <c r="G40" i="1"/>
  <c r="I8" i="4"/>
  <c r="J10" i="4" s="1"/>
  <c r="E42" i="4"/>
  <c r="G37" i="1"/>
  <c r="AA12" i="1"/>
  <c r="G28" i="1"/>
  <c r="I24" i="4"/>
  <c r="H42" i="1"/>
  <c r="F27" i="7" s="1"/>
  <c r="D42" i="1"/>
  <c r="L42" i="1"/>
  <c r="AC21" i="1"/>
  <c r="J9" i="4"/>
  <c r="G9" i="4"/>
  <c r="G10" i="4"/>
  <c r="C10" i="4"/>
  <c r="I10" i="4"/>
  <c r="E8" i="4"/>
  <c r="E10" i="4" s="1"/>
  <c r="H10" i="4"/>
  <c r="H9" i="4"/>
  <c r="F9" i="4"/>
  <c r="E25" i="7" l="1"/>
  <c r="K14" i="1"/>
  <c r="K71" i="1"/>
  <c r="K21" i="1"/>
  <c r="K42" i="1" s="1"/>
  <c r="AB12" i="1"/>
  <c r="I44" i="1"/>
  <c r="G35" i="7" s="1"/>
  <c r="I43" i="1"/>
  <c r="H31" i="7"/>
  <c r="J44" i="1"/>
  <c r="J92" i="1" s="1"/>
  <c r="J43" i="1"/>
  <c r="B27" i="7"/>
  <c r="F31" i="7" s="1"/>
  <c r="D50" i="1"/>
  <c r="G29" i="7"/>
  <c r="F44" i="1"/>
  <c r="D35" i="7" s="1"/>
  <c r="F43" i="1"/>
  <c r="I92" i="1"/>
  <c r="K18" i="1"/>
  <c r="G44" i="1"/>
  <c r="G43" i="1"/>
  <c r="AC42" i="1"/>
  <c r="J27" i="7"/>
  <c r="J31" i="7" s="1"/>
  <c r="E44" i="1"/>
  <c r="C27" i="7"/>
  <c r="H29" i="7"/>
  <c r="G91" i="1"/>
  <c r="E33" i="7"/>
  <c r="L14" i="1"/>
  <c r="K28" i="1"/>
  <c r="K31" i="1"/>
  <c r="K37" i="1"/>
  <c r="K13" i="1"/>
  <c r="K40" i="1"/>
  <c r="K34" i="1"/>
  <c r="K88" i="1"/>
  <c r="H44" i="1"/>
  <c r="L44" i="1"/>
  <c r="D44" i="1"/>
  <c r="AA42" i="1"/>
  <c r="L43" i="1"/>
  <c r="H43" i="1"/>
  <c r="I9" i="4"/>
  <c r="F10" i="4"/>
  <c r="AB21" i="1" l="1"/>
  <c r="I25" i="7"/>
  <c r="I29" i="7" s="1"/>
  <c r="H35" i="7"/>
  <c r="AA50" i="1"/>
  <c r="D55" i="1"/>
  <c r="D60" i="1" s="1"/>
  <c r="AA60" i="1" s="1"/>
  <c r="F92" i="1"/>
  <c r="L92" i="1"/>
  <c r="J35" i="7"/>
  <c r="K44" i="1"/>
  <c r="I27" i="7"/>
  <c r="I31" i="7" s="1"/>
  <c r="H92" i="1"/>
  <c r="F35" i="7"/>
  <c r="AB42" i="1"/>
  <c r="G92" i="1"/>
  <c r="E35" i="7"/>
  <c r="E92" i="1"/>
  <c r="C35" i="7"/>
  <c r="K43" i="1"/>
  <c r="D92" i="1"/>
  <c r="B35" i="7"/>
  <c r="K91" i="1"/>
  <c r="I33" i="7"/>
  <c r="AA55" i="1" l="1"/>
  <c r="D62" i="1"/>
  <c r="K92" i="1"/>
  <c r="I35" i="7"/>
  <c r="D66" i="1" l="1"/>
  <c r="H94" i="1" s="1"/>
  <c r="AA62" i="1"/>
  <c r="B37" i="7" l="1"/>
  <c r="F39" i="7" s="1"/>
  <c r="D70" i="1"/>
  <c r="D71" i="1" s="1"/>
  <c r="AA66" i="1"/>
  <c r="AA70" i="1" l="1"/>
  <c r="D82" i="1"/>
  <c r="D79" i="1"/>
  <c r="H83" i="1" l="1"/>
  <c r="H96" i="1"/>
  <c r="H80" i="1"/>
  <c r="H95" i="1"/>
</calcChain>
</file>

<file path=xl/sharedStrings.xml><?xml version="1.0" encoding="utf-8"?>
<sst xmlns="http://schemas.openxmlformats.org/spreadsheetml/2006/main" count="388" uniqueCount="190">
  <si>
    <t>Total Revenues</t>
  </si>
  <si>
    <t>   % Change YoY</t>
  </si>
  <si>
    <t>Gross Profit</t>
  </si>
  <si>
    <t>   % Gross Margins</t>
  </si>
  <si>
    <t>Operating Income</t>
  </si>
  <si>
    <t>   % Operating Margins</t>
  </si>
  <si>
    <t>Interest Expense</t>
  </si>
  <si>
    <t>Interest And Investment Income</t>
  </si>
  <si>
    <t>Other Non Operating Income (Expenses)</t>
  </si>
  <si>
    <t>EBT Excl. Unusual Items</t>
  </si>
  <si>
    <t>Merger &amp; Restructuring Charges</t>
  </si>
  <si>
    <t>Other Unusual Items</t>
  </si>
  <si>
    <t>EBT Incl. Unusual Items</t>
  </si>
  <si>
    <t>Income Tax Expense</t>
  </si>
  <si>
    <t>Earnings From Continuing Operations</t>
  </si>
  <si>
    <t>Net Income to Company</t>
  </si>
  <si>
    <t>Minority Interest</t>
  </si>
  <si>
    <t>Net Income</t>
  </si>
  <si>
    <t>Preferred Dividend and Other Adjustments</t>
  </si>
  <si>
    <t>Supplementary Data:</t>
  </si>
  <si>
    <t>Weighted Average Diluted Shares Outstanding</t>
  </si>
  <si>
    <t>Weighted Average Basic Shares Outstanding</t>
  </si>
  <si>
    <t>Basic EPS</t>
  </si>
  <si>
    <t>Selling and Marketing Expense</t>
  </si>
  <si>
    <t>General and Administrative Expense</t>
  </si>
  <si>
    <t>Balance Sheet</t>
  </si>
  <si>
    <t>Cash And Equivalents</t>
  </si>
  <si>
    <t>Total Cash And Short Term Investments</t>
  </si>
  <si>
    <t>Notes Receivable</t>
  </si>
  <si>
    <t>Total Receivables</t>
  </si>
  <si>
    <t>Restricted Cash</t>
  </si>
  <si>
    <t>Total Current Assets</t>
  </si>
  <si>
    <t>Gross Property Plant And Equipment</t>
  </si>
  <si>
    <t>Accumulated Depreciation</t>
  </si>
  <si>
    <t>Net Property Plant And Equipment</t>
  </si>
  <si>
    <t>Long-term Investments</t>
  </si>
  <si>
    <t>Goodwill</t>
  </si>
  <si>
    <t>Other Intangibles</t>
  </si>
  <si>
    <t>Accounts Receivable Long-Term</t>
  </si>
  <si>
    <t>Other Long-Term Assets</t>
  </si>
  <si>
    <t>Total Assets</t>
  </si>
  <si>
    <t>Accounts Payable</t>
  </si>
  <si>
    <t>Accrued Expenses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</si>
  <si>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</si>
  <si>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</si>
  <si>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</si>
  <si>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</si>
  <si>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</si>
  <si>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 Current Liabilities</t>
  </si>
  <si>
    <t>Total Liabilities</t>
  </si>
  <si>
    <t>Preferred Stock Convertible</t>
  </si>
  <si>
    <t>Total Preferred Equity</t>
  </si>
  <si>
    <t>Common Stock</t>
  </si>
  <si>
    <t>Additional Paid In Capital</t>
  </si>
  <si>
    <t>Retained Earnings</t>
  </si>
  <si>
    <t>Total Common Equity</t>
  </si>
  <si>
    <t>Total Equity</t>
  </si>
  <si>
    <t>Total Liabilities And Equity</t>
  </si>
  <si>
    <t>Total Shares Out. on Filing Date</t>
  </si>
  <si>
    <t>Book Value/Share</t>
  </si>
  <si>
    <t>Tangible Book Value</t>
  </si>
  <si>
    <t>Tangible Book Value/Share</t>
  </si>
  <si>
    <t>Total Debt</t>
  </si>
  <si>
    <t>Net Debt</t>
  </si>
  <si>
    <t>Total Minority Interest</t>
  </si>
  <si>
    <t>Full Time Employees</t>
  </si>
  <si>
    <t>Cash Flow Statement</t>
  </si>
  <si>
    <t>Depreciation &amp; Amortization</t>
  </si>
  <si>
    <t>Amortization of Goodwill and Intangible Assets</t>
  </si>
  <si>
    <t>Total Depreciation &amp; Amortization</t>
  </si>
  <si>
    <t>Amortization of Deferred Charges</t>
  </si>
  <si>
    <t>(Gain) Loss From Sale Of Asset</t>
  </si>
  <si>
    <t>(Gain) Loss on Sale of Investments</t>
  </si>
  <si>
    <t>Provision for Credit Losses</t>
  </si>
  <si>
    <t>Stock-Based Compensation</t>
  </si>
  <si>
    <t>Other Operating Activities</t>
  </si>
  <si>
    <t>Change In Accounts Payable</t>
  </si>
  <si>
    <t>Change in Other Net Operating Assets</t>
  </si>
  <si>
    <t>Cash from Operations</t>
  </si>
  <si>
    <t>Memo: Change in Net Working Capital</t>
  </si>
  <si>
    <t>Capital Expenditure</t>
  </si>
  <si>
    <t>Cash Acquisitions</t>
  </si>
  <si>
    <t>Sale (Purchase) of Intangible assets</t>
  </si>
  <si>
    <t>Investment in Marketable and Equity Securities</t>
  </si>
  <si>
    <t>Net (Increase) Decrease in Loans Originated / Sold - Investing</t>
  </si>
  <si>
    <t>Other Investing Activities</t>
  </si>
  <si>
    <t>Cash from Investing</t>
  </si>
  <si>
    <t>Total Debt Issued</t>
  </si>
  <si>
    <t>Total Debt Repaid</t>
  </si>
  <si>
    <t>Issuance of Common Stock</t>
  </si>
  <si>
    <t>Repurchase of Common Stock</t>
  </si>
  <si>
    <t>Issuance of Preferred Stock</t>
  </si>
  <si>
    <t>Repurchase of Preferred Stock</t>
  </si>
  <si>
    <t>Other Financing Activities</t>
  </si>
  <si>
    <t>Cash from Financing</t>
  </si>
  <si>
    <t>Net Change in Cash</t>
  </si>
  <si>
    <t>Free Cash Flow</t>
  </si>
  <si>
    <t>   % Free Cash Flow Margins</t>
  </si>
  <si>
    <t>Cash and Cash Equivalents, Beginning of Period</t>
  </si>
  <si>
    <t>Cash and Cash Equivalents, End of Period</t>
  </si>
  <si>
    <t>Cash Interest Paid</t>
  </si>
  <si>
    <t>Cash Taxes Paid</t>
  </si>
  <si>
    <t>Cash Flow per Share</t>
  </si>
  <si>
    <t>3Q19 A</t>
  </si>
  <si>
    <t>4Q19 A</t>
  </si>
  <si>
    <t>1Q20 A</t>
  </si>
  <si>
    <t>2Q20 A</t>
  </si>
  <si>
    <t>3Q20 A</t>
  </si>
  <si>
    <t>4Q20 A</t>
  </si>
  <si>
    <t>1Q21 A</t>
  </si>
  <si>
    <t>2Q21 A</t>
  </si>
  <si>
    <t>3Q21 A</t>
  </si>
  <si>
    <t>4Q21 A</t>
  </si>
  <si>
    <t>1Q22 A</t>
  </si>
  <si>
    <t>2Q22 E</t>
  </si>
  <si>
    <t>3Q22 E</t>
  </si>
  <si>
    <t>4Q22 E</t>
  </si>
  <si>
    <t>1Q23 E</t>
  </si>
  <si>
    <t>2Q23 E</t>
  </si>
  <si>
    <t>3Q23 E</t>
  </si>
  <si>
    <t>4Q23 E</t>
  </si>
  <si>
    <t>1Q24 E</t>
  </si>
  <si>
    <t>2Q24 E</t>
  </si>
  <si>
    <t>3Q24 E</t>
  </si>
  <si>
    <t>4Q24 E</t>
  </si>
  <si>
    <t>FY20</t>
  </si>
  <si>
    <t>FY21</t>
  </si>
  <si>
    <t>End</t>
  </si>
  <si>
    <t>FY22</t>
  </si>
  <si>
    <t>FY23</t>
  </si>
  <si>
    <t>FY24</t>
  </si>
  <si>
    <t xml:space="preserve">End </t>
  </si>
  <si>
    <t>NASDAQ: (UPST)</t>
  </si>
  <si>
    <t xml:space="preserve">Upstart Holdings, Inc. </t>
  </si>
  <si>
    <t xml:space="preserve">WhiteSky </t>
  </si>
  <si>
    <t>P&amp;L GAAP</t>
  </si>
  <si>
    <t>Revenue Build</t>
  </si>
  <si>
    <t>Revenue from Fees</t>
  </si>
  <si>
    <t>Total Revenue from Fees</t>
  </si>
  <si>
    <t>Interest Income</t>
  </si>
  <si>
    <t xml:space="preserve"> </t>
  </si>
  <si>
    <t xml:space="preserve">   % Growth YoY</t>
  </si>
  <si>
    <t xml:space="preserve">   % of Revenue</t>
  </si>
  <si>
    <t xml:space="preserve">   % Growth QoQ</t>
  </si>
  <si>
    <t>Fair Value &amp; Other Adjustments</t>
  </si>
  <si>
    <t>Net Interest Income</t>
  </si>
  <si>
    <t xml:space="preserve">   % Change QoQ</t>
  </si>
  <si>
    <t/>
  </si>
  <si>
    <t>Total General &amp; Admin Expenses</t>
  </si>
  <si>
    <t>Operating Expenses</t>
  </si>
  <si>
    <t>Total Operating Expenses</t>
  </si>
  <si>
    <t xml:space="preserve">Engineering &amp; Product Development </t>
  </si>
  <si>
    <t>Customer Operations</t>
  </si>
  <si>
    <t xml:space="preserve">Upstart Holdings Inc. </t>
  </si>
  <si>
    <t>FY25</t>
  </si>
  <si>
    <t>Total</t>
  </si>
  <si>
    <t>FY26</t>
  </si>
  <si>
    <t>FY27</t>
  </si>
  <si>
    <t>$ in Millions</t>
  </si>
  <si>
    <t>Summary</t>
  </si>
  <si>
    <t>FY20 E</t>
  </si>
  <si>
    <t>Revenue YoY</t>
  </si>
  <si>
    <t>Total Revenue YoY</t>
  </si>
  <si>
    <t>Platform &amp; Referral Fees YoY</t>
  </si>
  <si>
    <t>Servicing &amp; Other Fees</t>
  </si>
  <si>
    <t>Platform &amp; Referral Fees</t>
  </si>
  <si>
    <t xml:space="preserve">Interest Income &amp; Fair Value Adjustments </t>
  </si>
  <si>
    <t>Total Interest Income &amp; Fair Value Adjustments</t>
  </si>
  <si>
    <t>Servicing &amp; Other Fees YoY</t>
  </si>
  <si>
    <t>Total Interest Income &amp; Fair Value Adjustments YoY</t>
  </si>
  <si>
    <t>Gross Margin</t>
  </si>
  <si>
    <t>Operating Margin</t>
  </si>
  <si>
    <t>Total Operating Expense % of Revenues</t>
  </si>
  <si>
    <t>Total Operating Expense</t>
  </si>
  <si>
    <t xml:space="preserve">Operating Income </t>
  </si>
  <si>
    <t>Total Operating Expense YoY</t>
  </si>
  <si>
    <t>Gross Profit YoY</t>
  </si>
  <si>
    <t>Operating Income YoY</t>
  </si>
  <si>
    <t>BS</t>
  </si>
  <si>
    <t>CFS</t>
  </si>
  <si>
    <t>Net Income YoY</t>
  </si>
  <si>
    <t>Effective Tax Rate</t>
  </si>
  <si>
    <t>Diluted EPS</t>
  </si>
  <si>
    <t xml:space="preserve">   % Net Income to Common </t>
  </si>
  <si>
    <t xml:space="preserve">Net Income to Common </t>
  </si>
  <si>
    <t>-</t>
  </si>
  <si>
    <t>Weighted Average Diluted Shares Outstanding YoY</t>
  </si>
  <si>
    <t xml:space="preserve">Weighted Average Basic Shares Outstanding YoY </t>
  </si>
  <si>
    <t>Basic EPS YoY</t>
  </si>
  <si>
    <t>Diluted EPS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</si>
</sst>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0.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Libre Baskerville"/>
    </font>
    <font>
      <sz val="12"/>
      <color theme="1"/>
      <name val="Avenir Book"/>
      <family val="2"/>
    </font>
    <font>
      <b/>
      <i/>
      <sz val="20"/>
      <color theme="1"/>
      <name val="Avenir Book"/>
      <family val="2"/>
    </font>
    <font>
      <b/>
      <sz val="12"/>
      <color theme="1"/>
      <name val="Avenir Book"/>
      <family val="2"/>
    </font>
    <font>
      <b/>
      <i/>
      <sz val="20"/>
      <color theme="1"/>
      <name val="Helvetica Light"/>
    </font>
    <font>
      <sz val="12"/>
      <color theme="1"/>
      <name val="Helvetica Light"/>
    </font>
    <font>
      <u/>
      <sz val="12"/>
      <color theme="1"/>
      <name val="Helvetica Light"/>
    </font>
    <font>
      <i/>
      <sz val="12"/>
      <color theme="1"/>
      <name val="Helvetica Light"/>
    </font>
    <font>
      <b/>
      <sz val="12"/>
      <color theme="1"/>
      <name val="Helvetica Light"/>
    </font>
    <font>
      <sz val="12"/>
      <color theme="1"/>
      <name val="Helvetica"/>
      <family val="2"/>
    </font>
    <font>
      <b/>
      <sz val="8"/>
      <color rgb="FF7C7C7C"/>
      <name val="Helvetica"/>
      <family val="2"/>
    </font>
    <font>
      <sz val="8"/>
      <color rgb="FF7C7C7C"/>
      <name val="Helvetica"/>
      <family val="2"/>
    </font>
    <font>
      <b/>
      <i/>
      <sz val="12"/>
      <color theme="1"/>
      <name val="Helvetica Light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b/>
      <i/>
      <sz val="20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i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FFC000"/>
      </left>
      <right/>
      <top/>
      <bottom/>
      <diagonal/>
    </border>
    <border>
      <left style="thin">
        <color rgb="FFFFC000"/>
      </left>
      <right/>
      <top style="thin">
        <color theme="1"/>
      </top>
      <bottom/>
      <diagonal/>
    </border>
    <border>
      <left style="thin">
        <color rgb="FFFFC000"/>
      </left>
      <right/>
      <top/>
      <bottom style="thin">
        <color theme="1"/>
      </bottom>
      <diagonal/>
    </border>
    <border>
      <left/>
      <right style="thin">
        <color theme="0"/>
      </right>
      <top style="thin">
        <color theme="1"/>
      </top>
      <bottom/>
      <diagonal/>
    </border>
    <border>
      <left/>
      <right style="thin">
        <color theme="0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2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5" fillId="2" borderId="0" xfId="0" applyFont="1" applyFill="1"/>
    <xf numFmtId="14" fontId="4" fillId="2" borderId="0" xfId="0" applyNumberFormat="1" applyFont="1" applyFill="1"/>
    <xf numFmtId="0" fontId="6" fillId="2" borderId="0" xfId="0" applyFont="1" applyFill="1"/>
    <xf numFmtId="4" fontId="4" fillId="2" borderId="0" xfId="0" applyNumberFormat="1" applyFont="1" applyFill="1"/>
    <xf numFmtId="10" fontId="4" fillId="2" borderId="0" xfId="0" applyNumberFormat="1" applyFont="1" applyFill="1"/>
    <xf numFmtId="0" fontId="7" fillId="2" borderId="0" xfId="0" applyFont="1" applyFill="1"/>
    <xf numFmtId="0" fontId="8" fillId="2" borderId="0" xfId="0" applyFont="1" applyFill="1"/>
    <xf numFmtId="4" fontId="8" fillId="2" borderId="0" xfId="0" applyNumberFormat="1" applyFont="1" applyFill="1"/>
    <xf numFmtId="0" fontId="9" fillId="2" borderId="0" xfId="1" applyFont="1" applyFill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11" xfId="0" applyFont="1" applyFill="1" applyBorder="1"/>
    <xf numFmtId="14" fontId="8" fillId="2" borderId="12" xfId="0" applyNumberFormat="1" applyFont="1" applyFill="1" applyBorder="1"/>
    <xf numFmtId="14" fontId="8" fillId="2" borderId="13" xfId="0" applyNumberFormat="1" applyFont="1" applyFill="1" applyBorder="1"/>
    <xf numFmtId="14" fontId="8" fillId="2" borderId="14" xfId="0" applyNumberFormat="1" applyFont="1" applyFill="1" applyBorder="1"/>
    <xf numFmtId="0" fontId="8" fillId="2" borderId="15" xfId="0" applyFont="1" applyFill="1" applyBorder="1"/>
    <xf numFmtId="164" fontId="10" fillId="2" borderId="0" xfId="0" applyNumberFormat="1" applyFont="1" applyFill="1"/>
    <xf numFmtId="0" fontId="8" fillId="2" borderId="16" xfId="0" applyFont="1" applyFill="1" applyBorder="1"/>
    <xf numFmtId="0" fontId="8" fillId="2" borderId="18" xfId="0" applyFont="1" applyFill="1" applyBorder="1"/>
    <xf numFmtId="0" fontId="11" fillId="2" borderId="0" xfId="0" applyFont="1" applyFill="1"/>
    <xf numFmtId="14" fontId="8" fillId="2" borderId="17" xfId="0" applyNumberFormat="1" applyFont="1" applyFill="1" applyBorder="1"/>
    <xf numFmtId="0" fontId="8" fillId="2" borderId="12" xfId="0" applyFont="1" applyFill="1" applyBorder="1"/>
    <xf numFmtId="0" fontId="8" fillId="2" borderId="13" xfId="0" applyFont="1" applyFill="1" applyBorder="1"/>
    <xf numFmtId="0" fontId="8" fillId="2" borderId="19" xfId="0" applyFont="1" applyFill="1" applyBorder="1"/>
    <xf numFmtId="0" fontId="8" fillId="2" borderId="14" xfId="0" applyFont="1" applyFill="1" applyBorder="1"/>
    <xf numFmtId="0" fontId="8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0" borderId="0" xfId="0" applyFont="1" applyAlignment="1">
      <alignment horizontal="left" vertical="center"/>
    </xf>
    <xf numFmtId="0" fontId="10" fillId="2" borderId="0" xfId="0" applyFont="1" applyFill="1"/>
    <xf numFmtId="9" fontId="10" fillId="2" borderId="0" xfId="0" applyNumberFormat="1" applyFont="1" applyFill="1"/>
    <xf numFmtId="9" fontId="10" fillId="2" borderId="0" xfId="2" applyFont="1" applyFill="1"/>
    <xf numFmtId="0" fontId="11" fillId="2" borderId="15" xfId="0" applyFont="1" applyFill="1" applyBorder="1"/>
    <xf numFmtId="0" fontId="1" fillId="2" borderId="0" xfId="1" applyFill="1" applyAlignment="1">
      <alignment horizontal="left"/>
    </xf>
    <xf numFmtId="164" fontId="9" fillId="2" borderId="0" xfId="1" applyNumberFormat="1" applyFont="1" applyFill="1"/>
    <xf numFmtId="0" fontId="8" fillId="2" borderId="0" xfId="1" applyFont="1" applyFill="1" applyAlignment="1">
      <alignment horizontal="left"/>
    </xf>
    <xf numFmtId="165" fontId="8" fillId="2" borderId="0" xfId="0" applyNumberFormat="1" applyFont="1" applyFill="1"/>
    <xf numFmtId="165" fontId="8" fillId="2" borderId="15" xfId="0" applyNumberFormat="1" applyFont="1" applyFill="1" applyBorder="1"/>
    <xf numFmtId="0" fontId="15" fillId="2" borderId="0" xfId="0" applyFont="1" applyFill="1"/>
    <xf numFmtId="9" fontId="15" fillId="2" borderId="0" xfId="2" applyFont="1" applyFill="1"/>
    <xf numFmtId="0" fontId="10" fillId="2" borderId="15" xfId="0" applyFont="1" applyFill="1" applyBorder="1"/>
    <xf numFmtId="0" fontId="15" fillId="2" borderId="15" xfId="0" applyFont="1" applyFill="1" applyBorder="1"/>
    <xf numFmtId="165" fontId="11" fillId="2" borderId="0" xfId="0" applyNumberFormat="1" applyFont="1" applyFill="1"/>
    <xf numFmtId="9" fontId="15" fillId="2" borderId="0" xfId="0" applyNumberFormat="1" applyFont="1" applyFill="1"/>
    <xf numFmtId="0" fontId="14" fillId="0" borderId="0" xfId="0" applyFont="1" applyAlignment="1">
      <alignment horizontal="center" vertical="top" wrapText="1"/>
    </xf>
    <xf numFmtId="0" fontId="17" fillId="0" borderId="0" xfId="0" applyFont="1" applyFill="1" applyAlignment="1">
      <alignment vertical="center"/>
    </xf>
    <xf numFmtId="0" fontId="18" fillId="0" borderId="0" xfId="0" applyFont="1" applyFill="1"/>
    <xf numFmtId="0" fontId="19" fillId="0" borderId="0" xfId="0" applyFont="1" applyFill="1"/>
    <xf numFmtId="0" fontId="18" fillId="0" borderId="9" xfId="0" applyFont="1" applyFill="1" applyBorder="1"/>
    <xf numFmtId="0" fontId="18" fillId="0" borderId="10" xfId="0" applyFont="1" applyFill="1" applyBorder="1"/>
    <xf numFmtId="0" fontId="18" fillId="0" borderId="11" xfId="0" applyFont="1" applyFill="1" applyBorder="1"/>
    <xf numFmtId="0" fontId="18" fillId="0" borderId="1" xfId="0" applyFont="1" applyFill="1" applyBorder="1"/>
    <xf numFmtId="0" fontId="18" fillId="0" borderId="2" xfId="0" applyFont="1" applyFill="1" applyBorder="1"/>
    <xf numFmtId="0" fontId="18" fillId="0" borderId="3" xfId="0" applyFont="1" applyFill="1" applyBorder="1"/>
    <xf numFmtId="0" fontId="20" fillId="0" borderId="0" xfId="0" applyFont="1" applyFill="1"/>
    <xf numFmtId="14" fontId="18" fillId="0" borderId="12" xfId="0" applyNumberFormat="1" applyFont="1" applyFill="1" applyBorder="1"/>
    <xf numFmtId="14" fontId="18" fillId="0" borderId="13" xfId="0" applyNumberFormat="1" applyFont="1" applyFill="1" applyBorder="1"/>
    <xf numFmtId="14" fontId="18" fillId="0" borderId="14" xfId="0" applyNumberFormat="1" applyFont="1" applyFill="1" applyBorder="1"/>
    <xf numFmtId="0" fontId="18" fillId="0" borderId="4" xfId="0" applyFont="1" applyFill="1" applyBorder="1"/>
    <xf numFmtId="0" fontId="18" fillId="0" borderId="5" xfId="0" applyFont="1" applyFill="1" applyBorder="1"/>
    <xf numFmtId="0" fontId="18" fillId="0" borderId="6" xfId="0" applyFont="1" applyFill="1" applyBorder="1"/>
    <xf numFmtId="0" fontId="18" fillId="0" borderId="7" xfId="0" applyFont="1" applyFill="1" applyBorder="1"/>
    <xf numFmtId="2" fontId="18" fillId="0" borderId="8" xfId="0" applyNumberFormat="1" applyFont="1" applyFill="1" applyBorder="1"/>
    <xf numFmtId="0" fontId="18" fillId="0" borderId="8" xfId="0" applyFont="1" applyFill="1" applyBorder="1"/>
    <xf numFmtId="0" fontId="21" fillId="0" borderId="0" xfId="0" applyFont="1" applyFill="1"/>
    <xf numFmtId="2" fontId="21" fillId="0" borderId="0" xfId="0" applyNumberFormat="1" applyFont="1" applyFill="1"/>
    <xf numFmtId="9" fontId="21" fillId="0" borderId="0" xfId="2" applyFont="1" applyFill="1" applyBorder="1"/>
    <xf numFmtId="2" fontId="18" fillId="0" borderId="0" xfId="0" applyNumberFormat="1" applyFont="1" applyFill="1"/>
    <xf numFmtId="9" fontId="21" fillId="0" borderId="0" xfId="2" applyFont="1" applyFill="1"/>
    <xf numFmtId="9" fontId="18" fillId="0" borderId="0" xfId="2" applyFont="1" applyFill="1"/>
    <xf numFmtId="0" fontId="22" fillId="0" borderId="0" xfId="0" applyFont="1" applyFill="1"/>
    <xf numFmtId="0" fontId="0" fillId="0" borderId="0" xfId="0" applyFont="1" applyFill="1"/>
    <xf numFmtId="164" fontId="0" fillId="0" borderId="0" xfId="0" applyNumberFormat="1" applyFont="1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16" fillId="0" borderId="4" xfId="0" applyFont="1" applyFill="1" applyBorder="1"/>
    <xf numFmtId="14" fontId="0" fillId="0" borderId="4" xfId="0" applyNumberFormat="1" applyFont="1" applyFill="1" applyBorder="1"/>
    <xf numFmtId="14" fontId="0" fillId="0" borderId="5" xfId="0" applyNumberFormat="1" applyFont="1" applyFill="1" applyBorder="1"/>
    <xf numFmtId="14" fontId="0" fillId="0" borderId="6" xfId="0" applyNumberFormat="1" applyFont="1" applyFill="1" applyBorder="1"/>
    <xf numFmtId="0" fontId="0" fillId="0" borderId="5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2" fontId="0" fillId="0" borderId="0" xfId="0" applyNumberFormat="1" applyFont="1" applyFill="1"/>
    <xf numFmtId="0" fontId="16" fillId="0" borderId="7" xfId="0" applyFont="1" applyFill="1" applyBorder="1"/>
    <xf numFmtId="0" fontId="16" fillId="0" borderId="8" xfId="0" applyFont="1" applyFill="1" applyBorder="1"/>
    <xf numFmtId="2" fontId="16" fillId="0" borderId="8" xfId="0" applyNumberFormat="1" applyFont="1" applyFill="1" applyBorder="1"/>
    <xf numFmtId="0" fontId="23" fillId="0" borderId="0" xfId="0" applyFont="1" applyFill="1"/>
    <xf numFmtId="9" fontId="23" fillId="0" borderId="0" xfId="0" applyNumberFormat="1" applyFont="1" applyFill="1"/>
    <xf numFmtId="9" fontId="23" fillId="0" borderId="0" xfId="2" applyFont="1" applyFill="1"/>
    <xf numFmtId="0" fontId="23" fillId="0" borderId="0" xfId="0" quotePrefix="1" applyFont="1" applyFill="1"/>
    <xf numFmtId="10" fontId="23" fillId="0" borderId="0" xfId="0" applyNumberFormat="1" applyFont="1" applyFill="1"/>
    <xf numFmtId="0" fontId="0" fillId="0" borderId="7" xfId="0" applyFont="1" applyFill="1" applyBorder="1"/>
    <xf numFmtId="10" fontId="23" fillId="0" borderId="8" xfId="0" applyNumberFormat="1" applyFont="1" applyFill="1" applyBorder="1"/>
    <xf numFmtId="0" fontId="0" fillId="0" borderId="8" xfId="0" applyFont="1" applyFill="1" applyBorder="1"/>
    <xf numFmtId="2" fontId="0" fillId="0" borderId="8" xfId="0" applyNumberFormat="1" applyFont="1" applyFill="1" applyBorder="1"/>
    <xf numFmtId="9" fontId="0" fillId="0" borderId="0" xfId="2" applyFont="1" applyFill="1"/>
    <xf numFmtId="0" fontId="24" fillId="0" borderId="0" xfId="0" applyFont="1" applyFill="1"/>
    <xf numFmtId="9" fontId="24" fillId="0" borderId="0" xfId="2" applyFont="1" applyFill="1"/>
    <xf numFmtId="9" fontId="0" fillId="0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56"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b val="0"/>
        <i val="0"/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b val="0"/>
        <i val="0"/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b val="0"/>
        <i val="0"/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b val="0"/>
        <i val="0"/>
        <color rgb="FFBD352B"/>
      </font>
    </dxf>
    <dxf>
      <font>
        <color rgb="FFBD352B"/>
      </font>
    </dxf>
  </dxfs>
  <tableStyles count="0" defaultTableStyle="TableStyleMedium2" defaultPivotStyle="PivotStyleLight16"/>
  <colors>
    <mruColors>
      <color rgb="FFBD35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tikr.com/account/subs?ref=64an27" TargetMode="External"/><Relationship Id="rId2" Type="http://schemas.openxmlformats.org/officeDocument/2006/relationships/hyperlink" Target="https://app.tikr.com/account/subs?ref=64an27" TargetMode="External"/><Relationship Id="rId1" Type="http://schemas.openxmlformats.org/officeDocument/2006/relationships/hyperlink" Target="https://app.tikr.com/account/subs?ref=64an27" TargetMode="External"/><Relationship Id="rId6" Type="http://schemas.openxmlformats.org/officeDocument/2006/relationships/hyperlink" Target="https://app.tikr.com/account/subs?ref=64an27" TargetMode="External"/><Relationship Id="rId5" Type="http://schemas.openxmlformats.org/officeDocument/2006/relationships/hyperlink" Target="https://app.tikr.com/account/subs?ref=64an27" TargetMode="External"/><Relationship Id="rId4" Type="http://schemas.openxmlformats.org/officeDocument/2006/relationships/hyperlink" Target="https://app.tikr.com/account/subs?ref=64an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E023B-C9DE-A643-84E0-907C0A7F451C}">
  <dimension ref="A3:F28"/>
  <sheetViews>
    <sheetView workbookViewId="0">
      <selection activeCell="A17" sqref="A17"/>
    </sheetView>
  </sheetViews>
  <sheetFormatPr baseColWidth="10" defaultRowHeight="16"/>
  <cols>
    <col min="1" max="1" width="33.83203125" style="9" customWidth="1"/>
    <col min="2" max="16384" width="10.83203125" style="9"/>
  </cols>
  <sheetData>
    <row r="3" spans="1:1">
      <c r="A3" s="28" t="s">
        <v>153</v>
      </c>
    </row>
    <row r="4" spans="1:1">
      <c r="A4" s="28" t="s">
        <v>132</v>
      </c>
    </row>
    <row r="8" spans="1:1">
      <c r="A8" s="36" t="s">
        <v>159</v>
      </c>
    </row>
    <row r="9" spans="1:1">
      <c r="A9" s="36" t="s">
        <v>136</v>
      </c>
    </row>
    <row r="10" spans="1:1">
      <c r="A10" s="36" t="s">
        <v>135</v>
      </c>
    </row>
    <row r="11" spans="1:1">
      <c r="A11" s="36" t="s">
        <v>178</v>
      </c>
    </row>
    <row r="12" spans="1:1">
      <c r="A12" s="36" t="s">
        <v>179</v>
      </c>
    </row>
    <row r="25" spans="1:6">
      <c r="A25" s="37"/>
    </row>
    <row r="26" spans="1:6" s="29" customFormat="1">
      <c r="A26" s="30"/>
    </row>
    <row r="27" spans="1:6" s="29" customFormat="1"/>
    <row r="28" spans="1:6" s="29" customFormat="1" ht="285" customHeight="1">
      <c r="A28" s="46"/>
      <c r="B28" s="46"/>
      <c r="C28" s="46"/>
      <c r="D28" s="46"/>
      <c r="E28" s="46"/>
      <c r="F28" s="46"/>
    </row>
  </sheetData>
  <mergeCells count="1">
    <mergeCell ref="A28:F28"/>
  </mergeCells>
  <conditionalFormatting sqref="A8:A12">
    <cfRule type="cellIs" dxfId="29" priority="1" operator="lessThan">
      <formula>0</formula>
    </cfRule>
  </conditionalFormatting>
  <hyperlinks>
    <hyperlink ref="A8" location="Main!A1" display="Main" xr:uid="{6E79BD3A-B46E-B841-A8F6-A6D41929D3CC}"/>
    <hyperlink ref="A9" location="'Revenue Build'!A1" display="Revenue Build" xr:uid="{FDE5C1E7-A650-4B47-93A0-385019B43191}"/>
    <hyperlink ref="A10" location="'P&amp;L GAAP'!A1" display="P&amp;L GAAP" xr:uid="{164CEBE5-3A7F-F44D-B840-334DF07B0944}"/>
    <hyperlink ref="A11" location="BS!A1" display="BS" xr:uid="{5FD56826-B50A-9349-9FDA-0EB7AA970BEB}"/>
    <hyperlink ref="A12" location="CFS!A1" display="CFS" xr:uid="{EEE12E93-9F06-D54F-9393-D78B352313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17DD-AFE4-1C4A-B6FB-E076A76B8E5F}">
  <dimension ref="A1:AF46"/>
  <sheetViews>
    <sheetView workbookViewId="0">
      <pane xSplit="1" ySplit="14" topLeftCell="B36" activePane="bottomRight" state="frozen"/>
      <selection pane="topRight" activeCell="B1" sqref="B1"/>
      <selection pane="bottomLeft" activeCell="A8" sqref="A8"/>
      <selection pane="bottomRight" activeCell="D11" sqref="D11"/>
    </sheetView>
  </sheetViews>
  <sheetFormatPr baseColWidth="10" defaultRowHeight="16"/>
  <cols>
    <col min="1" max="1" width="48.5" style="9" bestFit="1" customWidth="1"/>
    <col min="2" max="4" width="8" style="9" bestFit="1" customWidth="1"/>
    <col min="5" max="5" width="9.1640625" style="9" bestFit="1" customWidth="1"/>
    <col min="6" max="8" width="8" style="9" bestFit="1" customWidth="1"/>
    <col min="9" max="9" width="9.1640625" style="9" bestFit="1" customWidth="1"/>
    <col min="10" max="10" width="8" style="9" bestFit="1" customWidth="1"/>
    <col min="11" max="11" width="8" style="18" bestFit="1" customWidth="1"/>
    <col min="12" max="12" width="8" style="9" bestFit="1" customWidth="1"/>
    <col min="13" max="13" width="9.1640625" style="9" bestFit="1" customWidth="1"/>
    <col min="14" max="16" width="8" style="9" bestFit="1" customWidth="1"/>
    <col min="17" max="17" width="9.1640625" style="9" bestFit="1" customWidth="1"/>
    <col min="18" max="20" width="8" style="9" bestFit="1" customWidth="1"/>
    <col min="21" max="21" width="9.1640625" style="9" bestFit="1" customWidth="1"/>
    <col min="22" max="24" width="10.83203125" style="9"/>
    <col min="25" max="25" width="7.5" style="9" bestFit="1" customWidth="1"/>
    <col min="26" max="32" width="5.83203125" style="9" bestFit="1" customWidth="1"/>
    <col min="33" max="16384" width="10.83203125" style="9"/>
  </cols>
  <sheetData>
    <row r="1" spans="1:32" ht="81" customHeight="1">
      <c r="A1" s="1"/>
    </row>
    <row r="2" spans="1:32" ht="26">
      <c r="A2" s="8" t="s">
        <v>133</v>
      </c>
    </row>
    <row r="3" spans="1:32">
      <c r="A3" s="9" t="s">
        <v>132</v>
      </c>
    </row>
    <row r="4" spans="1:32">
      <c r="A4" s="19" t="s">
        <v>158</v>
      </c>
    </row>
    <row r="5" spans="1:32">
      <c r="A5" s="19"/>
    </row>
    <row r="6" spans="1:32">
      <c r="A6" s="35"/>
    </row>
    <row r="7" spans="1:32">
      <c r="A7" s="36" t="s">
        <v>159</v>
      </c>
    </row>
    <row r="8" spans="1:32">
      <c r="A8" s="36" t="s">
        <v>136</v>
      </c>
    </row>
    <row r="9" spans="1:32">
      <c r="A9" s="36" t="s">
        <v>135</v>
      </c>
    </row>
    <row r="10" spans="1:32">
      <c r="A10" s="36" t="s">
        <v>178</v>
      </c>
    </row>
    <row r="11" spans="1:32">
      <c r="A11" s="36" t="s">
        <v>179</v>
      </c>
    </row>
    <row r="13" spans="1:32">
      <c r="B13" s="12" t="s">
        <v>105</v>
      </c>
      <c r="C13" s="13" t="s">
        <v>106</v>
      </c>
      <c r="D13" s="13" t="s">
        <v>107</v>
      </c>
      <c r="E13" s="13" t="s">
        <v>108</v>
      </c>
      <c r="F13" s="13" t="s">
        <v>109</v>
      </c>
      <c r="G13" s="13" t="s">
        <v>110</v>
      </c>
      <c r="H13" s="13" t="s">
        <v>111</v>
      </c>
      <c r="I13" s="13" t="s">
        <v>112</v>
      </c>
      <c r="J13" s="13" t="s">
        <v>113</v>
      </c>
      <c r="K13" s="20" t="s">
        <v>114</v>
      </c>
      <c r="L13" s="13" t="s">
        <v>115</v>
      </c>
      <c r="M13" s="13" t="s">
        <v>116</v>
      </c>
      <c r="N13" s="13" t="s">
        <v>117</v>
      </c>
      <c r="O13" s="13" t="s">
        <v>118</v>
      </c>
      <c r="P13" s="13" t="s">
        <v>119</v>
      </c>
      <c r="Q13" s="13" t="s">
        <v>120</v>
      </c>
      <c r="R13" s="13" t="s">
        <v>121</v>
      </c>
      <c r="S13" s="13" t="s">
        <v>122</v>
      </c>
      <c r="T13" s="13" t="s">
        <v>123</v>
      </c>
      <c r="U13" s="14" t="s">
        <v>124</v>
      </c>
      <c r="Y13" s="12" t="s">
        <v>160</v>
      </c>
      <c r="Z13" s="13" t="s">
        <v>126</v>
      </c>
      <c r="AA13" s="13" t="s">
        <v>128</v>
      </c>
      <c r="AB13" s="13" t="s">
        <v>129</v>
      </c>
      <c r="AC13" s="21" t="s">
        <v>130</v>
      </c>
      <c r="AD13" s="13" t="s">
        <v>154</v>
      </c>
      <c r="AE13" s="13" t="s">
        <v>156</v>
      </c>
      <c r="AF13" s="14" t="s">
        <v>157</v>
      </c>
    </row>
    <row r="14" spans="1:32">
      <c r="A14" s="22" t="s">
        <v>159</v>
      </c>
      <c r="B14" s="15">
        <v>43921</v>
      </c>
      <c r="C14" s="16">
        <v>44012</v>
      </c>
      <c r="D14" s="16">
        <v>44104</v>
      </c>
      <c r="E14" s="16">
        <v>44196</v>
      </c>
      <c r="F14" s="16">
        <v>44286</v>
      </c>
      <c r="G14" s="16">
        <v>44377</v>
      </c>
      <c r="H14" s="16">
        <v>44469</v>
      </c>
      <c r="I14" s="16">
        <v>44561</v>
      </c>
      <c r="J14" s="16">
        <v>44651</v>
      </c>
      <c r="K14" s="23">
        <f>G14+365</f>
        <v>44742</v>
      </c>
      <c r="L14" s="16">
        <f t="shared" ref="L14:Q14" si="0">H14+365</f>
        <v>44834</v>
      </c>
      <c r="M14" s="16">
        <f t="shared" si="0"/>
        <v>44926</v>
      </c>
      <c r="N14" s="16">
        <f t="shared" si="0"/>
        <v>45016</v>
      </c>
      <c r="O14" s="16">
        <f t="shared" si="0"/>
        <v>45107</v>
      </c>
      <c r="P14" s="16">
        <f t="shared" si="0"/>
        <v>45199</v>
      </c>
      <c r="Q14" s="16">
        <f t="shared" si="0"/>
        <v>45291</v>
      </c>
      <c r="R14" s="16">
        <f>N14+366</f>
        <v>45382</v>
      </c>
      <c r="S14" s="16">
        <f t="shared" ref="S14:U14" si="1">O14+366</f>
        <v>45473</v>
      </c>
      <c r="T14" s="16">
        <f t="shared" si="1"/>
        <v>45565</v>
      </c>
      <c r="U14" s="17">
        <f t="shared" si="1"/>
        <v>45657</v>
      </c>
      <c r="Y14" s="24"/>
      <c r="Z14" s="25"/>
      <c r="AA14" s="25"/>
      <c r="AB14" s="25"/>
      <c r="AC14" s="26"/>
      <c r="AD14" s="25"/>
      <c r="AE14" s="25"/>
      <c r="AF14" s="27"/>
    </row>
    <row r="15" spans="1:32" s="22" customFormat="1">
      <c r="A15" s="22" t="s">
        <v>0</v>
      </c>
      <c r="B15" s="44">
        <f>'Revenue Build'!B44</f>
        <v>63.989999999999995</v>
      </c>
      <c r="C15" s="44">
        <f>'Revenue Build'!C44</f>
        <v>17.344000000000001</v>
      </c>
      <c r="D15" s="44">
        <f>'Revenue Build'!D44</f>
        <v>65.36</v>
      </c>
      <c r="E15" s="44">
        <f>'Revenue Build'!E44</f>
        <v>86.722000000000008</v>
      </c>
      <c r="F15" s="44">
        <f>'Revenue Build'!F44</f>
        <v>121.35</v>
      </c>
      <c r="G15" s="44">
        <f>'Revenue Build'!G44</f>
        <v>193.95000000000002</v>
      </c>
      <c r="H15" s="44">
        <f>'Revenue Build'!H44</f>
        <v>228.45</v>
      </c>
      <c r="I15" s="44">
        <f>'Revenue Build'!I44</f>
        <v>304.83899999999994</v>
      </c>
      <c r="J15" s="44">
        <f>'Revenue Build'!J44</f>
        <v>310.13</v>
      </c>
      <c r="K15" s="34"/>
    </row>
    <row r="16" spans="1:32">
      <c r="A16" s="9" t="s">
        <v>165</v>
      </c>
      <c r="B16" s="38">
        <f>'Revenue Build'!B14</f>
        <v>60.23</v>
      </c>
      <c r="C16" s="38">
        <f>'Revenue Build'!C14</f>
        <v>7.61</v>
      </c>
      <c r="D16" s="38">
        <f>'Revenue Build'!D14</f>
        <v>55.64</v>
      </c>
      <c r="E16" s="38">
        <f>'Revenue Build'!E14</f>
        <v>76.777000000000001</v>
      </c>
      <c r="F16" s="38">
        <f>'Revenue Build'!F14</f>
        <v>106.95</v>
      </c>
      <c r="G16" s="38">
        <f>'Revenue Build'!G14</f>
        <v>169.08</v>
      </c>
      <c r="H16" s="38">
        <f>'Revenue Build'!H14</f>
        <v>191.44</v>
      </c>
      <c r="I16" s="38">
        <f>'Revenue Build'!I14</f>
        <v>258.69099999999992</v>
      </c>
      <c r="J16" s="38">
        <f>'Revenue Build'!J14</f>
        <v>271.81</v>
      </c>
    </row>
    <row r="17" spans="1:11">
      <c r="A17" s="9" t="s">
        <v>164</v>
      </c>
      <c r="B17" s="38">
        <f>'Revenue Build'!B18</f>
        <v>7.78</v>
      </c>
      <c r="C17" s="38">
        <f>'Revenue Build'!C18</f>
        <v>5.69</v>
      </c>
      <c r="D17" s="38">
        <f>'Revenue Build'!D18</f>
        <v>7.22</v>
      </c>
      <c r="E17" s="38">
        <f>'Revenue Build'!E18</f>
        <v>7.6529999999999987</v>
      </c>
      <c r="F17" s="38">
        <f>'Revenue Build'!F18</f>
        <v>9.2200000000000006</v>
      </c>
      <c r="G17" s="38">
        <f>'Revenue Build'!G18</f>
        <v>18.22</v>
      </c>
      <c r="H17" s="38">
        <f>'Revenue Build'!H18</f>
        <v>18.98</v>
      </c>
      <c r="I17" s="38">
        <f>'Revenue Build'!I18</f>
        <v>28.694000000000003</v>
      </c>
      <c r="J17" s="38">
        <f>'Revenue Build'!J18</f>
        <v>42.17</v>
      </c>
    </row>
    <row r="18" spans="1:11">
      <c r="A18" s="9" t="s">
        <v>167</v>
      </c>
      <c r="B18" s="38">
        <f>'Revenue Build'!B40</f>
        <v>-4.0199999999999996</v>
      </c>
      <c r="C18" s="38">
        <f>'Revenue Build'!C40</f>
        <v>4.0440000000000005</v>
      </c>
      <c r="D18" s="38">
        <f>'Revenue Build'!D40</f>
        <v>2.4999999999999991</v>
      </c>
      <c r="E18" s="38">
        <f>'Revenue Build'!E40</f>
        <v>2.291999999999998</v>
      </c>
      <c r="F18" s="38">
        <f>'Revenue Build'!F40</f>
        <v>5.18</v>
      </c>
      <c r="G18" s="38">
        <f>'Revenue Build'!G40</f>
        <v>6.6499999999999995</v>
      </c>
      <c r="H18" s="38">
        <f>'Revenue Build'!H40</f>
        <v>18.03</v>
      </c>
      <c r="I18" s="38">
        <f>'Revenue Build'!I40</f>
        <v>17.454000000000001</v>
      </c>
      <c r="J18" s="38">
        <f>'Revenue Build'!J40</f>
        <v>-3.8499999999999979</v>
      </c>
    </row>
    <row r="20" spans="1:11" s="40" customFormat="1">
      <c r="A20" s="40" t="s">
        <v>162</v>
      </c>
      <c r="F20" s="41">
        <f>F15/B15-1</f>
        <v>0.896390060947023</v>
      </c>
      <c r="G20" s="41">
        <f t="shared" ref="G20:J23" si="2">G15/C15-1</f>
        <v>10.18254151291513</v>
      </c>
      <c r="H20" s="41">
        <f t="shared" si="2"/>
        <v>2.4952570379436962</v>
      </c>
      <c r="I20" s="41">
        <f t="shared" si="2"/>
        <v>2.5151288023800178</v>
      </c>
      <c r="J20" s="41">
        <f t="shared" si="2"/>
        <v>1.5556654305727236</v>
      </c>
      <c r="K20" s="43"/>
    </row>
    <row r="21" spans="1:11" s="31" customFormat="1">
      <c r="A21" s="31" t="s">
        <v>163</v>
      </c>
      <c r="F21" s="33">
        <f t="shared" ref="F21:F23" si="3">F16/B16-1</f>
        <v>0.77569317615806099</v>
      </c>
      <c r="G21" s="33">
        <f t="shared" si="2"/>
        <v>21.218134034165573</v>
      </c>
      <c r="H21" s="33">
        <f t="shared" si="2"/>
        <v>2.4406901509705246</v>
      </c>
      <c r="I21" s="33">
        <f t="shared" si="2"/>
        <v>2.3693814553837726</v>
      </c>
      <c r="J21" s="33">
        <f t="shared" si="2"/>
        <v>1.5414679756895744</v>
      </c>
      <c r="K21" s="42"/>
    </row>
    <row r="22" spans="1:11" s="31" customFormat="1">
      <c r="A22" s="31" t="s">
        <v>168</v>
      </c>
      <c r="F22" s="33">
        <f t="shared" si="3"/>
        <v>0.18508997429305918</v>
      </c>
      <c r="G22" s="33">
        <f t="shared" si="2"/>
        <v>2.2021089630931456</v>
      </c>
      <c r="H22" s="33">
        <f t="shared" si="2"/>
        <v>1.628808864265928</v>
      </c>
      <c r="I22" s="33">
        <f t="shared" si="2"/>
        <v>2.7493793283679611</v>
      </c>
      <c r="J22" s="33">
        <f t="shared" si="2"/>
        <v>3.5737527114967458</v>
      </c>
      <c r="K22" s="42"/>
    </row>
    <row r="23" spans="1:11" s="31" customFormat="1">
      <c r="A23" s="31" t="s">
        <v>169</v>
      </c>
      <c r="F23" s="33">
        <f t="shared" si="3"/>
        <v>-2.2885572139303481</v>
      </c>
      <c r="G23" s="33">
        <f t="shared" si="2"/>
        <v>0.64441147378832797</v>
      </c>
      <c r="H23" s="33">
        <f t="shared" si="2"/>
        <v>6.2120000000000033</v>
      </c>
      <c r="I23" s="33">
        <f t="shared" si="2"/>
        <v>6.6151832460733049</v>
      </c>
      <c r="J23" s="33">
        <f t="shared" si="2"/>
        <v>-1.743243243243243</v>
      </c>
      <c r="K23" s="42"/>
    </row>
    <row r="25" spans="1:11">
      <c r="A25" s="9" t="s">
        <v>2</v>
      </c>
      <c r="B25" s="38">
        <f>'P&amp;L GAAP'!D21</f>
        <v>55.179999999999993</v>
      </c>
      <c r="C25" s="38">
        <f>'P&amp;L GAAP'!E21</f>
        <v>10.724</v>
      </c>
      <c r="D25" s="38">
        <f>'P&amp;L GAAP'!F21</f>
        <v>56</v>
      </c>
      <c r="E25" s="38">
        <f>'P&amp;L GAAP'!G21</f>
        <v>73.932000000000016</v>
      </c>
      <c r="F25" s="38">
        <f>'P&amp;L GAAP'!H21</f>
        <v>103.96</v>
      </c>
      <c r="G25" s="38">
        <f>'P&amp;L GAAP'!I21</f>
        <v>169.79000000000002</v>
      </c>
      <c r="H25" s="38">
        <f>'P&amp;L GAAP'!J21</f>
        <v>193.47</v>
      </c>
      <c r="I25" s="38">
        <f>'P&amp;L GAAP'!K21</f>
        <v>263.78899999999993</v>
      </c>
      <c r="J25" s="38">
        <f>'P&amp;L GAAP'!L21</f>
        <v>261.72000000000003</v>
      </c>
    </row>
    <row r="26" spans="1:11">
      <c r="A26" s="9" t="s">
        <v>173</v>
      </c>
      <c r="B26" s="38">
        <f>'P&amp;L GAAP'!D39</f>
        <v>-54.63</v>
      </c>
      <c r="C26" s="38">
        <f>'P&amp;L GAAP'!E39</f>
        <v>-22.12</v>
      </c>
      <c r="D26" s="38">
        <f>'P&amp;L GAAP'!F39</f>
        <v>-43.79</v>
      </c>
      <c r="E26" s="38">
        <f>'P&amp;L GAAP'!G39</f>
        <v>-63.53</v>
      </c>
      <c r="F26" s="38">
        <f>'P&amp;L GAAP'!H39</f>
        <v>-88.38</v>
      </c>
      <c r="G26" s="38">
        <f>'P&amp;L GAAP'!I39</f>
        <v>-133.47</v>
      </c>
      <c r="H26" s="38">
        <f>'P&amp;L GAAP'!J39</f>
        <v>-164.87</v>
      </c>
      <c r="I26" s="38">
        <f>'P&amp;L GAAP'!K39</f>
        <v>-203.39</v>
      </c>
      <c r="J26" s="38">
        <f>'P&amp;L GAAP'!L39</f>
        <v>-226.9</v>
      </c>
    </row>
    <row r="27" spans="1:11" s="22" customFormat="1">
      <c r="A27" s="22" t="s">
        <v>174</v>
      </c>
      <c r="B27" s="44">
        <f>'P&amp;L GAAP'!D42</f>
        <v>0.54999999999999005</v>
      </c>
      <c r="C27" s="44">
        <f>'P&amp;L GAAP'!E42</f>
        <v>-11.396000000000001</v>
      </c>
      <c r="D27" s="44">
        <f>'P&amp;L GAAP'!F42</f>
        <v>12.21</v>
      </c>
      <c r="E27" s="44">
        <f>'P&amp;L GAAP'!G42</f>
        <v>10.402000000000015</v>
      </c>
      <c r="F27" s="44">
        <f>'P&amp;L GAAP'!H42</f>
        <v>15.579999999999998</v>
      </c>
      <c r="G27" s="44">
        <f>'P&amp;L GAAP'!I42</f>
        <v>36.320000000000022</v>
      </c>
      <c r="H27" s="44">
        <f>'P&amp;L GAAP'!J42</f>
        <v>28.599999999999994</v>
      </c>
      <c r="I27" s="44">
        <f>'P&amp;L GAAP'!K42</f>
        <v>60.398999999999944</v>
      </c>
      <c r="J27" s="44">
        <f>'P&amp;L GAAP'!L42</f>
        <v>34.820000000000022</v>
      </c>
      <c r="K27" s="34"/>
    </row>
    <row r="29" spans="1:11" s="31" customFormat="1">
      <c r="A29" s="31" t="s">
        <v>176</v>
      </c>
      <c r="F29" s="33">
        <f>F25/B25-1</f>
        <v>0.88401594780717674</v>
      </c>
      <c r="G29" s="33">
        <f t="shared" ref="G29:J31" si="4">G25/C25-1</f>
        <v>14.83271167474823</v>
      </c>
      <c r="H29" s="33">
        <f t="shared" si="4"/>
        <v>2.4548214285714285</v>
      </c>
      <c r="I29" s="33">
        <f t="shared" si="4"/>
        <v>2.5679949142455212</v>
      </c>
      <c r="J29" s="33">
        <f t="shared" si="4"/>
        <v>1.5175067333589847</v>
      </c>
      <c r="K29" s="42"/>
    </row>
    <row r="30" spans="1:11" s="31" customFormat="1">
      <c r="A30" s="31" t="s">
        <v>175</v>
      </c>
      <c r="F30" s="33">
        <f t="shared" ref="F30:F31" si="5">F26/B26-1</f>
        <v>0.61779242174629312</v>
      </c>
      <c r="G30" s="33">
        <f t="shared" si="4"/>
        <v>5.0339059674502709</v>
      </c>
      <c r="H30" s="33">
        <f t="shared" si="4"/>
        <v>2.765014843571592</v>
      </c>
      <c r="I30" s="33">
        <f t="shared" si="4"/>
        <v>2.201479615929482</v>
      </c>
      <c r="J30" s="33">
        <f t="shared" si="4"/>
        <v>1.5673229237384025</v>
      </c>
      <c r="K30" s="42"/>
    </row>
    <row r="31" spans="1:11" s="40" customFormat="1">
      <c r="A31" s="40" t="s">
        <v>177</v>
      </c>
      <c r="F31" s="41">
        <f t="shared" si="5"/>
        <v>27.327272727273236</v>
      </c>
      <c r="G31" s="41" t="s">
        <v>185</v>
      </c>
      <c r="H31" s="41">
        <f t="shared" si="4"/>
        <v>1.3423423423423415</v>
      </c>
      <c r="I31" s="41">
        <f t="shared" si="4"/>
        <v>4.8064795231686075</v>
      </c>
      <c r="J31" s="41">
        <f t="shared" si="4"/>
        <v>1.2349165596919143</v>
      </c>
      <c r="K31" s="43"/>
    </row>
    <row r="32" spans="1:11">
      <c r="A32" s="22"/>
    </row>
    <row r="33" spans="1:21" s="31" customFormat="1">
      <c r="A33" s="31" t="s">
        <v>172</v>
      </c>
      <c r="B33" s="32">
        <f>'P&amp;L GAAP'!D40</f>
        <v>-0.85372714486638546</v>
      </c>
      <c r="C33" s="32">
        <f>'P&amp;L GAAP'!E40</f>
        <v>-1.2753690036900369</v>
      </c>
      <c r="D33" s="32">
        <f>'P&amp;L GAAP'!F40</f>
        <v>-0.66998164014687878</v>
      </c>
      <c r="E33" s="32">
        <f>'P&amp;L GAAP'!G40</f>
        <v>-0.73257074329466565</v>
      </c>
      <c r="F33" s="32">
        <f>'P&amp;L GAAP'!H40</f>
        <v>-0.72830655129789867</v>
      </c>
      <c r="G33" s="32">
        <f>'P&amp;L GAAP'!I40</f>
        <v>-0.68816705336426909</v>
      </c>
      <c r="H33" s="32">
        <f>'P&amp;L GAAP'!J40</f>
        <v>-0.72168964762530097</v>
      </c>
      <c r="I33" s="32">
        <f>'P&amp;L GAAP'!K40</f>
        <v>-0.66720465557228581</v>
      </c>
      <c r="J33" s="32">
        <f>'P&amp;L GAAP'!L40</f>
        <v>-0.73162867184728975</v>
      </c>
      <c r="K33" s="42"/>
    </row>
    <row r="34" spans="1:21" s="31" customFormat="1">
      <c r="A34" s="31" t="s">
        <v>170</v>
      </c>
      <c r="B34" s="32">
        <f>'P&amp;L GAAP'!D23</f>
        <v>0.86899999999999999</v>
      </c>
      <c r="C34" s="32">
        <f>'P&amp;L GAAP'!E23</f>
        <v>0.66200000000000003</v>
      </c>
      <c r="D34" s="32">
        <f>'P&amp;L GAAP'!F23</f>
        <v>0.86</v>
      </c>
      <c r="E34" s="32">
        <f>'P&amp;L GAAP'!G23</f>
        <v>0.85399999999999998</v>
      </c>
      <c r="F34" s="32">
        <f>'P&amp;L GAAP'!H23</f>
        <v>0.85799999999999998</v>
      </c>
      <c r="G34" s="32">
        <f>'P&amp;L GAAP'!I23</f>
        <v>0.876</v>
      </c>
      <c r="H34" s="32">
        <f>'P&amp;L GAAP'!J23</f>
        <v>0.84699999999999998</v>
      </c>
      <c r="I34" s="32">
        <f>'P&amp;L GAAP'!K23</f>
        <v>0.86599999999999999</v>
      </c>
      <c r="J34" s="32">
        <f>'P&amp;L GAAP'!L23</f>
        <v>0.84399999999999997</v>
      </c>
      <c r="K34" s="42"/>
    </row>
    <row r="35" spans="1:21" s="40" customFormat="1">
      <c r="A35" s="40" t="s">
        <v>171</v>
      </c>
      <c r="B35" s="45">
        <f>'P&amp;L GAAP'!D44</f>
        <v>8.5950929832784833E-3</v>
      </c>
      <c r="C35" s="45">
        <f>'P&amp;L GAAP'!E44</f>
        <v>-0.65705719557195574</v>
      </c>
      <c r="D35" s="45">
        <f>'P&amp;L GAAP'!F44</f>
        <v>0.18681150550795594</v>
      </c>
      <c r="E35" s="45">
        <f>'P&amp;L GAAP'!G44</f>
        <v>0.11994649569890009</v>
      </c>
      <c r="F35" s="45">
        <f>'P&amp;L GAAP'!H44</f>
        <v>0.12838895756077462</v>
      </c>
      <c r="G35" s="45">
        <f>'P&amp;L GAAP'!I44</f>
        <v>0.18726475895849456</v>
      </c>
      <c r="H35" s="45">
        <f>'P&amp;L GAAP'!J44</f>
        <v>0.12519150798861894</v>
      </c>
      <c r="I35" s="45">
        <f>'P&amp;L GAAP'!K44</f>
        <v>0.19813409701514556</v>
      </c>
      <c r="J35" s="45">
        <f>'P&amp;L GAAP'!L44</f>
        <v>0.11227549737206982</v>
      </c>
      <c r="K35" s="43"/>
    </row>
    <row r="37" spans="1:21" s="22" customFormat="1">
      <c r="A37" s="22" t="s">
        <v>17</v>
      </c>
      <c r="B37" s="22">
        <f>'P&amp;L GAAP'!D66</f>
        <v>1.47999999999999</v>
      </c>
      <c r="C37" s="22">
        <f>'P&amp;L GAAP'!E66</f>
        <v>-6.19</v>
      </c>
      <c r="D37" s="22">
        <f>'P&amp;L GAAP'!F66</f>
        <v>9.67</v>
      </c>
      <c r="E37" s="22">
        <f>'P&amp;L GAAP'!G66</f>
        <v>1.0299999999999998</v>
      </c>
      <c r="F37" s="22">
        <f>'P&amp;L GAAP'!H66</f>
        <v>10.1</v>
      </c>
      <c r="G37" s="22">
        <f>'P&amp;L GAAP'!I66</f>
        <v>37.28</v>
      </c>
      <c r="H37" s="22">
        <f>'P&amp;L GAAP'!J66</f>
        <v>29.12</v>
      </c>
      <c r="I37" s="22">
        <f>'P&amp;L GAAP'!K66</f>
        <v>58.95</v>
      </c>
      <c r="J37" s="22">
        <f>'P&amp;L GAAP'!L66</f>
        <v>32.69</v>
      </c>
      <c r="K37" s="34"/>
    </row>
    <row r="38" spans="1:21">
      <c r="A38" s="22"/>
    </row>
    <row r="39" spans="1:21" s="40" customFormat="1">
      <c r="A39" s="40" t="s">
        <v>180</v>
      </c>
      <c r="F39" s="41">
        <f>F37/B37-1</f>
        <v>5.8243243243243699</v>
      </c>
      <c r="G39" s="41" t="s">
        <v>185</v>
      </c>
      <c r="H39" s="41">
        <f t="shared" ref="H39:J39" si="6">H37/D37-1</f>
        <v>2.0113753877973113</v>
      </c>
      <c r="I39" s="41">
        <f t="shared" si="6"/>
        <v>56.233009708737875</v>
      </c>
      <c r="J39" s="41">
        <f t="shared" si="6"/>
        <v>2.2366336633663364</v>
      </c>
      <c r="K39" s="43"/>
    </row>
    <row r="41" spans="1:21">
      <c r="A41" s="9" t="s">
        <v>21</v>
      </c>
      <c r="B41" s="38">
        <f>'P&amp;L GAAP'!D76</f>
        <v>14.63</v>
      </c>
      <c r="C41" s="38">
        <f>'P&amp;L GAAP'!E76</f>
        <v>14.66</v>
      </c>
      <c r="D41" s="38">
        <f>'P&amp;L GAAP'!F76</f>
        <v>14.71</v>
      </c>
      <c r="E41" s="38">
        <f>'P&amp;L GAAP'!G76</f>
        <v>26</v>
      </c>
      <c r="F41" s="38">
        <f>'P&amp;L GAAP'!H76</f>
        <v>73.63</v>
      </c>
      <c r="G41" s="38">
        <f>'P&amp;L GAAP'!I76</f>
        <v>76.67</v>
      </c>
      <c r="H41" s="38">
        <f>'P&amp;L GAAP'!J76</f>
        <v>79.39</v>
      </c>
      <c r="I41" s="38">
        <f>'P&amp;L GAAP'!K76</f>
        <v>82.62</v>
      </c>
      <c r="J41" s="38">
        <f>'P&amp;L GAAP'!L76</f>
        <v>84.23</v>
      </c>
      <c r="K41" s="38">
        <f>'P&amp;L GAAP'!M76</f>
        <v>82</v>
      </c>
      <c r="L41" s="38">
        <f>'P&amp;L GAAP'!N76</f>
        <v>80</v>
      </c>
      <c r="M41" s="38">
        <f>'P&amp;L GAAP'!O76</f>
        <v>79</v>
      </c>
      <c r="N41" s="38">
        <f>'P&amp;L GAAP'!P76</f>
        <v>81</v>
      </c>
      <c r="O41" s="38">
        <f>'P&amp;L GAAP'!Q76</f>
        <v>83</v>
      </c>
      <c r="P41" s="38">
        <f>'P&amp;L GAAP'!R76</f>
        <v>84</v>
      </c>
      <c r="Q41" s="38">
        <f>'P&amp;L GAAP'!S76</f>
        <v>0</v>
      </c>
      <c r="R41" s="38">
        <f>'P&amp;L GAAP'!T76</f>
        <v>0</v>
      </c>
      <c r="S41" s="38">
        <f>'P&amp;L GAAP'!U76</f>
        <v>0</v>
      </c>
      <c r="T41" s="38">
        <f>'P&amp;L GAAP'!V76</f>
        <v>0</v>
      </c>
      <c r="U41" s="38">
        <f>'P&amp;L GAAP'!W76</f>
        <v>0</v>
      </c>
    </row>
    <row r="42" spans="1:21">
      <c r="A42" s="9" t="s">
        <v>20</v>
      </c>
      <c r="B42" s="38">
        <f>'P&amp;L GAAP'!D73</f>
        <v>14.63</v>
      </c>
      <c r="C42" s="38">
        <f>'P&amp;L GAAP'!E73</f>
        <v>14.66</v>
      </c>
      <c r="D42" s="38">
        <f>'P&amp;L GAAP'!F73</f>
        <v>26.75</v>
      </c>
      <c r="E42" s="38">
        <f>'P&amp;L GAAP'!G73</f>
        <v>26</v>
      </c>
      <c r="F42" s="38">
        <f>'P&amp;L GAAP'!H73</f>
        <v>91.45</v>
      </c>
      <c r="G42" s="38">
        <f>'P&amp;L GAAP'!I73</f>
        <v>94.8</v>
      </c>
      <c r="H42" s="38">
        <f>'P&amp;L GAAP'!J73</f>
        <v>96.06</v>
      </c>
      <c r="I42" s="38">
        <f>'P&amp;L GAAP'!K73</f>
        <v>98.8</v>
      </c>
      <c r="J42" s="38">
        <f>'P&amp;L GAAP'!L73</f>
        <v>95.46</v>
      </c>
      <c r="K42" s="38">
        <f>'P&amp;L GAAP'!M73</f>
        <v>92</v>
      </c>
      <c r="L42" s="38">
        <f>'P&amp;L GAAP'!N73</f>
        <v>90</v>
      </c>
      <c r="M42" s="38">
        <f>'P&amp;L GAAP'!O73</f>
        <v>89</v>
      </c>
      <c r="N42" s="38">
        <f>'P&amp;L GAAP'!P73</f>
        <v>91</v>
      </c>
      <c r="O42" s="38">
        <f>'P&amp;L GAAP'!Q73</f>
        <v>94</v>
      </c>
      <c r="P42" s="38">
        <f>'P&amp;L GAAP'!R73</f>
        <v>96</v>
      </c>
      <c r="Q42" s="38">
        <f>'P&amp;L GAAP'!S73</f>
        <v>0</v>
      </c>
      <c r="R42" s="38">
        <f>'P&amp;L GAAP'!T73</f>
        <v>0</v>
      </c>
      <c r="S42" s="38">
        <f>'P&amp;L GAAP'!U73</f>
        <v>0</v>
      </c>
      <c r="T42" s="38">
        <f>'P&amp;L GAAP'!V73</f>
        <v>0</v>
      </c>
      <c r="U42" s="38">
        <f>'P&amp;L GAAP'!W73</f>
        <v>0</v>
      </c>
    </row>
    <row r="45" spans="1:21">
      <c r="K45" s="39"/>
      <c r="L45" s="38"/>
      <c r="M45" s="38"/>
      <c r="N45" s="38"/>
      <c r="O45" s="38"/>
    </row>
    <row r="46" spans="1:21">
      <c r="A46" s="22"/>
      <c r="K46" s="39"/>
      <c r="L46" s="38"/>
      <c r="M46" s="38"/>
      <c r="N46" s="38"/>
      <c r="O46" s="38"/>
    </row>
  </sheetData>
  <hyperlinks>
    <hyperlink ref="A7" location="Main!A1" display="Main" xr:uid="{5B2F4BB4-71A3-2347-BBA6-274517097507}"/>
    <hyperlink ref="A8" location="'Revenue Build'!A1" display="Revenue Build" xr:uid="{E237C3F2-5342-9347-9F49-668DA2A31693}"/>
    <hyperlink ref="A9" location="'P&amp;L GAAP'!A1" display="P&amp;L GAAP" xr:uid="{B6BD1599-9E2B-C141-9369-A8652E27C5F7}"/>
    <hyperlink ref="A10" location="BS!A1" display="BS" xr:uid="{CB344E6B-C9DE-204A-AA1A-855B8804E655}"/>
    <hyperlink ref="A11" location="CFS!A1" display="CFS" xr:uid="{AE8FE2AA-7719-4543-9299-F65FC27822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EDD18-96DA-4242-BBE2-2C2F01176C7B}">
  <dimension ref="A1:AF50"/>
  <sheetViews>
    <sheetView workbookViewId="0">
      <pane xSplit="1" ySplit="6" topLeftCell="B7" activePane="bottomRight" state="frozen"/>
      <selection pane="topRight" activeCell="B1" sqref="B1"/>
      <selection pane="bottomLeft" activeCell="A9" sqref="A9"/>
      <selection pane="bottomRight" activeCell="D17" sqref="D17"/>
    </sheetView>
  </sheetViews>
  <sheetFormatPr baseColWidth="10" defaultRowHeight="16"/>
  <cols>
    <col min="1" max="1" width="59" style="48" bestFit="1" customWidth="1"/>
    <col min="2" max="4" width="8.33203125" style="48" bestFit="1" customWidth="1"/>
    <col min="5" max="5" width="9.5" style="48" bestFit="1" customWidth="1"/>
    <col min="6" max="8" width="8.33203125" style="48" bestFit="1" customWidth="1"/>
    <col min="9" max="9" width="9.5" style="48" bestFit="1" customWidth="1"/>
    <col min="10" max="12" width="8.33203125" style="48" bestFit="1" customWidth="1"/>
    <col min="13" max="13" width="9.5" style="48" bestFit="1" customWidth="1"/>
    <col min="14" max="16" width="8.33203125" style="48" bestFit="1" customWidth="1"/>
    <col min="17" max="17" width="9.5" style="48" bestFit="1" customWidth="1"/>
    <col min="18" max="20" width="8.33203125" style="48" bestFit="1" customWidth="1"/>
    <col min="21" max="21" width="9.5" style="48" bestFit="1" customWidth="1"/>
    <col min="22" max="24" width="10.83203125" style="48"/>
    <col min="25" max="25" width="10.1640625" style="48" bestFit="1" customWidth="1"/>
    <col min="26" max="26" width="7.5" style="48" bestFit="1" customWidth="1"/>
    <col min="27" max="29" width="5.83203125" style="48" bestFit="1" customWidth="1"/>
    <col min="30" max="32" width="6.5" style="48" customWidth="1"/>
    <col min="33" max="16384" width="10.83203125" style="48"/>
  </cols>
  <sheetData>
    <row r="1" spans="1:32" ht="81" customHeight="1">
      <c r="A1" s="47"/>
    </row>
    <row r="2" spans="1:32" ht="26">
      <c r="A2" s="49" t="s">
        <v>133</v>
      </c>
    </row>
    <row r="3" spans="1:32">
      <c r="A3" s="48" t="s">
        <v>132</v>
      </c>
    </row>
    <row r="5" spans="1:32">
      <c r="B5" s="50" t="s">
        <v>105</v>
      </c>
      <c r="C5" s="51" t="s">
        <v>106</v>
      </c>
      <c r="D5" s="51" t="s">
        <v>107</v>
      </c>
      <c r="E5" s="51" t="s">
        <v>108</v>
      </c>
      <c r="F5" s="51" t="s">
        <v>109</v>
      </c>
      <c r="G5" s="51" t="s">
        <v>110</v>
      </c>
      <c r="H5" s="51" t="s">
        <v>111</v>
      </c>
      <c r="I5" s="51" t="s">
        <v>112</v>
      </c>
      <c r="J5" s="51" t="s">
        <v>113</v>
      </c>
      <c r="K5" s="51" t="s">
        <v>114</v>
      </c>
      <c r="L5" s="51" t="s">
        <v>115</v>
      </c>
      <c r="M5" s="51" t="s">
        <v>116</v>
      </c>
      <c r="N5" s="51" t="s">
        <v>117</v>
      </c>
      <c r="O5" s="51" t="s">
        <v>118</v>
      </c>
      <c r="P5" s="51" t="s">
        <v>119</v>
      </c>
      <c r="Q5" s="51" t="s">
        <v>120</v>
      </c>
      <c r="R5" s="51" t="s">
        <v>121</v>
      </c>
      <c r="S5" s="51" t="s">
        <v>122</v>
      </c>
      <c r="T5" s="51" t="s">
        <v>123</v>
      </c>
      <c r="U5" s="52" t="s">
        <v>124</v>
      </c>
      <c r="Y5" s="53" t="s">
        <v>125</v>
      </c>
      <c r="Z5" s="54" t="s">
        <v>126</v>
      </c>
      <c r="AA5" s="54" t="s">
        <v>128</v>
      </c>
      <c r="AB5" s="54" t="s">
        <v>129</v>
      </c>
      <c r="AC5" s="55" t="s">
        <v>130</v>
      </c>
      <c r="AD5" s="48" t="s">
        <v>154</v>
      </c>
      <c r="AE5" s="48" t="s">
        <v>156</v>
      </c>
      <c r="AF5" s="48" t="s">
        <v>157</v>
      </c>
    </row>
    <row r="6" spans="1:32">
      <c r="A6" s="56" t="s">
        <v>136</v>
      </c>
      <c r="B6" s="57">
        <v>43921</v>
      </c>
      <c r="C6" s="58">
        <v>44012</v>
      </c>
      <c r="D6" s="58">
        <v>44104</v>
      </c>
      <c r="E6" s="58">
        <v>44196</v>
      </c>
      <c r="F6" s="58">
        <v>44286</v>
      </c>
      <c r="G6" s="58">
        <v>44377</v>
      </c>
      <c r="H6" s="58">
        <v>44469</v>
      </c>
      <c r="I6" s="58">
        <v>44561</v>
      </c>
      <c r="J6" s="58">
        <v>44651</v>
      </c>
      <c r="K6" s="58">
        <f>G6+365</f>
        <v>44742</v>
      </c>
      <c r="L6" s="58">
        <f t="shared" ref="L6:Q6" si="0">H6+365</f>
        <v>44834</v>
      </c>
      <c r="M6" s="58">
        <f t="shared" si="0"/>
        <v>44926</v>
      </c>
      <c r="N6" s="58">
        <f t="shared" si="0"/>
        <v>45016</v>
      </c>
      <c r="O6" s="58">
        <f t="shared" si="0"/>
        <v>45107</v>
      </c>
      <c r="P6" s="58">
        <f t="shared" si="0"/>
        <v>45199</v>
      </c>
      <c r="Q6" s="58">
        <f t="shared" si="0"/>
        <v>45291</v>
      </c>
      <c r="R6" s="58">
        <f>N6+366</f>
        <v>45382</v>
      </c>
      <c r="S6" s="58">
        <f t="shared" ref="S6:U6" si="1">O6+366</f>
        <v>45473</v>
      </c>
      <c r="T6" s="58">
        <f t="shared" si="1"/>
        <v>45565</v>
      </c>
      <c r="U6" s="59">
        <f t="shared" si="1"/>
        <v>45657</v>
      </c>
      <c r="Y6" s="60" t="s">
        <v>155</v>
      </c>
      <c r="Z6" s="61" t="s">
        <v>155</v>
      </c>
      <c r="AA6" s="61" t="s">
        <v>155</v>
      </c>
      <c r="AB6" s="61" t="s">
        <v>155</v>
      </c>
      <c r="AC6" s="62" t="s">
        <v>155</v>
      </c>
      <c r="AD6" s="48" t="s">
        <v>155</v>
      </c>
      <c r="AE6" s="48" t="s">
        <v>155</v>
      </c>
      <c r="AF6" s="48" t="s">
        <v>155</v>
      </c>
    </row>
    <row r="8" spans="1:32" s="65" customFormat="1">
      <c r="A8" s="63" t="s">
        <v>0</v>
      </c>
      <c r="B8" s="64">
        <f>B44</f>
        <v>63.989999999999995</v>
      </c>
      <c r="C8" s="64">
        <f>C44</f>
        <v>17.344000000000001</v>
      </c>
      <c r="D8" s="64">
        <f t="shared" ref="D8:J8" si="2">D44</f>
        <v>65.36</v>
      </c>
      <c r="E8" s="64">
        <f t="shared" si="2"/>
        <v>86.722000000000008</v>
      </c>
      <c r="F8" s="64">
        <f t="shared" si="2"/>
        <v>121.35</v>
      </c>
      <c r="G8" s="64">
        <f t="shared" si="2"/>
        <v>193.95000000000002</v>
      </c>
      <c r="H8" s="64">
        <f t="shared" si="2"/>
        <v>228.45</v>
      </c>
      <c r="I8" s="64">
        <f t="shared" si="2"/>
        <v>304.83899999999994</v>
      </c>
      <c r="J8" s="64">
        <f t="shared" si="2"/>
        <v>310.13</v>
      </c>
    </row>
    <row r="9" spans="1:32" s="66" customFormat="1">
      <c r="A9" s="66" t="s">
        <v>141</v>
      </c>
      <c r="B9" s="67"/>
      <c r="C9" s="67"/>
      <c r="D9" s="67"/>
      <c r="E9" s="68"/>
      <c r="F9" s="68">
        <f t="shared" ref="F9:I9" si="3">F8/B8-1</f>
        <v>0.896390060947023</v>
      </c>
      <c r="G9" s="68">
        <f t="shared" si="3"/>
        <v>10.18254151291513</v>
      </c>
      <c r="H9" s="68">
        <f t="shared" si="3"/>
        <v>2.4952570379436962</v>
      </c>
      <c r="I9" s="68">
        <f t="shared" si="3"/>
        <v>2.5151288023800178</v>
      </c>
      <c r="J9" s="68">
        <f>J8/F8-1</f>
        <v>1.5556654305727236</v>
      </c>
    </row>
    <row r="10" spans="1:32" s="66" customFormat="1">
      <c r="A10" s="66" t="s">
        <v>143</v>
      </c>
      <c r="B10" s="67"/>
      <c r="C10" s="68">
        <f>C8/B8-1</f>
        <v>-0.728957649632755</v>
      </c>
      <c r="D10" s="68">
        <f t="shared" ref="D10:J10" si="4">D8/C8-1</f>
        <v>2.7684501845018445</v>
      </c>
      <c r="E10" s="68">
        <f t="shared" si="4"/>
        <v>0.32683598531211766</v>
      </c>
      <c r="F10" s="68">
        <f t="shared" si="4"/>
        <v>0.39929890915799882</v>
      </c>
      <c r="G10" s="68">
        <f t="shared" si="4"/>
        <v>0.5982694684796046</v>
      </c>
      <c r="H10" s="68">
        <f t="shared" si="4"/>
        <v>0.17788089713843758</v>
      </c>
      <c r="I10" s="68">
        <f t="shared" si="4"/>
        <v>0.33437951411687439</v>
      </c>
      <c r="J10" s="68">
        <f t="shared" si="4"/>
        <v>1.7356703046526478E-2</v>
      </c>
    </row>
    <row r="12" spans="1:32" s="65" customFormat="1">
      <c r="A12" s="63" t="s">
        <v>137</v>
      </c>
    </row>
    <row r="14" spans="1:32">
      <c r="A14" s="48" t="s">
        <v>165</v>
      </c>
      <c r="B14" s="48">
        <v>60.23</v>
      </c>
      <c r="C14" s="48">
        <v>7.61</v>
      </c>
      <c r="D14" s="48">
        <v>55.64</v>
      </c>
      <c r="E14" s="69">
        <f>Y14-SUM(B14,C14,D14)</f>
        <v>76.777000000000001</v>
      </c>
      <c r="F14" s="48">
        <v>106.95</v>
      </c>
      <c r="G14" s="48">
        <v>169.08</v>
      </c>
      <c r="H14" s="48">
        <v>191.44</v>
      </c>
      <c r="I14" s="69">
        <f>Z14-SUM(F14,G14,H14)</f>
        <v>258.69099999999992</v>
      </c>
      <c r="J14" s="48">
        <v>271.81</v>
      </c>
      <c r="Y14" s="69">
        <v>200.25700000000001</v>
      </c>
      <c r="Z14" s="69">
        <v>726.16099999999994</v>
      </c>
    </row>
    <row r="15" spans="1:32" s="66" customFormat="1">
      <c r="A15" s="66" t="s">
        <v>141</v>
      </c>
      <c r="B15" s="67"/>
      <c r="F15" s="70">
        <f>F14/B14-1</f>
        <v>0.77569317615806099</v>
      </c>
      <c r="G15" s="70">
        <f t="shared" ref="G15:J15" si="5">G14/C14-1</f>
        <v>21.218134034165573</v>
      </c>
      <c r="H15" s="70">
        <f t="shared" si="5"/>
        <v>2.4406901509705246</v>
      </c>
      <c r="I15" s="70">
        <f t="shared" si="5"/>
        <v>2.3693814553837726</v>
      </c>
      <c r="J15" s="70">
        <f t="shared" si="5"/>
        <v>1.5414679756895744</v>
      </c>
      <c r="Y15" s="67"/>
      <c r="Z15" s="67"/>
    </row>
    <row r="16" spans="1:32" s="66" customFormat="1">
      <c r="A16" s="66" t="s">
        <v>142</v>
      </c>
      <c r="B16" s="70">
        <f>B14/B$44</f>
        <v>0.94124081887794975</v>
      </c>
      <c r="C16" s="70">
        <f t="shared" ref="C16:J16" si="6">C14/C$44</f>
        <v>0.43876845018450183</v>
      </c>
      <c r="D16" s="70">
        <f t="shared" si="6"/>
        <v>0.85128518971848222</v>
      </c>
      <c r="E16" s="70">
        <f t="shared" si="6"/>
        <v>0.88532321671548153</v>
      </c>
      <c r="F16" s="70">
        <f t="shared" si="6"/>
        <v>0.8813349814585909</v>
      </c>
      <c r="G16" s="70">
        <f t="shared" si="6"/>
        <v>0.87177107501933482</v>
      </c>
      <c r="H16" s="70">
        <f t="shared" si="6"/>
        <v>0.83799518494200043</v>
      </c>
      <c r="I16" s="70">
        <f t="shared" si="6"/>
        <v>0.84861517063105429</v>
      </c>
      <c r="J16" s="70">
        <f t="shared" si="6"/>
        <v>0.87643891271402319</v>
      </c>
      <c r="Y16" s="67"/>
      <c r="Z16" s="67"/>
    </row>
    <row r="17" spans="1:26">
      <c r="Y17" s="69"/>
      <c r="Z17" s="69"/>
    </row>
    <row r="18" spans="1:26">
      <c r="A18" s="48" t="s">
        <v>164</v>
      </c>
      <c r="B18" s="48">
        <v>7.78</v>
      </c>
      <c r="C18" s="48">
        <v>5.69</v>
      </c>
      <c r="D18" s="48">
        <v>7.22</v>
      </c>
      <c r="E18" s="69">
        <f>Y18-SUM(B18,C18,D18)</f>
        <v>7.6529999999999987</v>
      </c>
      <c r="F18" s="48">
        <v>9.2200000000000006</v>
      </c>
      <c r="G18" s="48">
        <v>18.22</v>
      </c>
      <c r="H18" s="48">
        <v>18.98</v>
      </c>
      <c r="I18" s="69">
        <f>Z18-SUM(F18,G18,H18)</f>
        <v>28.694000000000003</v>
      </c>
      <c r="J18" s="48">
        <v>42.17</v>
      </c>
      <c r="Y18" s="69">
        <v>28.343</v>
      </c>
      <c r="Z18" s="69">
        <v>75.114000000000004</v>
      </c>
    </row>
    <row r="19" spans="1:26" s="66" customFormat="1">
      <c r="A19" s="66" t="s">
        <v>141</v>
      </c>
      <c r="B19" s="67"/>
      <c r="F19" s="70">
        <f>F18/B18-1</f>
        <v>0.18508997429305918</v>
      </c>
      <c r="G19" s="70">
        <f t="shared" ref="G19" si="7">G18/C18-1</f>
        <v>2.2021089630931456</v>
      </c>
      <c r="H19" s="70">
        <f t="shared" ref="H19" si="8">H18/D18-1</f>
        <v>1.628808864265928</v>
      </c>
      <c r="I19" s="70">
        <f t="shared" ref="I19" si="9">I18/E18-1</f>
        <v>2.7493793283679611</v>
      </c>
      <c r="J19" s="70">
        <f t="shared" ref="J19" si="10">J18/F18-1</f>
        <v>3.5737527114967458</v>
      </c>
      <c r="Y19" s="67"/>
      <c r="Z19" s="67"/>
    </row>
    <row r="20" spans="1:26" s="66" customFormat="1">
      <c r="A20" s="66" t="s">
        <v>142</v>
      </c>
      <c r="B20" s="70">
        <f>B18/B$44</f>
        <v>0.12158149710892328</v>
      </c>
      <c r="C20" s="70">
        <f t="shared" ref="C20:J20" si="11">C18/C$44</f>
        <v>0.32806734317343172</v>
      </c>
      <c r="D20" s="70">
        <f t="shared" si="11"/>
        <v>0.11046511627906977</v>
      </c>
      <c r="E20" s="70">
        <f t="shared" si="11"/>
        <v>8.8247503516985279E-2</v>
      </c>
      <c r="F20" s="70">
        <f t="shared" si="11"/>
        <v>7.5978574371652258E-2</v>
      </c>
      <c r="G20" s="70">
        <f t="shared" si="11"/>
        <v>9.3941737561227104E-2</v>
      </c>
      <c r="H20" s="70">
        <f t="shared" si="11"/>
        <v>8.3081637119719859E-2</v>
      </c>
      <c r="I20" s="70">
        <f t="shared" si="11"/>
        <v>9.412837596239329E-2</v>
      </c>
      <c r="J20" s="70">
        <f t="shared" si="11"/>
        <v>0.13597523619127463</v>
      </c>
      <c r="Y20" s="67"/>
      <c r="Z20" s="67"/>
    </row>
    <row r="21" spans="1:26">
      <c r="Y21" s="69"/>
      <c r="Z21" s="69"/>
    </row>
    <row r="22" spans="1:26">
      <c r="A22" s="48" t="s">
        <v>138</v>
      </c>
      <c r="B22" s="48">
        <f>SUM(B14,B18)</f>
        <v>68.009999999999991</v>
      </c>
      <c r="C22" s="48">
        <f>SUM(C14,C18)</f>
        <v>13.3</v>
      </c>
      <c r="D22" s="48">
        <f>SUM(D14,D18)</f>
        <v>62.86</v>
      </c>
      <c r="E22" s="48">
        <f>SUM(E14,E18)</f>
        <v>84.43</v>
      </c>
      <c r="F22" s="48">
        <f>SUM(F14,F18)</f>
        <v>116.17</v>
      </c>
      <c r="G22" s="48">
        <f t="shared" ref="G22:I22" si="12">SUM(G14,G18)</f>
        <v>187.3</v>
      </c>
      <c r="H22" s="48">
        <f t="shared" si="12"/>
        <v>210.42</v>
      </c>
      <c r="I22" s="48">
        <f t="shared" si="12"/>
        <v>287.38499999999993</v>
      </c>
      <c r="J22" s="48">
        <f>SUM(J14,J18)</f>
        <v>313.98</v>
      </c>
      <c r="Y22" s="69">
        <f>SUM(Y14,Y18)</f>
        <v>228.6</v>
      </c>
      <c r="Z22" s="69">
        <v>801.27499999999998</v>
      </c>
    </row>
    <row r="23" spans="1:26" s="66" customFormat="1">
      <c r="A23" s="66" t="s">
        <v>141</v>
      </c>
      <c r="B23" s="67"/>
      <c r="F23" s="70">
        <f>F22/B22-1</f>
        <v>0.70813115718276753</v>
      </c>
      <c r="G23" s="70">
        <f t="shared" ref="G23" si="13">G22/C22-1</f>
        <v>13.082706766917294</v>
      </c>
      <c r="H23" s="70">
        <f t="shared" ref="H23" si="14">H22/D22-1</f>
        <v>2.3474387527839644</v>
      </c>
      <c r="I23" s="70">
        <f t="shared" ref="I23" si="15">I22/E22-1</f>
        <v>2.4038256543882497</v>
      </c>
      <c r="J23" s="70">
        <f t="shared" ref="J23" si="16">J22/F22-1</f>
        <v>1.7027631918739781</v>
      </c>
      <c r="Y23" s="67"/>
      <c r="Z23" s="67"/>
    </row>
    <row r="24" spans="1:26" s="66" customFormat="1">
      <c r="A24" s="66" t="s">
        <v>142</v>
      </c>
      <c r="B24" s="70">
        <f>B22/B$44</f>
        <v>1.0628223159868728</v>
      </c>
      <c r="C24" s="70">
        <f t="shared" ref="C24:J24" si="17">C22/C$44</f>
        <v>0.76683579335793361</v>
      </c>
      <c r="D24" s="70">
        <f t="shared" si="17"/>
        <v>0.96175030599755207</v>
      </c>
      <c r="E24" s="70">
        <f t="shared" si="17"/>
        <v>0.97357072023246694</v>
      </c>
      <c r="F24" s="70">
        <f t="shared" si="17"/>
        <v>0.95731355583024313</v>
      </c>
      <c r="G24" s="70">
        <f t="shared" si="17"/>
        <v>0.96571281258056196</v>
      </c>
      <c r="H24" s="70">
        <f t="shared" si="17"/>
        <v>0.92107682206172026</v>
      </c>
      <c r="I24" s="70">
        <f t="shared" si="17"/>
        <v>0.94274354659344761</v>
      </c>
      <c r="J24" s="70">
        <f t="shared" si="17"/>
        <v>1.0124141489052978</v>
      </c>
      <c r="Y24" s="67"/>
      <c r="Z24" s="67"/>
    </row>
    <row r="26" spans="1:26" s="65" customFormat="1">
      <c r="A26" s="63" t="s">
        <v>166</v>
      </c>
    </row>
    <row r="28" spans="1:26">
      <c r="A28" s="48" t="s">
        <v>139</v>
      </c>
      <c r="B28" s="48">
        <v>9.18</v>
      </c>
      <c r="C28" s="69">
        <v>7.7240000000000002</v>
      </c>
      <c r="D28" s="48">
        <v>5.8</v>
      </c>
      <c r="E28" s="69">
        <f>Y28-SUM(B28,C28,D28)</f>
        <v>3.7040000000000006</v>
      </c>
      <c r="F28" s="48">
        <v>3.41</v>
      </c>
      <c r="G28" s="48">
        <v>3.55</v>
      </c>
      <c r="H28" s="48">
        <v>5.07</v>
      </c>
      <c r="I28" s="69">
        <f>Z28-SUM(F28,G28,H28)</f>
        <v>8.6039999999999992</v>
      </c>
      <c r="J28" s="48">
        <v>15.13</v>
      </c>
      <c r="Y28" s="48">
        <v>26.408000000000001</v>
      </c>
      <c r="Z28" s="48">
        <v>20.634</v>
      </c>
    </row>
    <row r="29" spans="1:26" s="66" customFormat="1">
      <c r="A29" s="66" t="s">
        <v>141</v>
      </c>
      <c r="B29" s="67"/>
      <c r="F29" s="70">
        <f>F28/B28-1</f>
        <v>-0.6285403050108932</v>
      </c>
      <c r="G29" s="70">
        <f t="shared" ref="G29" si="18">G28/C28-1</f>
        <v>-0.54039357845675817</v>
      </c>
      <c r="H29" s="70">
        <f t="shared" ref="H29" si="19">H28/D28-1</f>
        <v>-0.12586206896551722</v>
      </c>
      <c r="I29" s="70">
        <f t="shared" ref="I29" si="20">I28/E28-1</f>
        <v>1.3228941684665219</v>
      </c>
      <c r="J29" s="70">
        <f t="shared" ref="J29" si="21">J28/F28-1</f>
        <v>3.4369501466275656</v>
      </c>
    </row>
    <row r="30" spans="1:26" s="66" customFormat="1">
      <c r="A30" s="66" t="s">
        <v>142</v>
      </c>
      <c r="B30" s="70">
        <f>B28/B$44</f>
        <v>0.14345991561181434</v>
      </c>
      <c r="C30" s="70">
        <f t="shared" ref="C30:J30" si="22">C28/C$44</f>
        <v>0.44534132841328411</v>
      </c>
      <c r="D30" s="70">
        <f t="shared" si="22"/>
        <v>8.8739290085679309E-2</v>
      </c>
      <c r="E30" s="70">
        <f t="shared" si="22"/>
        <v>4.271119208505339E-2</v>
      </c>
      <c r="F30" s="70">
        <f t="shared" si="22"/>
        <v>2.8100535640708697E-2</v>
      </c>
      <c r="G30" s="70">
        <f t="shared" si="22"/>
        <v>1.8303686517143591E-2</v>
      </c>
      <c r="H30" s="70">
        <f t="shared" si="22"/>
        <v>2.2193040052527906E-2</v>
      </c>
      <c r="I30" s="70">
        <f t="shared" si="22"/>
        <v>2.8224735024061885E-2</v>
      </c>
      <c r="J30" s="70">
        <f t="shared" si="22"/>
        <v>4.8785992970689716E-2</v>
      </c>
    </row>
    <row r="32" spans="1:26">
      <c r="A32" s="48" t="s">
        <v>6</v>
      </c>
      <c r="B32" s="48">
        <v>-3.25</v>
      </c>
      <c r="C32" s="48">
        <v>-2.2599999999999998</v>
      </c>
      <c r="D32" s="48">
        <v>-1.44</v>
      </c>
      <c r="E32" s="69">
        <f>Y32-SUM(B32,C32,D32)</f>
        <v>-1.0760000000000005</v>
      </c>
      <c r="F32" s="48">
        <v>-1.03</v>
      </c>
      <c r="G32" s="48">
        <v>-1.5</v>
      </c>
      <c r="H32" s="48">
        <v>-0.27</v>
      </c>
      <c r="I32" s="69">
        <f>Z32-SUM(F32,G32,H32)</f>
        <v>-0.47399999999999975</v>
      </c>
      <c r="J32" s="48">
        <v>-0.96</v>
      </c>
      <c r="Y32" s="48">
        <v>-8.0259999999999998</v>
      </c>
      <c r="Z32" s="48">
        <v>-3.274</v>
      </c>
    </row>
    <row r="33" spans="1:26" s="66" customFormat="1">
      <c r="A33" s="66" t="s">
        <v>141</v>
      </c>
      <c r="B33" s="67"/>
      <c r="F33" s="70">
        <f>F32/B32-1</f>
        <v>-0.68307692307692314</v>
      </c>
      <c r="G33" s="70">
        <f t="shared" ref="G33" si="23">G32/C32-1</f>
        <v>-0.33628318584070793</v>
      </c>
      <c r="H33" s="70">
        <f t="shared" ref="H33" si="24">H32/D32-1</f>
        <v>-0.8125</v>
      </c>
      <c r="I33" s="70">
        <f t="shared" ref="I33" si="25">I32/E32-1</f>
        <v>-0.55947955390334614</v>
      </c>
      <c r="J33" s="70">
        <f t="shared" ref="J33" si="26">J32/F32-1</f>
        <v>-6.796116504854377E-2</v>
      </c>
    </row>
    <row r="34" spans="1:26" s="66" customFormat="1">
      <c r="A34" s="66" t="s">
        <v>142</v>
      </c>
      <c r="B34" s="70">
        <f>B32/B$44</f>
        <v>-5.0789185810282862E-2</v>
      </c>
      <c r="C34" s="70">
        <f t="shared" ref="C34:J34" si="27">C32/C$44</f>
        <v>-0.13030442804428041</v>
      </c>
      <c r="D34" s="70">
        <f t="shared" si="27"/>
        <v>-2.2031823745410035E-2</v>
      </c>
      <c r="E34" s="70">
        <f t="shared" si="27"/>
        <v>-1.2407462927515513E-2</v>
      </c>
      <c r="F34" s="70">
        <f t="shared" si="27"/>
        <v>-8.4878450762257938E-3</v>
      </c>
      <c r="G34" s="70">
        <f t="shared" si="27"/>
        <v>-7.7339520494972922E-3</v>
      </c>
      <c r="H34" s="70">
        <f t="shared" si="27"/>
        <v>-1.1818778726198295E-3</v>
      </c>
      <c r="I34" s="70">
        <f t="shared" si="27"/>
        <v>-1.5549191540452495E-3</v>
      </c>
      <c r="J34" s="70">
        <f t="shared" si="27"/>
        <v>-3.0954760906716536E-3</v>
      </c>
    </row>
    <row r="36" spans="1:26">
      <c r="A36" s="48" t="s">
        <v>144</v>
      </c>
      <c r="B36" s="48">
        <v>-9.9499999999999993</v>
      </c>
      <c r="C36" s="48">
        <v>-1.42</v>
      </c>
      <c r="D36" s="48">
        <v>-1.86</v>
      </c>
      <c r="E36" s="69">
        <f>Y36-SUM(B36,C36,D36)</f>
        <v>-0.33600000000000207</v>
      </c>
      <c r="F36" s="48">
        <v>2.8</v>
      </c>
      <c r="G36" s="48">
        <v>4.5999999999999996</v>
      </c>
      <c r="H36" s="48">
        <v>13.23</v>
      </c>
      <c r="I36" s="69">
        <f>Z36-SUM(F36,G36,H36)</f>
        <v>9.3240000000000016</v>
      </c>
      <c r="J36" s="48">
        <v>-18.02</v>
      </c>
      <c r="Y36" s="48">
        <v>-13.566000000000001</v>
      </c>
      <c r="Z36" s="48">
        <v>29.954000000000001</v>
      </c>
    </row>
    <row r="37" spans="1:26" s="66" customFormat="1">
      <c r="A37" s="66" t="s">
        <v>141</v>
      </c>
      <c r="B37" s="67"/>
      <c r="F37" s="70">
        <f>F36/B36-1</f>
        <v>-1.2814070351758793</v>
      </c>
      <c r="G37" s="70">
        <f t="shared" ref="G37" si="28">G36/C36-1</f>
        <v>-4.23943661971831</v>
      </c>
      <c r="H37" s="70">
        <f t="shared" ref="H37" si="29">H36/D36-1</f>
        <v>-8.112903225806452</v>
      </c>
      <c r="I37" s="70">
        <f t="shared" ref="I37" si="30">I36/E36-1</f>
        <v>-28.749999999999833</v>
      </c>
      <c r="J37" s="70">
        <f t="shared" ref="J37" si="31">J36/F36-1</f>
        <v>-7.4357142857142859</v>
      </c>
    </row>
    <row r="38" spans="1:26" s="66" customFormat="1">
      <c r="A38" s="66" t="s">
        <v>142</v>
      </c>
      <c r="B38" s="70">
        <f>B36/B$44</f>
        <v>-0.15549304578840445</v>
      </c>
      <c r="C38" s="70">
        <f t="shared" ref="C38:J38" si="32">C36/C$44</f>
        <v>-8.1872693726937257E-2</v>
      </c>
      <c r="D38" s="70">
        <f t="shared" si="32"/>
        <v>-2.8457772337821298E-2</v>
      </c>
      <c r="E38" s="70">
        <f t="shared" si="32"/>
        <v>-3.8744493900048668E-3</v>
      </c>
      <c r="F38" s="70">
        <f t="shared" si="32"/>
        <v>2.3073753605274E-2</v>
      </c>
      <c r="G38" s="70">
        <f t="shared" si="32"/>
        <v>2.3717452951791694E-2</v>
      </c>
      <c r="H38" s="70">
        <f t="shared" si="32"/>
        <v>5.7912015758371641E-2</v>
      </c>
      <c r="I38" s="70">
        <f t="shared" si="32"/>
        <v>3.0586637536535691E-2</v>
      </c>
      <c r="J38" s="70">
        <f t="shared" si="32"/>
        <v>-5.8104665785315833E-2</v>
      </c>
    </row>
    <row r="40" spans="1:26">
      <c r="A40" s="48" t="s">
        <v>167</v>
      </c>
      <c r="B40" s="69">
        <f>SUM(B28,B32,B36)</f>
        <v>-4.0199999999999996</v>
      </c>
      <c r="C40" s="69">
        <f>SUM(C28,C32,C36)</f>
        <v>4.0440000000000005</v>
      </c>
      <c r="D40" s="48">
        <f>SUM(D28,D32,D36)</f>
        <v>2.4999999999999991</v>
      </c>
      <c r="E40" s="48">
        <f>SUM(E28,E32,E36)</f>
        <v>2.291999999999998</v>
      </c>
      <c r="F40" s="48">
        <f t="shared" ref="F40:G40" si="33">SUM(F28,F32,F36)</f>
        <v>5.18</v>
      </c>
      <c r="G40" s="48">
        <f t="shared" si="33"/>
        <v>6.6499999999999995</v>
      </c>
      <c r="H40" s="48">
        <f>SUM(H28,H32,H36)</f>
        <v>18.03</v>
      </c>
      <c r="I40" s="48">
        <f>SUM(I28,I32,I36)</f>
        <v>17.454000000000001</v>
      </c>
      <c r="J40" s="48">
        <f>SUM(J28,J32,J36)</f>
        <v>-3.8499999999999979</v>
      </c>
      <c r="K40" s="48">
        <f>SUM(K28,K32,K36)</f>
        <v>0</v>
      </c>
      <c r="L40" s="48">
        <f>SUM(L28,L32,L36)</f>
        <v>0</v>
      </c>
      <c r="Y40" s="48">
        <f>SUM(Y28,Y32,Y36)</f>
        <v>4.8160000000000007</v>
      </c>
      <c r="Z40" s="48">
        <f>SUM(Z28,Z32,Z36)</f>
        <v>47.314</v>
      </c>
    </row>
    <row r="41" spans="1:26" s="66" customFormat="1">
      <c r="A41" s="66" t="s">
        <v>141</v>
      </c>
      <c r="B41" s="67"/>
      <c r="F41" s="70">
        <f>F40/B40-1</f>
        <v>-2.2885572139303481</v>
      </c>
      <c r="G41" s="70">
        <f t="shared" ref="G41" si="34">G40/C40-1</f>
        <v>0.64441147378832797</v>
      </c>
      <c r="H41" s="70">
        <f t="shared" ref="H41" si="35">H40/D40-1</f>
        <v>6.2120000000000033</v>
      </c>
      <c r="I41" s="70">
        <f t="shared" ref="I41" si="36">I40/E40-1</f>
        <v>6.6151832460733049</v>
      </c>
      <c r="J41" s="70">
        <f t="shared" ref="J41" si="37">J40/F40-1</f>
        <v>-1.743243243243243</v>
      </c>
    </row>
    <row r="42" spans="1:26" s="66" customFormat="1">
      <c r="A42" s="66" t="s">
        <v>142</v>
      </c>
      <c r="B42" s="70">
        <f>B40/B$44</f>
        <v>-6.2822315986872948E-2</v>
      </c>
      <c r="C42" s="70">
        <f t="shared" ref="C42:J42" si="38">C40/C$44</f>
        <v>0.23316420664206644</v>
      </c>
      <c r="D42" s="70">
        <f t="shared" si="38"/>
        <v>3.8249694002447966E-2</v>
      </c>
      <c r="E42" s="70">
        <f t="shared" si="38"/>
        <v>2.6429279767533013E-2</v>
      </c>
      <c r="F42" s="70">
        <f t="shared" si="38"/>
        <v>4.26864441697569E-2</v>
      </c>
      <c r="G42" s="70">
        <f t="shared" si="38"/>
        <v>3.4287187419437995E-2</v>
      </c>
      <c r="H42" s="70">
        <f t="shared" si="38"/>
        <v>7.8923177938279715E-2</v>
      </c>
      <c r="I42" s="70">
        <f t="shared" si="38"/>
        <v>5.7256453406552325E-2</v>
      </c>
      <c r="J42" s="70">
        <f t="shared" si="38"/>
        <v>-1.2414148905297772E-2</v>
      </c>
    </row>
    <row r="44" spans="1:26" s="65" customFormat="1">
      <c r="A44" s="63" t="s">
        <v>0</v>
      </c>
      <c r="B44" s="64">
        <f t="shared" ref="B44:J44" si="39">SUM(B22,B40)</f>
        <v>63.989999999999995</v>
      </c>
      <c r="C44" s="64">
        <f t="shared" si="39"/>
        <v>17.344000000000001</v>
      </c>
      <c r="D44" s="64">
        <f t="shared" si="39"/>
        <v>65.36</v>
      </c>
      <c r="E44" s="64">
        <f t="shared" si="39"/>
        <v>86.722000000000008</v>
      </c>
      <c r="F44" s="64">
        <f t="shared" si="39"/>
        <v>121.35</v>
      </c>
      <c r="G44" s="64">
        <f t="shared" si="39"/>
        <v>193.95000000000002</v>
      </c>
      <c r="H44" s="64">
        <f t="shared" si="39"/>
        <v>228.45</v>
      </c>
      <c r="I44" s="64">
        <f t="shared" si="39"/>
        <v>304.83899999999994</v>
      </c>
      <c r="J44" s="64">
        <f t="shared" si="39"/>
        <v>310.13</v>
      </c>
    </row>
    <row r="45" spans="1:26">
      <c r="B45" s="69"/>
      <c r="F45" s="71"/>
      <c r="G45" s="71"/>
      <c r="H45" s="71"/>
      <c r="I45" s="71"/>
      <c r="J45" s="71"/>
    </row>
    <row r="46" spans="1:26">
      <c r="B46" s="71"/>
      <c r="C46" s="71"/>
      <c r="D46" s="71"/>
      <c r="E46" s="71"/>
      <c r="F46" s="71"/>
      <c r="G46" s="71"/>
      <c r="H46" s="71"/>
      <c r="I46" s="71"/>
      <c r="J46" s="71"/>
    </row>
    <row r="47" spans="1:26">
      <c r="A47" s="56" t="s">
        <v>162</v>
      </c>
      <c r="F47" s="71">
        <f>F44/B44-1</f>
        <v>0.896390060947023</v>
      </c>
      <c r="G47" s="71">
        <f t="shared" ref="G47:J47" si="40">G44/C44-1</f>
        <v>10.18254151291513</v>
      </c>
      <c r="H47" s="71">
        <f t="shared" si="40"/>
        <v>2.4952570379436962</v>
      </c>
      <c r="I47" s="71">
        <f t="shared" si="40"/>
        <v>2.5151288023800178</v>
      </c>
      <c r="J47" s="71">
        <f t="shared" si="40"/>
        <v>1.5556654305727236</v>
      </c>
    </row>
    <row r="48" spans="1:26">
      <c r="A48" s="48" t="s">
        <v>163</v>
      </c>
      <c r="F48" s="71">
        <f>F14/B14-1</f>
        <v>0.77569317615806099</v>
      </c>
      <c r="G48" s="71">
        <f t="shared" ref="G48:J48" si="41">G14/C14-1</f>
        <v>21.218134034165573</v>
      </c>
      <c r="H48" s="71">
        <f t="shared" si="41"/>
        <v>2.4406901509705246</v>
      </c>
      <c r="I48" s="71">
        <f t="shared" si="41"/>
        <v>2.3693814553837726</v>
      </c>
      <c r="J48" s="71">
        <f t="shared" si="41"/>
        <v>1.5414679756895744</v>
      </c>
    </row>
    <row r="49" spans="1:10">
      <c r="A49" s="48" t="s">
        <v>168</v>
      </c>
      <c r="F49" s="71">
        <f>F18/B18-1</f>
        <v>0.18508997429305918</v>
      </c>
      <c r="G49" s="71">
        <f t="shared" ref="G49:J49" si="42">G18/C18-1</f>
        <v>2.2021089630931456</v>
      </c>
      <c r="H49" s="71">
        <f t="shared" si="42"/>
        <v>1.628808864265928</v>
      </c>
      <c r="I49" s="71">
        <f t="shared" si="42"/>
        <v>2.7493793283679611</v>
      </c>
      <c r="J49" s="71">
        <f t="shared" si="42"/>
        <v>3.5737527114967458</v>
      </c>
    </row>
    <row r="50" spans="1:10">
      <c r="A50" s="48" t="s">
        <v>169</v>
      </c>
      <c r="F50" s="71">
        <f>-(F40/B40-1)</f>
        <v>2.2885572139303481</v>
      </c>
      <c r="G50" s="71">
        <f t="shared" ref="G50:I50" si="43">G40/C40-1</f>
        <v>0.64441147378832797</v>
      </c>
      <c r="H50" s="71">
        <f t="shared" si="43"/>
        <v>6.2120000000000033</v>
      </c>
      <c r="I50" s="71">
        <f t="shared" si="43"/>
        <v>6.6151832460733049</v>
      </c>
      <c r="J50" s="71">
        <f>J40/F40-1</f>
        <v>-1.743243243243243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E476-3775-874F-BFEF-AADF695B4A82}">
  <dimension ref="A1:AE99"/>
  <sheetViews>
    <sheetView tabSelected="1" workbookViewId="0">
      <pane xSplit="1" ySplit="6" topLeftCell="J7" activePane="bottomRight" state="frozen"/>
      <selection pane="topRight" activeCell="B1" sqref="B1"/>
      <selection pane="bottomLeft" activeCell="A8" sqref="A8"/>
      <selection pane="bottomRight" activeCell="A10" sqref="A10"/>
    </sheetView>
  </sheetViews>
  <sheetFormatPr baseColWidth="10" defaultRowHeight="16"/>
  <cols>
    <col min="1" max="1" width="63.33203125" style="73" bestFit="1" customWidth="1"/>
    <col min="2" max="2" width="9.83203125" style="73" hidden="1" customWidth="1"/>
    <col min="3" max="3" width="10.5" style="73" hidden="1" customWidth="1"/>
    <col min="4" max="4" width="9.83203125" style="73" bestFit="1" customWidth="1"/>
    <col min="5" max="5" width="10.6640625" style="73" bestFit="1" customWidth="1"/>
    <col min="6" max="6" width="11.1640625" style="73" bestFit="1" customWidth="1"/>
    <col min="7" max="7" width="10.6640625" style="73" bestFit="1" customWidth="1"/>
    <col min="8" max="8" width="11.1640625" style="73" bestFit="1" customWidth="1"/>
    <col min="9" max="9" width="12.5" style="73" bestFit="1" customWidth="1"/>
    <col min="10" max="10" width="11.1640625" style="73" bestFit="1" customWidth="1"/>
    <col min="11" max="11" width="12.5" style="73" bestFit="1" customWidth="1"/>
    <col min="12" max="12" width="11.1640625" style="73" bestFit="1" customWidth="1"/>
    <col min="13" max="16384" width="10.83203125" style="73"/>
  </cols>
  <sheetData>
    <row r="1" spans="1:31" ht="26">
      <c r="A1" s="72" t="s">
        <v>133</v>
      </c>
    </row>
    <row r="2" spans="1:31">
      <c r="A2" s="73" t="s">
        <v>132</v>
      </c>
    </row>
    <row r="3" spans="1:31">
      <c r="A3" s="74"/>
    </row>
    <row r="5" spans="1:31" s="76" customFormat="1">
      <c r="A5" s="75"/>
      <c r="B5" s="75" t="s">
        <v>103</v>
      </c>
      <c r="C5" s="76" t="s">
        <v>104</v>
      </c>
      <c r="D5" s="76" t="s">
        <v>105</v>
      </c>
      <c r="E5" s="76" t="s">
        <v>106</v>
      </c>
      <c r="F5" s="76" t="s">
        <v>107</v>
      </c>
      <c r="G5" s="76" t="s">
        <v>108</v>
      </c>
      <c r="H5" s="76" t="s">
        <v>109</v>
      </c>
      <c r="I5" s="76" t="s">
        <v>110</v>
      </c>
      <c r="J5" s="76" t="s">
        <v>111</v>
      </c>
      <c r="K5" s="76" t="s">
        <v>112</v>
      </c>
      <c r="L5" s="76" t="s">
        <v>113</v>
      </c>
      <c r="M5" s="76" t="s">
        <v>114</v>
      </c>
      <c r="N5" s="76" t="s">
        <v>115</v>
      </c>
      <c r="O5" s="76" t="s">
        <v>116</v>
      </c>
      <c r="P5" s="76" t="s">
        <v>117</v>
      </c>
      <c r="Q5" s="76" t="s">
        <v>118</v>
      </c>
      <c r="R5" s="76" t="s">
        <v>119</v>
      </c>
      <c r="S5" s="76" t="s">
        <v>120</v>
      </c>
      <c r="T5" s="76" t="s">
        <v>121</v>
      </c>
      <c r="U5" s="76" t="s">
        <v>122</v>
      </c>
      <c r="V5" s="76" t="s">
        <v>123</v>
      </c>
      <c r="W5" s="77" t="s">
        <v>124</v>
      </c>
      <c r="AA5" s="75" t="s">
        <v>125</v>
      </c>
      <c r="AB5" s="76" t="s">
        <v>126</v>
      </c>
      <c r="AC5" s="76" t="s">
        <v>128</v>
      </c>
      <c r="AD5" s="76" t="s">
        <v>129</v>
      </c>
      <c r="AE5" s="77" t="s">
        <v>130</v>
      </c>
    </row>
    <row r="6" spans="1:31" s="82" customFormat="1">
      <c r="A6" s="78" t="s">
        <v>135</v>
      </c>
      <c r="B6" s="79">
        <v>43738</v>
      </c>
      <c r="C6" s="80">
        <v>43830</v>
      </c>
      <c r="D6" s="80">
        <v>43921</v>
      </c>
      <c r="E6" s="80">
        <v>44012</v>
      </c>
      <c r="F6" s="80">
        <v>44104</v>
      </c>
      <c r="G6" s="80">
        <v>44196</v>
      </c>
      <c r="H6" s="80">
        <v>44286</v>
      </c>
      <c r="I6" s="80">
        <v>44377</v>
      </c>
      <c r="J6" s="80">
        <v>44469</v>
      </c>
      <c r="K6" s="80">
        <v>44561</v>
      </c>
      <c r="L6" s="80">
        <v>44651</v>
      </c>
      <c r="M6" s="80">
        <f>I6+365</f>
        <v>44742</v>
      </c>
      <c r="N6" s="80">
        <f t="shared" ref="N6:S6" si="0">J6+365</f>
        <v>44834</v>
      </c>
      <c r="O6" s="80">
        <f t="shared" si="0"/>
        <v>44926</v>
      </c>
      <c r="P6" s="80">
        <f t="shared" si="0"/>
        <v>45016</v>
      </c>
      <c r="Q6" s="80">
        <f t="shared" si="0"/>
        <v>45107</v>
      </c>
      <c r="R6" s="80">
        <f t="shared" si="0"/>
        <v>45199</v>
      </c>
      <c r="S6" s="80">
        <f t="shared" si="0"/>
        <v>45291</v>
      </c>
      <c r="T6" s="80">
        <f>P6+366</f>
        <v>45382</v>
      </c>
      <c r="U6" s="80">
        <f t="shared" ref="U6:W6" si="1">Q6+366</f>
        <v>45473</v>
      </c>
      <c r="V6" s="80">
        <f t="shared" si="1"/>
        <v>45565</v>
      </c>
      <c r="W6" s="81">
        <f t="shared" si="1"/>
        <v>45657</v>
      </c>
      <c r="AA6" s="83" t="s">
        <v>127</v>
      </c>
      <c r="AB6" s="82" t="s">
        <v>127</v>
      </c>
      <c r="AC6" s="82" t="s">
        <v>127</v>
      </c>
      <c r="AD6" s="82" t="s">
        <v>131</v>
      </c>
      <c r="AE6" s="84" t="s">
        <v>127</v>
      </c>
    </row>
    <row r="8" spans="1:31">
      <c r="A8" s="73" t="s">
        <v>137</v>
      </c>
      <c r="B8" s="73">
        <v>47.9</v>
      </c>
      <c r="C8" s="73">
        <v>61.15</v>
      </c>
      <c r="D8" s="85">
        <f>'Revenue Build'!B22</f>
        <v>68.009999999999991</v>
      </c>
      <c r="E8" s="85">
        <f>'Revenue Build'!C22</f>
        <v>13.3</v>
      </c>
      <c r="F8" s="85">
        <f>'Revenue Build'!D22</f>
        <v>62.86</v>
      </c>
      <c r="G8" s="85">
        <f>'Revenue Build'!E22</f>
        <v>84.43</v>
      </c>
      <c r="H8" s="85">
        <f>'Revenue Build'!F22</f>
        <v>116.17</v>
      </c>
      <c r="I8" s="85">
        <f>'Revenue Build'!G22</f>
        <v>187.3</v>
      </c>
      <c r="J8" s="85">
        <f>'Revenue Build'!H22</f>
        <v>210.42</v>
      </c>
      <c r="K8" s="85">
        <f>'Revenue Build'!I22</f>
        <v>287.38499999999993</v>
      </c>
      <c r="L8" s="85">
        <f>'Revenue Build'!J22</f>
        <v>313.98</v>
      </c>
      <c r="M8" s="73">
        <f>'Revenue Build'!K22</f>
        <v>0</v>
      </c>
      <c r="N8" s="73">
        <f>'Revenue Build'!L22</f>
        <v>0</v>
      </c>
      <c r="O8" s="73">
        <f>'Revenue Build'!M22</f>
        <v>0</v>
      </c>
      <c r="P8" s="73">
        <f>'Revenue Build'!N22</f>
        <v>0</v>
      </c>
      <c r="Q8" s="73">
        <f>'Revenue Build'!O22</f>
        <v>0</v>
      </c>
      <c r="R8" s="73">
        <f>'Revenue Build'!P22</f>
        <v>0</v>
      </c>
      <c r="S8" s="73">
        <f>'Revenue Build'!Q22</f>
        <v>0</v>
      </c>
      <c r="T8" s="73">
        <f>'Revenue Build'!R22</f>
        <v>0</v>
      </c>
      <c r="U8" s="73">
        <f>'Revenue Build'!S22</f>
        <v>0</v>
      </c>
      <c r="V8" s="73">
        <f>'Revenue Build'!T22</f>
        <v>0</v>
      </c>
      <c r="W8" s="73">
        <f>'Revenue Build'!U22</f>
        <v>0</v>
      </c>
      <c r="AA8" s="85">
        <f>SUM(D8:G8)</f>
        <v>228.6</v>
      </c>
      <c r="AB8" s="85">
        <f>SUM(H8:K8)</f>
        <v>801.27499999999986</v>
      </c>
      <c r="AC8" s="85">
        <f>SUM(L8:O8)</f>
        <v>313.98</v>
      </c>
      <c r="AD8" s="85">
        <f>SUM(P8:S8)</f>
        <v>0</v>
      </c>
      <c r="AE8" s="85">
        <f>SUM(T8:W8)</f>
        <v>0</v>
      </c>
    </row>
    <row r="9" spans="1:31">
      <c r="A9" s="73" t="s">
        <v>145</v>
      </c>
      <c r="B9" s="73">
        <v>1.59</v>
      </c>
      <c r="C9" s="73">
        <v>1.42</v>
      </c>
      <c r="D9" s="85">
        <f>SUM('Revenue Build'!B28,'Revenue Build'!B32)</f>
        <v>5.93</v>
      </c>
      <c r="E9" s="85">
        <f>SUM('Revenue Build'!C28,'Revenue Build'!C32)</f>
        <v>5.4640000000000004</v>
      </c>
      <c r="F9" s="85">
        <f>SUM('Revenue Build'!D28,'Revenue Build'!D32)</f>
        <v>4.3599999999999994</v>
      </c>
      <c r="G9" s="85">
        <f>SUM('Revenue Build'!E28,'Revenue Build'!E32)</f>
        <v>2.6280000000000001</v>
      </c>
      <c r="H9" s="85">
        <f>SUM('Revenue Build'!F28,'Revenue Build'!F32)</f>
        <v>2.38</v>
      </c>
      <c r="I9" s="85">
        <f>SUM('Revenue Build'!G28,'Revenue Build'!G32)</f>
        <v>2.0499999999999998</v>
      </c>
      <c r="J9" s="85">
        <f>SUM('Revenue Build'!H28,'Revenue Build'!H32)</f>
        <v>4.8000000000000007</v>
      </c>
      <c r="K9" s="85">
        <f>SUM('Revenue Build'!I28,'Revenue Build'!I32)</f>
        <v>8.129999999999999</v>
      </c>
      <c r="L9" s="85">
        <f>SUM('Revenue Build'!J28,'Revenue Build'!J32)</f>
        <v>14.170000000000002</v>
      </c>
      <c r="M9" s="73">
        <f>SUM('Revenue Build'!K32,'Revenue Build'!K36)</f>
        <v>0</v>
      </c>
      <c r="N9" s="73">
        <f>SUM('Revenue Build'!L32,'Revenue Build'!L36)</f>
        <v>0</v>
      </c>
      <c r="O9" s="73">
        <f>SUM('Revenue Build'!M32,'Revenue Build'!M36)</f>
        <v>0</v>
      </c>
      <c r="P9" s="73">
        <f>SUM('Revenue Build'!N32,'Revenue Build'!N36)</f>
        <v>0</v>
      </c>
      <c r="Q9" s="73">
        <f>SUM('Revenue Build'!O32,'Revenue Build'!O36)</f>
        <v>0</v>
      </c>
      <c r="R9" s="73">
        <f>SUM('Revenue Build'!P32,'Revenue Build'!P36)</f>
        <v>0</v>
      </c>
      <c r="S9" s="73">
        <f>SUM('Revenue Build'!Q32,'Revenue Build'!Q36)</f>
        <v>0</v>
      </c>
      <c r="T9" s="73">
        <f>SUM('Revenue Build'!R32,'Revenue Build'!R36)</f>
        <v>0</v>
      </c>
      <c r="U9" s="73">
        <f>SUM('Revenue Build'!S32,'Revenue Build'!S36)</f>
        <v>0</v>
      </c>
      <c r="V9" s="73">
        <f>SUM('Revenue Build'!T32,'Revenue Build'!T36)</f>
        <v>0</v>
      </c>
      <c r="W9" s="73">
        <f>SUM('Revenue Build'!U32,'Revenue Build'!U36)</f>
        <v>0</v>
      </c>
      <c r="AA9" s="85">
        <f>SUM(D9:G9)</f>
        <v>18.381999999999998</v>
      </c>
      <c r="AB9" s="85">
        <f>SUM(H9:K9)</f>
        <v>17.36</v>
      </c>
      <c r="AC9" s="85">
        <f>SUM(L9:O9)</f>
        <v>14.170000000000002</v>
      </c>
      <c r="AD9" s="85">
        <f>SUM(P9:S9)</f>
        <v>0</v>
      </c>
      <c r="AE9" s="85">
        <f>SUM(T9:W9)</f>
        <v>0</v>
      </c>
    </row>
    <row r="10" spans="1:31">
      <c r="A10" s="73" t="s">
        <v>144</v>
      </c>
      <c r="C10" s="73">
        <v>5.78</v>
      </c>
      <c r="D10" s="73">
        <f>'Revenue Build'!B36</f>
        <v>-9.9499999999999993</v>
      </c>
      <c r="E10" s="73">
        <f>'Revenue Build'!C36</f>
        <v>-1.42</v>
      </c>
      <c r="F10" s="73">
        <f>'Revenue Build'!D36</f>
        <v>-1.86</v>
      </c>
      <c r="G10" s="85">
        <f>'Revenue Build'!E36</f>
        <v>-0.33600000000000207</v>
      </c>
      <c r="H10" s="85">
        <f>'Revenue Build'!F36</f>
        <v>2.8</v>
      </c>
      <c r="I10" s="85">
        <f>'Revenue Build'!G36</f>
        <v>4.5999999999999996</v>
      </c>
      <c r="J10" s="85">
        <f>'Revenue Build'!H36</f>
        <v>13.23</v>
      </c>
      <c r="K10" s="85">
        <f>'Revenue Build'!I36</f>
        <v>9.3240000000000016</v>
      </c>
      <c r="L10" s="85">
        <f>'Revenue Build'!J36</f>
        <v>-18.02</v>
      </c>
      <c r="M10" s="73">
        <f>'Revenue Build'!K36</f>
        <v>0</v>
      </c>
      <c r="N10" s="73">
        <f>'Revenue Build'!L36</f>
        <v>0</v>
      </c>
      <c r="O10" s="73">
        <f>'Revenue Build'!M36</f>
        <v>0</v>
      </c>
      <c r="P10" s="73">
        <f>'Revenue Build'!N36</f>
        <v>0</v>
      </c>
      <c r="Q10" s="73">
        <f>'Revenue Build'!O36</f>
        <v>0</v>
      </c>
      <c r="R10" s="73">
        <f>'Revenue Build'!P36</f>
        <v>0</v>
      </c>
      <c r="S10" s="73">
        <f>'Revenue Build'!Q36</f>
        <v>0</v>
      </c>
      <c r="T10" s="73">
        <f>'Revenue Build'!R36</f>
        <v>0</v>
      </c>
      <c r="U10" s="73">
        <f>'Revenue Build'!S36</f>
        <v>0</v>
      </c>
      <c r="V10" s="73">
        <f>'Revenue Build'!T36</f>
        <v>0</v>
      </c>
      <c r="W10" s="73">
        <f>'Revenue Build'!U36</f>
        <v>0</v>
      </c>
      <c r="AA10" s="85">
        <f>SUM(D10:G10)</f>
        <v>-13.566000000000001</v>
      </c>
      <c r="AB10" s="85">
        <f>SUM(H10:K10)</f>
        <v>29.954000000000001</v>
      </c>
      <c r="AC10" s="85">
        <f>SUM(L10:O10)</f>
        <v>-18.02</v>
      </c>
      <c r="AD10" s="85">
        <f>SUM(P10:S10)</f>
        <v>0</v>
      </c>
      <c r="AE10" s="85">
        <f>SUM(T10:W10)</f>
        <v>0</v>
      </c>
    </row>
    <row r="12" spans="1:31" s="87" customFormat="1">
      <c r="A12" s="86" t="s">
        <v>0</v>
      </c>
      <c r="B12" s="87">
        <f t="shared" ref="B12:K12" si="2">SUM(B8,B9,B10)</f>
        <v>49.49</v>
      </c>
      <c r="C12" s="87">
        <f t="shared" si="2"/>
        <v>68.349999999999994</v>
      </c>
      <c r="D12" s="88">
        <f t="shared" si="2"/>
        <v>63.989999999999995</v>
      </c>
      <c r="E12" s="88">
        <f t="shared" si="2"/>
        <v>17.344000000000001</v>
      </c>
      <c r="F12" s="88">
        <f t="shared" si="2"/>
        <v>65.36</v>
      </c>
      <c r="G12" s="88">
        <f t="shared" si="2"/>
        <v>86.722000000000008</v>
      </c>
      <c r="H12" s="88">
        <f t="shared" si="2"/>
        <v>121.35</v>
      </c>
      <c r="I12" s="88">
        <f t="shared" si="2"/>
        <v>193.95000000000002</v>
      </c>
      <c r="J12" s="88">
        <f t="shared" si="2"/>
        <v>228.45</v>
      </c>
      <c r="K12" s="88">
        <f t="shared" si="2"/>
        <v>304.83899999999994</v>
      </c>
      <c r="L12" s="88">
        <f>SUM(L8,L9,L10)</f>
        <v>310.13000000000005</v>
      </c>
      <c r="M12" s="88">
        <f t="shared" ref="M12:W12" si="3">SUM(M8,M9,M10)</f>
        <v>0</v>
      </c>
      <c r="N12" s="88">
        <f t="shared" si="3"/>
        <v>0</v>
      </c>
      <c r="O12" s="88">
        <f t="shared" si="3"/>
        <v>0</v>
      </c>
      <c r="P12" s="88">
        <f t="shared" si="3"/>
        <v>0</v>
      </c>
      <c r="Q12" s="88">
        <f t="shared" si="3"/>
        <v>0</v>
      </c>
      <c r="R12" s="88">
        <f t="shared" si="3"/>
        <v>0</v>
      </c>
      <c r="S12" s="88">
        <f t="shared" si="3"/>
        <v>0</v>
      </c>
      <c r="T12" s="88">
        <f t="shared" si="3"/>
        <v>0</v>
      </c>
      <c r="U12" s="88">
        <f t="shared" si="3"/>
        <v>0</v>
      </c>
      <c r="V12" s="88">
        <f t="shared" si="3"/>
        <v>0</v>
      </c>
      <c r="W12" s="88">
        <f t="shared" si="3"/>
        <v>0</v>
      </c>
      <c r="AA12" s="88">
        <f>SUM(D12:G12)</f>
        <v>233.41600000000003</v>
      </c>
      <c r="AB12" s="88">
        <f>SUM(H12:K12)</f>
        <v>848.58899999999994</v>
      </c>
      <c r="AC12" s="88">
        <f>SUM(L12:O12)</f>
        <v>310.13000000000005</v>
      </c>
      <c r="AD12" s="88">
        <f>SUM(P12:S12)</f>
        <v>0</v>
      </c>
      <c r="AE12" s="88">
        <f>SUM(T12:W12)</f>
        <v>0</v>
      </c>
    </row>
    <row r="13" spans="1:31" s="89" customFormat="1">
      <c r="A13" s="89" t="s">
        <v>1</v>
      </c>
      <c r="F13" s="90">
        <f>F12/B12-1</f>
        <v>0.32067084259446355</v>
      </c>
      <c r="G13" s="90">
        <f t="shared" ref="G13:L13" si="4">G12/C12-1</f>
        <v>0.26879297732260454</v>
      </c>
      <c r="H13" s="90">
        <f t="shared" si="4"/>
        <v>0.896390060947023</v>
      </c>
      <c r="I13" s="90">
        <f t="shared" si="4"/>
        <v>10.18254151291513</v>
      </c>
      <c r="J13" s="90">
        <f t="shared" si="4"/>
        <v>2.4952570379436962</v>
      </c>
      <c r="K13" s="90">
        <f t="shared" si="4"/>
        <v>2.5151288023800178</v>
      </c>
      <c r="L13" s="90">
        <f t="shared" si="4"/>
        <v>1.555665430572724</v>
      </c>
      <c r="M13" s="90">
        <f t="shared" ref="M13" si="5">M12/I12-1</f>
        <v>-1</v>
      </c>
      <c r="N13" s="90">
        <f t="shared" ref="N13" si="6">N12/J12-1</f>
        <v>-1</v>
      </c>
      <c r="O13" s="90">
        <f t="shared" ref="O13" si="7">O12/K12-1</f>
        <v>-1</v>
      </c>
      <c r="P13" s="90">
        <f t="shared" ref="P13" si="8">P12/L12-1</f>
        <v>-1</v>
      </c>
      <c r="Q13" s="90" t="e">
        <f t="shared" ref="Q13" si="9">Q12/M12-1</f>
        <v>#DIV/0!</v>
      </c>
      <c r="R13" s="90" t="e">
        <f t="shared" ref="R13" si="10">R12/N12-1</f>
        <v>#DIV/0!</v>
      </c>
      <c r="S13" s="90" t="e">
        <f t="shared" ref="S13" si="11">S12/O12-1</f>
        <v>#DIV/0!</v>
      </c>
      <c r="T13" s="90" t="e">
        <f t="shared" ref="T13" si="12">T12/P12-1</f>
        <v>#DIV/0!</v>
      </c>
      <c r="U13" s="90" t="e">
        <f t="shared" ref="U13" si="13">U12/Q12-1</f>
        <v>#DIV/0!</v>
      </c>
      <c r="V13" s="90" t="e">
        <f t="shared" ref="V13" si="14">V12/R12-1</f>
        <v>#DIV/0!</v>
      </c>
      <c r="W13" s="90" t="e">
        <f t="shared" ref="W13" si="15">W12/S12-1</f>
        <v>#DIV/0!</v>
      </c>
    </row>
    <row r="14" spans="1:31" s="89" customFormat="1">
      <c r="A14" s="89" t="s">
        <v>146</v>
      </c>
      <c r="C14" s="91">
        <f>C12/B12-1</f>
        <v>0.38108708830066673</v>
      </c>
      <c r="D14" s="91">
        <f t="shared" ref="D14:L14" si="16">D12/C12-1</f>
        <v>-6.3789319678127288E-2</v>
      </c>
      <c r="E14" s="91">
        <f t="shared" si="16"/>
        <v>-0.728957649632755</v>
      </c>
      <c r="F14" s="91">
        <f t="shared" si="16"/>
        <v>2.7684501845018445</v>
      </c>
      <c r="G14" s="91">
        <f t="shared" si="16"/>
        <v>0.32683598531211766</v>
      </c>
      <c r="H14" s="91">
        <f t="shared" si="16"/>
        <v>0.39929890915799882</v>
      </c>
      <c r="I14" s="91">
        <f t="shared" si="16"/>
        <v>0.5982694684796046</v>
      </c>
      <c r="J14" s="91">
        <f t="shared" si="16"/>
        <v>0.17788089713843758</v>
      </c>
      <c r="K14" s="91">
        <f t="shared" si="16"/>
        <v>0.33437951411687439</v>
      </c>
      <c r="L14" s="91">
        <f t="shared" si="16"/>
        <v>1.7356703046526478E-2</v>
      </c>
      <c r="M14" s="91">
        <f t="shared" ref="M14" si="17">M12/L12-1</f>
        <v>-1</v>
      </c>
      <c r="N14" s="91" t="e">
        <f t="shared" ref="N14" si="18">N12/M12-1</f>
        <v>#DIV/0!</v>
      </c>
      <c r="O14" s="91" t="e">
        <f t="shared" ref="O14" si="19">O12/N12-1</f>
        <v>#DIV/0!</v>
      </c>
      <c r="P14" s="91" t="e">
        <f t="shared" ref="P14" si="20">P12/O12-1</f>
        <v>#DIV/0!</v>
      </c>
      <c r="Q14" s="91" t="e">
        <f t="shared" ref="Q14" si="21">Q12/P12-1</f>
        <v>#DIV/0!</v>
      </c>
      <c r="R14" s="91" t="e">
        <f t="shared" ref="R14" si="22">R12/Q12-1</f>
        <v>#DIV/0!</v>
      </c>
      <c r="S14" s="91" t="e">
        <f t="shared" ref="S14" si="23">S12/R12-1</f>
        <v>#DIV/0!</v>
      </c>
      <c r="T14" s="91" t="e">
        <f t="shared" ref="T14" si="24">T12/S12-1</f>
        <v>#DIV/0!</v>
      </c>
      <c r="U14" s="91" t="e">
        <f t="shared" ref="U14" si="25">U12/T12-1</f>
        <v>#DIV/0!</v>
      </c>
      <c r="V14" s="91" t="e">
        <f t="shared" ref="V14" si="26">V12/U12-1</f>
        <v>#DIV/0!</v>
      </c>
      <c r="W14" s="91" t="e">
        <f t="shared" ref="W14" si="27">W12/V12-1</f>
        <v>#DIV/0!</v>
      </c>
    </row>
    <row r="15" spans="1:31">
      <c r="A15" s="89"/>
      <c r="B15" s="89"/>
      <c r="C15" s="91"/>
      <c r="D15" s="91"/>
      <c r="E15" s="91"/>
      <c r="F15" s="91"/>
      <c r="G15" s="91"/>
      <c r="H15" s="91"/>
      <c r="I15" s="91"/>
      <c r="J15" s="91"/>
      <c r="K15" s="91"/>
      <c r="L15" s="91"/>
    </row>
    <row r="16" spans="1:31">
      <c r="A16" s="92" t="s">
        <v>147</v>
      </c>
      <c r="B16" s="89"/>
      <c r="C16" s="89"/>
      <c r="D16" s="89"/>
      <c r="E16" s="89"/>
      <c r="F16" s="93"/>
      <c r="G16" s="93"/>
      <c r="H16" s="93"/>
      <c r="I16" s="93"/>
      <c r="J16" s="93"/>
      <c r="K16" s="93"/>
      <c r="L16" s="93"/>
    </row>
    <row r="17" spans="1:31">
      <c r="A17" s="73" t="s">
        <v>152</v>
      </c>
      <c r="B17" s="73">
        <v>-6.69</v>
      </c>
      <c r="C17" s="73">
        <v>-8.35</v>
      </c>
      <c r="D17" s="73">
        <v>-8.81</v>
      </c>
      <c r="E17" s="73">
        <v>-6.62</v>
      </c>
      <c r="F17" s="73">
        <v>-9.36</v>
      </c>
      <c r="G17" s="73">
        <v>-12.79</v>
      </c>
      <c r="H17" s="73">
        <v>-17.39</v>
      </c>
      <c r="I17" s="73">
        <v>-24.16</v>
      </c>
      <c r="J17" s="73">
        <v>-34.979999999999997</v>
      </c>
      <c r="K17" s="73">
        <v>-41.05</v>
      </c>
      <c r="L17" s="73">
        <v>-48.41</v>
      </c>
      <c r="M17" s="73">
        <f>-M18*M$12</f>
        <v>0</v>
      </c>
      <c r="N17" s="73">
        <f t="shared" ref="N17:W17" si="28">-N18*N$12</f>
        <v>0</v>
      </c>
      <c r="O17" s="73">
        <f t="shared" si="28"/>
        <v>0</v>
      </c>
      <c r="P17" s="73">
        <f t="shared" si="28"/>
        <v>0</v>
      </c>
      <c r="Q17" s="73">
        <f t="shared" si="28"/>
        <v>0</v>
      </c>
      <c r="R17" s="73">
        <f t="shared" si="28"/>
        <v>0</v>
      </c>
      <c r="S17" s="73">
        <f t="shared" si="28"/>
        <v>0</v>
      </c>
      <c r="T17" s="73">
        <f t="shared" si="28"/>
        <v>0</v>
      </c>
      <c r="U17" s="73">
        <f t="shared" si="28"/>
        <v>0</v>
      </c>
      <c r="V17" s="73">
        <f t="shared" si="28"/>
        <v>0</v>
      </c>
      <c r="W17" s="73">
        <f t="shared" si="28"/>
        <v>0</v>
      </c>
      <c r="AA17" s="85">
        <f>SUM(D17:G17)</f>
        <v>-37.58</v>
      </c>
      <c r="AB17" s="85">
        <f>SUM(H17:K17)</f>
        <v>-117.58</v>
      </c>
      <c r="AC17" s="85">
        <f>SUM(L17:O17)</f>
        <v>-48.41</v>
      </c>
      <c r="AD17" s="85">
        <f>SUM(P17:S17)</f>
        <v>0</v>
      </c>
      <c r="AE17" s="85">
        <f>SUM(T17:W17)</f>
        <v>0</v>
      </c>
    </row>
    <row r="18" spans="1:31" s="89" customFormat="1">
      <c r="A18" s="89" t="s">
        <v>142</v>
      </c>
      <c r="B18" s="91">
        <f t="shared" ref="B18:L18" si="29">-B17/B12</f>
        <v>0.13517882400484946</v>
      </c>
      <c r="C18" s="91">
        <f t="shared" si="29"/>
        <v>0.12216532553035846</v>
      </c>
      <c r="D18" s="91">
        <f t="shared" si="29"/>
        <v>0.137677762150336</v>
      </c>
      <c r="E18" s="91">
        <f t="shared" si="29"/>
        <v>0.38168819188191883</v>
      </c>
      <c r="F18" s="91">
        <f t="shared" si="29"/>
        <v>0.14320685434516522</v>
      </c>
      <c r="G18" s="91">
        <f t="shared" si="29"/>
        <v>0.14748276100643434</v>
      </c>
      <c r="H18" s="91">
        <f t="shared" si="29"/>
        <v>0.14330449114132676</v>
      </c>
      <c r="I18" s="91">
        <f t="shared" si="29"/>
        <v>0.12456818767723639</v>
      </c>
      <c r="J18" s="91">
        <f t="shared" si="29"/>
        <v>0.15311884438608009</v>
      </c>
      <c r="K18" s="91">
        <f t="shared" si="29"/>
        <v>0.13466124741256863</v>
      </c>
      <c r="L18" s="91">
        <f t="shared" si="29"/>
        <v>0.15609583078064035</v>
      </c>
      <c r="M18" s="90">
        <v>0.16</v>
      </c>
      <c r="N18" s="90">
        <v>0.16</v>
      </c>
      <c r="O18" s="90">
        <v>0.16</v>
      </c>
      <c r="P18" s="90">
        <v>0.16</v>
      </c>
      <c r="Q18" s="90">
        <v>0.16</v>
      </c>
      <c r="R18" s="90">
        <v>0.16</v>
      </c>
      <c r="S18" s="90">
        <v>0.16</v>
      </c>
      <c r="T18" s="90">
        <v>0.16</v>
      </c>
      <c r="U18" s="90">
        <v>0.16</v>
      </c>
      <c r="V18" s="90">
        <v>0.16</v>
      </c>
      <c r="W18" s="90">
        <v>0.16</v>
      </c>
    </row>
    <row r="21" spans="1:31" s="87" customFormat="1">
      <c r="A21" s="86" t="s">
        <v>2</v>
      </c>
      <c r="B21" s="87">
        <v>42.8</v>
      </c>
      <c r="C21" s="87">
        <v>58.58</v>
      </c>
      <c r="D21" s="88">
        <f t="shared" ref="D21:L21" si="30">D12+D17</f>
        <v>55.179999999999993</v>
      </c>
      <c r="E21" s="88">
        <f t="shared" si="30"/>
        <v>10.724</v>
      </c>
      <c r="F21" s="88">
        <f t="shared" si="30"/>
        <v>56</v>
      </c>
      <c r="G21" s="88">
        <f t="shared" si="30"/>
        <v>73.932000000000016</v>
      </c>
      <c r="H21" s="88">
        <f t="shared" si="30"/>
        <v>103.96</v>
      </c>
      <c r="I21" s="88">
        <f t="shared" si="30"/>
        <v>169.79000000000002</v>
      </c>
      <c r="J21" s="88">
        <f t="shared" si="30"/>
        <v>193.47</v>
      </c>
      <c r="K21" s="88">
        <f t="shared" si="30"/>
        <v>263.78899999999993</v>
      </c>
      <c r="L21" s="88">
        <f t="shared" si="30"/>
        <v>261.72000000000003</v>
      </c>
      <c r="AA21" s="88">
        <f>SUM(D21:G21)</f>
        <v>195.83600000000001</v>
      </c>
      <c r="AB21" s="88">
        <f>SUM(H21:K21)</f>
        <v>731.00900000000001</v>
      </c>
      <c r="AC21" s="88">
        <f>SUM(L21:O21)</f>
        <v>261.72000000000003</v>
      </c>
      <c r="AD21" s="88">
        <f>SUM(P21:S21)</f>
        <v>0</v>
      </c>
      <c r="AE21" s="88">
        <f>SUM(T21:W21)</f>
        <v>0</v>
      </c>
    </row>
    <row r="22" spans="1:31">
      <c r="A22" s="89" t="s">
        <v>1</v>
      </c>
      <c r="B22" s="89"/>
      <c r="C22" s="89"/>
      <c r="D22" s="89"/>
      <c r="E22" s="89"/>
      <c r="F22" s="90">
        <v>0.34200000000000003</v>
      </c>
      <c r="G22" s="90">
        <v>0.28000000000000003</v>
      </c>
      <c r="H22" s="90">
        <v>0.79700000000000004</v>
      </c>
      <c r="I22" s="90">
        <v>12.183999999999999</v>
      </c>
      <c r="J22" s="90">
        <v>2.3730000000000002</v>
      </c>
      <c r="K22" s="90">
        <v>2.524</v>
      </c>
      <c r="L22" s="90">
        <v>1.502</v>
      </c>
    </row>
    <row r="23" spans="1:31">
      <c r="A23" s="89" t="s">
        <v>3</v>
      </c>
      <c r="B23" s="90">
        <v>0.86499999999999999</v>
      </c>
      <c r="C23" s="90">
        <v>0.875</v>
      </c>
      <c r="D23" s="90">
        <v>0.86899999999999999</v>
      </c>
      <c r="E23" s="90">
        <v>0.66200000000000003</v>
      </c>
      <c r="F23" s="90">
        <v>0.86</v>
      </c>
      <c r="G23" s="90">
        <v>0.85399999999999998</v>
      </c>
      <c r="H23" s="90">
        <v>0.85799999999999998</v>
      </c>
      <c r="I23" s="90">
        <v>0.876</v>
      </c>
      <c r="J23" s="90">
        <v>0.84699999999999998</v>
      </c>
      <c r="K23" s="90">
        <v>0.86599999999999999</v>
      </c>
      <c r="L23" s="90">
        <v>0.84399999999999997</v>
      </c>
    </row>
    <row r="24" spans="1:31">
      <c r="A24" s="89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5" spans="1:31" s="96" customFormat="1">
      <c r="A25" s="94" t="s">
        <v>149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AA25" s="97">
        <f>SUM(D25:G25)</f>
        <v>0</v>
      </c>
      <c r="AB25" s="97">
        <f>SUM(H25:K25)</f>
        <v>0</v>
      </c>
      <c r="AC25" s="97">
        <f>SUM(L25:O25)</f>
        <v>0</v>
      </c>
      <c r="AD25" s="97">
        <f>SUM(P25:S25)</f>
        <v>0</v>
      </c>
      <c r="AE25" s="97">
        <f>SUM(T25:W25)</f>
        <v>0</v>
      </c>
    </row>
    <row r="27" spans="1:31">
      <c r="A27" s="73" t="s">
        <v>23</v>
      </c>
      <c r="B27" s="73">
        <v>-27.33</v>
      </c>
      <c r="C27" s="73">
        <v>-31.94</v>
      </c>
      <c r="D27" s="73">
        <v>-35.950000000000003</v>
      </c>
      <c r="E27" s="73">
        <v>-5.44</v>
      </c>
      <c r="F27" s="73">
        <v>-23.73</v>
      </c>
      <c r="G27" s="73">
        <v>-34.549999999999997</v>
      </c>
      <c r="H27" s="73">
        <v>-49.38</v>
      </c>
      <c r="I27" s="73">
        <v>-75.92</v>
      </c>
      <c r="J27" s="73">
        <v>-93.35</v>
      </c>
      <c r="K27" s="73">
        <v>-114.82</v>
      </c>
      <c r="L27" s="73">
        <v>-133.44999999999999</v>
      </c>
      <c r="M27" s="73">
        <f>M28*M$12</f>
        <v>0</v>
      </c>
      <c r="N27" s="73">
        <f t="shared" ref="N27" si="31">N28*N$12</f>
        <v>0</v>
      </c>
      <c r="O27" s="73">
        <f t="shared" ref="O27" si="32">O28*O$12</f>
        <v>0</v>
      </c>
      <c r="P27" s="73">
        <f t="shared" ref="P27" si="33">P28*P$12</f>
        <v>0</v>
      </c>
      <c r="Q27" s="73">
        <f t="shared" ref="Q27" si="34">Q28*Q$12</f>
        <v>0</v>
      </c>
      <c r="R27" s="73">
        <f t="shared" ref="R27" si="35">R28*R$12</f>
        <v>0</v>
      </c>
      <c r="S27" s="73">
        <f t="shared" ref="S27" si="36">S28*S$12</f>
        <v>0</v>
      </c>
      <c r="T27" s="73">
        <f t="shared" ref="T27" si="37">T28*T$12</f>
        <v>0</v>
      </c>
      <c r="U27" s="73">
        <f t="shared" ref="U27" si="38">U28*U$12</f>
        <v>0</v>
      </c>
      <c r="V27" s="73">
        <f t="shared" ref="V27" si="39">V28*V$12</f>
        <v>0</v>
      </c>
      <c r="W27" s="73">
        <f t="shared" ref="W27" si="40">W28*W$12</f>
        <v>0</v>
      </c>
      <c r="AA27" s="85">
        <f>SUM(D27:G27)</f>
        <v>-99.67</v>
      </c>
      <c r="AB27" s="85">
        <f>SUM(H27:K27)</f>
        <v>-333.47</v>
      </c>
      <c r="AC27" s="85">
        <f>SUM(L27:O27)</f>
        <v>-133.44999999999999</v>
      </c>
      <c r="AD27" s="85">
        <f>SUM(P27:S27)</f>
        <v>0</v>
      </c>
      <c r="AE27" s="85">
        <f>SUM(T27:W27)</f>
        <v>0</v>
      </c>
    </row>
    <row r="28" spans="1:31" s="89" customFormat="1">
      <c r="A28" s="89" t="s">
        <v>142</v>
      </c>
      <c r="B28" s="91">
        <f>B27/B$12</f>
        <v>-0.5522327742978379</v>
      </c>
      <c r="C28" s="91">
        <f t="shared" ref="C28:L28" si="41">C27/C$12</f>
        <v>-0.46730065837600593</v>
      </c>
      <c r="D28" s="91">
        <f t="shared" si="41"/>
        <v>-0.56180653227066735</v>
      </c>
      <c r="E28" s="91">
        <f t="shared" si="41"/>
        <v>-0.31365313653136534</v>
      </c>
      <c r="F28" s="91">
        <f t="shared" si="41"/>
        <v>-0.36306609547123625</v>
      </c>
      <c r="G28" s="91">
        <f t="shared" si="41"/>
        <v>-0.39839948340674791</v>
      </c>
      <c r="H28" s="91">
        <f t="shared" si="41"/>
        <v>-0.40692212608158224</v>
      </c>
      <c r="I28" s="91">
        <f t="shared" si="41"/>
        <v>-0.39144109306522296</v>
      </c>
      <c r="J28" s="91">
        <f t="shared" si="41"/>
        <v>-0.40862333114467059</v>
      </c>
      <c r="K28" s="91">
        <f t="shared" si="41"/>
        <v>-0.3766578423364465</v>
      </c>
      <c r="L28" s="91">
        <f t="shared" si="41"/>
        <v>-0.43030342114597092</v>
      </c>
      <c r="M28" s="90">
        <f>-38%</f>
        <v>-0.38</v>
      </c>
      <c r="N28" s="90">
        <f>-38%</f>
        <v>-0.38</v>
      </c>
      <c r="O28" s="90">
        <v>-0.36</v>
      </c>
      <c r="P28" s="90">
        <v>-0.36</v>
      </c>
      <c r="Q28" s="90">
        <v>-0.36</v>
      </c>
      <c r="R28" s="90">
        <v>-0.36</v>
      </c>
      <c r="S28" s="90">
        <v>-0.36</v>
      </c>
      <c r="T28" s="90">
        <v>-0.36</v>
      </c>
      <c r="U28" s="90">
        <v>-0.36</v>
      </c>
      <c r="V28" s="90">
        <v>-0.36</v>
      </c>
      <c r="W28" s="90">
        <v>-0.36</v>
      </c>
    </row>
    <row r="29" spans="1:31">
      <c r="A29" s="73" t="s">
        <v>140</v>
      </c>
    </row>
    <row r="30" spans="1:31">
      <c r="A30" s="73" t="s">
        <v>24</v>
      </c>
      <c r="B30" s="73">
        <v>-8.42</v>
      </c>
      <c r="C30" s="73">
        <v>-9.3000000000000007</v>
      </c>
      <c r="D30" s="73">
        <v>-11.66</v>
      </c>
      <c r="E30" s="73">
        <v>-9.02</v>
      </c>
      <c r="F30" s="73">
        <v>-10.1</v>
      </c>
      <c r="G30" s="73">
        <v>-14.83</v>
      </c>
      <c r="H30" s="73">
        <v>-20.02</v>
      </c>
      <c r="I30" s="73">
        <v>-26.12</v>
      </c>
      <c r="J30" s="73">
        <v>-34.44</v>
      </c>
      <c r="K30" s="73">
        <v>-42.08</v>
      </c>
      <c r="L30" s="73">
        <v>-43.46</v>
      </c>
      <c r="M30" s="73">
        <f>M31*M$12</f>
        <v>0</v>
      </c>
      <c r="N30" s="73">
        <f t="shared" ref="N30:P30" si="42">N31*N$12</f>
        <v>0</v>
      </c>
      <c r="O30" s="73">
        <f t="shared" si="42"/>
        <v>0</v>
      </c>
      <c r="P30" s="73">
        <f t="shared" si="42"/>
        <v>0</v>
      </c>
      <c r="Q30" s="73">
        <f t="shared" ref="Q30" si="43">Q31*Q$12</f>
        <v>0</v>
      </c>
      <c r="R30" s="73">
        <f t="shared" ref="R30" si="44">R31*R$12</f>
        <v>0</v>
      </c>
      <c r="S30" s="73">
        <f t="shared" ref="S30" si="45">S31*S$12</f>
        <v>0</v>
      </c>
      <c r="T30" s="73">
        <f t="shared" ref="T30" si="46">T31*T$12</f>
        <v>0</v>
      </c>
      <c r="U30" s="73">
        <f t="shared" ref="U30" si="47">U31*U$12</f>
        <v>0</v>
      </c>
      <c r="V30" s="73">
        <f t="shared" ref="V30" si="48">V31*V$12</f>
        <v>0</v>
      </c>
      <c r="W30" s="73">
        <f t="shared" ref="W30" si="49">W31*W$12</f>
        <v>0</v>
      </c>
      <c r="AA30" s="85">
        <f>SUM(D30:G30)</f>
        <v>-45.61</v>
      </c>
      <c r="AB30" s="85">
        <f>SUM(H30:K30)</f>
        <v>-122.66</v>
      </c>
      <c r="AC30" s="85">
        <f>SUM(L30:O30)</f>
        <v>-43.46</v>
      </c>
      <c r="AD30" s="85">
        <f>SUM(P30:S30)</f>
        <v>0</v>
      </c>
      <c r="AE30" s="85">
        <f>SUM(T30:W30)</f>
        <v>0</v>
      </c>
    </row>
    <row r="31" spans="1:31" s="89" customFormat="1">
      <c r="A31" s="89" t="s">
        <v>142</v>
      </c>
      <c r="B31" s="91">
        <f>B30/B$12</f>
        <v>-0.17013538088502728</v>
      </c>
      <c r="C31" s="91">
        <f t="shared" ref="C31" si="50">C30/C$12</f>
        <v>-0.13606437454279446</v>
      </c>
      <c r="D31" s="91">
        <f t="shared" ref="D31" si="51">D30/D$12</f>
        <v>-0.18221597124550712</v>
      </c>
      <c r="E31" s="91">
        <f t="shared" ref="E31" si="52">E30/E$12</f>
        <v>-0.52006457564575637</v>
      </c>
      <c r="F31" s="91">
        <f t="shared" ref="F31" si="53">F30/F$12</f>
        <v>-0.15452876376988983</v>
      </c>
      <c r="G31" s="91">
        <f t="shared" ref="G31" si="54">G30/G$12</f>
        <v>-0.17100620373146375</v>
      </c>
      <c r="H31" s="91">
        <f t="shared" ref="H31" si="55">H30/H$12</f>
        <v>-0.16497733827770911</v>
      </c>
      <c r="I31" s="91">
        <f t="shared" ref="I31" si="56">I30/I$12</f>
        <v>-0.13467388502191285</v>
      </c>
      <c r="J31" s="91">
        <f t="shared" ref="J31" si="57">J30/J$12</f>
        <v>-0.15075508864084045</v>
      </c>
      <c r="K31" s="91">
        <f t="shared" ref="K31" si="58">K30/K$12</f>
        <v>-0.13804008017346864</v>
      </c>
      <c r="L31" s="91">
        <f t="shared" ref="L31" si="59">L30/L$12</f>
        <v>-0.14013478218811465</v>
      </c>
      <c r="M31" s="90">
        <v>-0.15</v>
      </c>
      <c r="N31" s="90">
        <v>-0.15</v>
      </c>
      <c r="O31" s="90">
        <v>-0.15</v>
      </c>
      <c r="P31" s="90">
        <v>-0.15</v>
      </c>
      <c r="Q31" s="90">
        <v>-0.15</v>
      </c>
      <c r="R31" s="90">
        <v>-0.15</v>
      </c>
      <c r="S31" s="90">
        <v>-0.15</v>
      </c>
      <c r="T31" s="90">
        <v>-0.15</v>
      </c>
      <c r="U31" s="90">
        <v>-0.15</v>
      </c>
      <c r="V31" s="90">
        <v>-0.15</v>
      </c>
      <c r="W31" s="90">
        <v>-0.15</v>
      </c>
    </row>
    <row r="33" spans="1:31">
      <c r="A33" s="73" t="s">
        <v>148</v>
      </c>
      <c r="B33" s="73">
        <f t="shared" ref="B33:W33" si="60">SUM(B27,B30)</f>
        <v>-35.75</v>
      </c>
      <c r="C33" s="73">
        <f t="shared" si="60"/>
        <v>-41.24</v>
      </c>
      <c r="D33" s="73">
        <f t="shared" si="60"/>
        <v>-47.61</v>
      </c>
      <c r="E33" s="73">
        <f t="shared" si="60"/>
        <v>-14.46</v>
      </c>
      <c r="F33" s="73">
        <f t="shared" si="60"/>
        <v>-33.83</v>
      </c>
      <c r="G33" s="73">
        <f t="shared" si="60"/>
        <v>-49.379999999999995</v>
      </c>
      <c r="H33" s="73">
        <f t="shared" si="60"/>
        <v>-69.400000000000006</v>
      </c>
      <c r="I33" s="73">
        <f t="shared" si="60"/>
        <v>-102.04</v>
      </c>
      <c r="J33" s="73">
        <f t="shared" si="60"/>
        <v>-127.78999999999999</v>
      </c>
      <c r="K33" s="73">
        <f t="shared" si="60"/>
        <v>-156.89999999999998</v>
      </c>
      <c r="L33" s="73">
        <f t="shared" si="60"/>
        <v>-176.91</v>
      </c>
      <c r="M33" s="73">
        <f t="shared" si="60"/>
        <v>0</v>
      </c>
      <c r="N33" s="73">
        <f t="shared" si="60"/>
        <v>0</v>
      </c>
      <c r="O33" s="73">
        <f t="shared" si="60"/>
        <v>0</v>
      </c>
      <c r="P33" s="73">
        <f t="shared" si="60"/>
        <v>0</v>
      </c>
      <c r="Q33" s="73">
        <f t="shared" si="60"/>
        <v>0</v>
      </c>
      <c r="R33" s="73">
        <f t="shared" si="60"/>
        <v>0</v>
      </c>
      <c r="S33" s="73">
        <f t="shared" si="60"/>
        <v>0</v>
      </c>
      <c r="T33" s="73">
        <f t="shared" si="60"/>
        <v>0</v>
      </c>
      <c r="U33" s="73">
        <f t="shared" si="60"/>
        <v>0</v>
      </c>
      <c r="V33" s="73">
        <f t="shared" si="60"/>
        <v>0</v>
      </c>
      <c r="W33" s="73">
        <f t="shared" si="60"/>
        <v>0</v>
      </c>
      <c r="AA33" s="85">
        <f>SUM(D33:G33)</f>
        <v>-145.28</v>
      </c>
      <c r="AB33" s="85">
        <f>SUM(H33:K33)</f>
        <v>-456.13</v>
      </c>
      <c r="AC33" s="85">
        <f>SUM(L33:O33)</f>
        <v>-176.91</v>
      </c>
      <c r="AD33" s="85">
        <f>SUM(P33:S33)</f>
        <v>0</v>
      </c>
      <c r="AE33" s="85">
        <f>SUM(T33:W33)</f>
        <v>0</v>
      </c>
    </row>
    <row r="34" spans="1:31" s="89" customFormat="1">
      <c r="A34" s="89" t="s">
        <v>142</v>
      </c>
      <c r="B34" s="91">
        <f>B33/B$12</f>
        <v>-0.72236815518286523</v>
      </c>
      <c r="C34" s="91">
        <f t="shared" ref="C34" si="61">C33/C$12</f>
        <v>-0.60336503291880039</v>
      </c>
      <c r="D34" s="91">
        <f t="shared" ref="D34" si="62">D33/D$12</f>
        <v>-0.74402250351617449</v>
      </c>
      <c r="E34" s="91">
        <f t="shared" ref="E34" si="63">E33/E$12</f>
        <v>-0.83371771217712176</v>
      </c>
      <c r="F34" s="91">
        <f t="shared" ref="F34" si="64">F33/F$12</f>
        <v>-0.51759485924112603</v>
      </c>
      <c r="G34" s="91">
        <f t="shared" ref="G34" si="65">G33/G$12</f>
        <v>-0.5694056871382116</v>
      </c>
      <c r="H34" s="91">
        <f t="shared" ref="H34" si="66">H33/H$12</f>
        <v>-0.5718994643592914</v>
      </c>
      <c r="I34" s="91">
        <f t="shared" ref="I34" si="67">I33/I$12</f>
        <v>-0.52611497808713581</v>
      </c>
      <c r="J34" s="91">
        <f t="shared" ref="J34" si="68">J33/J$12</f>
        <v>-0.55937841978551106</v>
      </c>
      <c r="K34" s="91">
        <f t="shared" ref="K34" si="69">K33/K$12</f>
        <v>-0.51469792250991508</v>
      </c>
      <c r="L34" s="91">
        <f t="shared" ref="L34:W34" si="70">L33/L$12</f>
        <v>-0.57043820333408557</v>
      </c>
      <c r="M34" s="91" t="e">
        <f t="shared" si="70"/>
        <v>#DIV/0!</v>
      </c>
      <c r="N34" s="91" t="e">
        <f t="shared" si="70"/>
        <v>#DIV/0!</v>
      </c>
      <c r="O34" s="91" t="e">
        <f t="shared" si="70"/>
        <v>#DIV/0!</v>
      </c>
      <c r="P34" s="91" t="e">
        <f t="shared" si="70"/>
        <v>#DIV/0!</v>
      </c>
      <c r="Q34" s="91" t="e">
        <f t="shared" si="70"/>
        <v>#DIV/0!</v>
      </c>
      <c r="R34" s="91" t="e">
        <f t="shared" si="70"/>
        <v>#DIV/0!</v>
      </c>
      <c r="S34" s="91" t="e">
        <f t="shared" si="70"/>
        <v>#DIV/0!</v>
      </c>
      <c r="T34" s="91" t="e">
        <f t="shared" si="70"/>
        <v>#DIV/0!</v>
      </c>
      <c r="U34" s="91" t="e">
        <f t="shared" si="70"/>
        <v>#DIV/0!</v>
      </c>
      <c r="V34" s="91" t="e">
        <f t="shared" si="70"/>
        <v>#DIV/0!</v>
      </c>
      <c r="W34" s="91" t="e">
        <f t="shared" si="70"/>
        <v>#DIV/0!</v>
      </c>
    </row>
    <row r="36" spans="1:31">
      <c r="A36" s="73" t="s">
        <v>151</v>
      </c>
      <c r="B36" s="73">
        <v>-5.0599999999999996</v>
      </c>
      <c r="C36" s="73">
        <v>-7.3</v>
      </c>
      <c r="D36" s="73">
        <v>-7.02</v>
      </c>
      <c r="E36" s="73">
        <v>-7.67</v>
      </c>
      <c r="F36" s="73">
        <v>-9.9700000000000006</v>
      </c>
      <c r="G36" s="73">
        <v>-14.15</v>
      </c>
      <c r="H36" s="73">
        <v>-18.989999999999998</v>
      </c>
      <c r="I36" s="73">
        <v>-31.43</v>
      </c>
      <c r="J36" s="73">
        <v>-37.090000000000003</v>
      </c>
      <c r="K36" s="73">
        <v>-46.5</v>
      </c>
      <c r="L36" s="73">
        <v>-49.99</v>
      </c>
      <c r="M36" s="73">
        <f>M37*M$12</f>
        <v>0</v>
      </c>
      <c r="N36" s="73">
        <f t="shared" ref="N36" si="71">N37*N$12</f>
        <v>0</v>
      </c>
      <c r="O36" s="73">
        <f t="shared" ref="O36" si="72">O37*O$12</f>
        <v>0</v>
      </c>
      <c r="P36" s="73">
        <f t="shared" ref="P36" si="73">P37*P$12</f>
        <v>0</v>
      </c>
      <c r="Q36" s="73">
        <f t="shared" ref="Q36" si="74">Q37*Q$12</f>
        <v>0</v>
      </c>
      <c r="R36" s="73">
        <f t="shared" ref="R36" si="75">R37*R$12</f>
        <v>0</v>
      </c>
      <c r="S36" s="73">
        <f t="shared" ref="S36" si="76">S37*S$12</f>
        <v>0</v>
      </c>
      <c r="T36" s="73">
        <f t="shared" ref="T36" si="77">T37*T$12</f>
        <v>0</v>
      </c>
      <c r="U36" s="73">
        <f t="shared" ref="U36" si="78">U37*U$12</f>
        <v>0</v>
      </c>
      <c r="V36" s="73">
        <f t="shared" ref="V36" si="79">V37*V$12</f>
        <v>0</v>
      </c>
      <c r="W36" s="73">
        <f t="shared" ref="W36" si="80">W37*W$12</f>
        <v>0</v>
      </c>
      <c r="AA36" s="85">
        <f>SUM(D36:G36)</f>
        <v>-38.81</v>
      </c>
      <c r="AB36" s="85">
        <f>SUM(H36:K36)</f>
        <v>-134.01</v>
      </c>
      <c r="AC36" s="85">
        <f>SUM(L36:O36)</f>
        <v>-49.99</v>
      </c>
      <c r="AD36" s="85">
        <f>SUM(P36:S36)</f>
        <v>0</v>
      </c>
      <c r="AE36" s="85">
        <f>SUM(T36:W36)</f>
        <v>0</v>
      </c>
    </row>
    <row r="37" spans="1:31" s="89" customFormat="1">
      <c r="A37" s="89" t="s">
        <v>142</v>
      </c>
      <c r="B37" s="91">
        <f>B36/B$12</f>
        <v>-0.10224287734895937</v>
      </c>
      <c r="C37" s="91">
        <f t="shared" ref="C37" si="81">C36/C$12</f>
        <v>-0.10680321872713973</v>
      </c>
      <c r="D37" s="91">
        <f t="shared" ref="D37" si="82">D36/D$12</f>
        <v>-0.10970464135021098</v>
      </c>
      <c r="E37" s="91">
        <f t="shared" ref="E37" si="83">E36/E$12</f>
        <v>-0.44222785977859774</v>
      </c>
      <c r="F37" s="91">
        <f t="shared" ref="F37" si="84">F36/F$12</f>
        <v>-0.15253977968176255</v>
      </c>
      <c r="G37" s="91">
        <f t="shared" ref="G37" si="85">G36/G$12</f>
        <v>-0.16316505615645394</v>
      </c>
      <c r="H37" s="91">
        <f t="shared" ref="H37" si="86">H36/H$12</f>
        <v>-0.15648949320148331</v>
      </c>
      <c r="I37" s="91">
        <f t="shared" ref="I37" si="87">I36/I$12</f>
        <v>-0.16205207527713328</v>
      </c>
      <c r="J37" s="91">
        <f t="shared" ref="J37" si="88">J36/J$12</f>
        <v>-0.16235500109433137</v>
      </c>
      <c r="K37" s="91">
        <f t="shared" ref="K37" si="89">K36/K$12</f>
        <v>-0.1525395372639328</v>
      </c>
      <c r="L37" s="91">
        <f t="shared" ref="L37" si="90">L36/L$12</f>
        <v>-0.16119046851320412</v>
      </c>
      <c r="M37" s="90">
        <v>-0.16</v>
      </c>
      <c r="N37" s="90">
        <v>-0.16</v>
      </c>
      <c r="O37" s="90">
        <v>-0.16</v>
      </c>
      <c r="P37" s="90">
        <v>-0.16</v>
      </c>
      <c r="Q37" s="90">
        <v>-0.16</v>
      </c>
      <c r="R37" s="90">
        <v>-0.16</v>
      </c>
      <c r="S37" s="90">
        <v>-0.16</v>
      </c>
      <c r="T37" s="90">
        <v>-0.16</v>
      </c>
      <c r="U37" s="90">
        <v>-0.16</v>
      </c>
      <c r="V37" s="90">
        <v>-0.16</v>
      </c>
      <c r="W37" s="90">
        <v>-0.16</v>
      </c>
    </row>
    <row r="39" spans="1:31">
      <c r="A39" s="73" t="s">
        <v>150</v>
      </c>
      <c r="B39" s="73">
        <v>-40.81</v>
      </c>
      <c r="C39" s="73">
        <v>-50.7</v>
      </c>
      <c r="D39" s="73">
        <v>-54.63</v>
      </c>
      <c r="E39" s="73">
        <v>-22.12</v>
      </c>
      <c r="F39" s="73">
        <v>-43.79</v>
      </c>
      <c r="G39" s="73">
        <v>-63.53</v>
      </c>
      <c r="H39" s="73">
        <v>-88.38</v>
      </c>
      <c r="I39" s="73">
        <v>-133.47</v>
      </c>
      <c r="J39" s="73">
        <v>-164.87</v>
      </c>
      <c r="K39" s="73">
        <v>-203.39</v>
      </c>
      <c r="L39" s="73">
        <f>SUM(L33,L36)</f>
        <v>-226.9</v>
      </c>
      <c r="M39" s="73">
        <f t="shared" ref="M39:W39" si="91">SUM(M33,M36)</f>
        <v>0</v>
      </c>
      <c r="N39" s="73">
        <f t="shared" si="91"/>
        <v>0</v>
      </c>
      <c r="O39" s="73">
        <f t="shared" si="91"/>
        <v>0</v>
      </c>
      <c r="P39" s="73">
        <f t="shared" si="91"/>
        <v>0</v>
      </c>
      <c r="Q39" s="73">
        <f t="shared" si="91"/>
        <v>0</v>
      </c>
      <c r="R39" s="73">
        <f t="shared" si="91"/>
        <v>0</v>
      </c>
      <c r="S39" s="73">
        <f t="shared" si="91"/>
        <v>0</v>
      </c>
      <c r="T39" s="73">
        <f t="shared" si="91"/>
        <v>0</v>
      </c>
      <c r="U39" s="73">
        <f t="shared" si="91"/>
        <v>0</v>
      </c>
      <c r="V39" s="73">
        <f t="shared" si="91"/>
        <v>0</v>
      </c>
      <c r="W39" s="73">
        <f t="shared" si="91"/>
        <v>0</v>
      </c>
      <c r="AA39" s="85">
        <f>SUM(D39:G39)</f>
        <v>-184.07</v>
      </c>
      <c r="AB39" s="85">
        <f>SUM(H39:K39)</f>
        <v>-590.11</v>
      </c>
      <c r="AC39" s="85">
        <f>SUM(L39:O39)</f>
        <v>-226.9</v>
      </c>
      <c r="AD39" s="85">
        <f>SUM(P39:S39)</f>
        <v>0</v>
      </c>
      <c r="AE39" s="85">
        <f>SUM(T39:W39)</f>
        <v>0</v>
      </c>
    </row>
    <row r="40" spans="1:31" s="89" customFormat="1">
      <c r="A40" s="89" t="s">
        <v>142</v>
      </c>
      <c r="B40" s="91">
        <f>B39/B$12</f>
        <v>-0.82461103253182466</v>
      </c>
      <c r="C40" s="91">
        <f t="shared" ref="C40" si="92">C39/C$12</f>
        <v>-0.74177029992684718</v>
      </c>
      <c r="D40" s="91">
        <f t="shared" ref="D40" si="93">D39/D$12</f>
        <v>-0.85372714486638546</v>
      </c>
      <c r="E40" s="91">
        <f t="shared" ref="E40" si="94">E39/E$12</f>
        <v>-1.2753690036900369</v>
      </c>
      <c r="F40" s="91">
        <f t="shared" ref="F40" si="95">F39/F$12</f>
        <v>-0.66998164014687878</v>
      </c>
      <c r="G40" s="91">
        <f t="shared" ref="G40" si="96">G39/G$12</f>
        <v>-0.73257074329466565</v>
      </c>
      <c r="H40" s="91">
        <f t="shared" ref="H40" si="97">H39/H$12</f>
        <v>-0.72830655129789867</v>
      </c>
      <c r="I40" s="91">
        <f t="shared" ref="I40" si="98">I39/I$12</f>
        <v>-0.68816705336426909</v>
      </c>
      <c r="J40" s="91">
        <f t="shared" ref="J40" si="99">J39/J$12</f>
        <v>-0.72168964762530097</v>
      </c>
      <c r="K40" s="91">
        <f t="shared" ref="K40" si="100">K39/K$12</f>
        <v>-0.66720465557228581</v>
      </c>
      <c r="L40" s="91">
        <f t="shared" ref="L40:W40" si="101">L39/L$12</f>
        <v>-0.73162867184728975</v>
      </c>
      <c r="M40" s="91" t="e">
        <f t="shared" si="101"/>
        <v>#DIV/0!</v>
      </c>
      <c r="N40" s="91" t="e">
        <f t="shared" si="101"/>
        <v>#DIV/0!</v>
      </c>
      <c r="O40" s="91" t="e">
        <f t="shared" si="101"/>
        <v>#DIV/0!</v>
      </c>
      <c r="P40" s="91" t="e">
        <f t="shared" si="101"/>
        <v>#DIV/0!</v>
      </c>
      <c r="Q40" s="91" t="e">
        <f t="shared" si="101"/>
        <v>#DIV/0!</v>
      </c>
      <c r="R40" s="91" t="e">
        <f t="shared" si="101"/>
        <v>#DIV/0!</v>
      </c>
      <c r="S40" s="91" t="e">
        <f t="shared" si="101"/>
        <v>#DIV/0!</v>
      </c>
      <c r="T40" s="91" t="e">
        <f t="shared" si="101"/>
        <v>#DIV/0!</v>
      </c>
      <c r="U40" s="91" t="e">
        <f t="shared" si="101"/>
        <v>#DIV/0!</v>
      </c>
      <c r="V40" s="91" t="e">
        <f t="shared" si="101"/>
        <v>#DIV/0!</v>
      </c>
      <c r="W40" s="91" t="e">
        <f t="shared" si="101"/>
        <v>#DIV/0!</v>
      </c>
    </row>
    <row r="42" spans="1:31" s="96" customFormat="1">
      <c r="A42" s="94" t="s">
        <v>4</v>
      </c>
      <c r="B42" s="96">
        <f t="shared" ref="B42:L42" si="102">SUM(B21,B39)</f>
        <v>1.9899999999999949</v>
      </c>
      <c r="C42" s="96">
        <f t="shared" si="102"/>
        <v>7.8799999999999955</v>
      </c>
      <c r="D42" s="96">
        <f t="shared" si="102"/>
        <v>0.54999999999999005</v>
      </c>
      <c r="E42" s="97">
        <f t="shared" si="102"/>
        <v>-11.396000000000001</v>
      </c>
      <c r="F42" s="96">
        <f t="shared" si="102"/>
        <v>12.21</v>
      </c>
      <c r="G42" s="97">
        <f t="shared" si="102"/>
        <v>10.402000000000015</v>
      </c>
      <c r="H42" s="96">
        <f t="shared" si="102"/>
        <v>15.579999999999998</v>
      </c>
      <c r="I42" s="96">
        <f t="shared" si="102"/>
        <v>36.320000000000022</v>
      </c>
      <c r="J42" s="96">
        <f t="shared" si="102"/>
        <v>28.599999999999994</v>
      </c>
      <c r="K42" s="97">
        <f t="shared" si="102"/>
        <v>60.398999999999944</v>
      </c>
      <c r="L42" s="96">
        <f t="shared" si="102"/>
        <v>34.820000000000022</v>
      </c>
      <c r="AA42" s="97">
        <f>SUM(D42:G42)</f>
        <v>11.766000000000005</v>
      </c>
      <c r="AB42" s="97">
        <f>SUM(H42:K42)</f>
        <v>140.89899999999994</v>
      </c>
      <c r="AC42" s="97">
        <f>SUM(L42:O42)</f>
        <v>34.820000000000022</v>
      </c>
      <c r="AD42" s="97">
        <f>SUM(P42:S42)</f>
        <v>0</v>
      </c>
      <c r="AE42" s="97">
        <f>SUM(T42:W42)</f>
        <v>0</v>
      </c>
    </row>
    <row r="43" spans="1:31">
      <c r="A43" s="89" t="s">
        <v>1</v>
      </c>
      <c r="B43" s="89"/>
      <c r="C43" s="89"/>
      <c r="D43" s="90"/>
      <c r="E43" s="90"/>
      <c r="F43" s="90">
        <f>F42/B42-1</f>
        <v>5.1356783919598152</v>
      </c>
      <c r="G43" s="90">
        <f t="shared" ref="G43:L43" si="103">G42/C42-1</f>
        <v>0.32005076142132238</v>
      </c>
      <c r="H43" s="90">
        <f t="shared" si="103"/>
        <v>27.327272727273236</v>
      </c>
      <c r="I43" s="90">
        <f t="shared" si="103"/>
        <v>-4.1870831870831893</v>
      </c>
      <c r="J43" s="90">
        <f t="shared" si="103"/>
        <v>1.3423423423423415</v>
      </c>
      <c r="K43" s="90">
        <f t="shared" si="103"/>
        <v>4.8064795231686075</v>
      </c>
      <c r="L43" s="90">
        <f t="shared" si="103"/>
        <v>1.2349165596919143</v>
      </c>
    </row>
    <row r="44" spans="1:31">
      <c r="A44" s="89" t="s">
        <v>5</v>
      </c>
      <c r="B44" s="93">
        <f>B42/B$12</f>
        <v>4.0210143463325819E-2</v>
      </c>
      <c r="C44" s="93">
        <f t="shared" ref="C44:L44" si="104">C42/C$12</f>
        <v>0.11528895391367953</v>
      </c>
      <c r="D44" s="93">
        <f t="shared" si="104"/>
        <v>8.5950929832784833E-3</v>
      </c>
      <c r="E44" s="93">
        <f t="shared" si="104"/>
        <v>-0.65705719557195574</v>
      </c>
      <c r="F44" s="93">
        <f t="shared" si="104"/>
        <v>0.18681150550795594</v>
      </c>
      <c r="G44" s="93">
        <f t="shared" si="104"/>
        <v>0.11994649569890009</v>
      </c>
      <c r="H44" s="93">
        <f t="shared" si="104"/>
        <v>0.12838895756077462</v>
      </c>
      <c r="I44" s="93">
        <f t="shared" si="104"/>
        <v>0.18726475895849456</v>
      </c>
      <c r="J44" s="93">
        <f t="shared" si="104"/>
        <v>0.12519150798861894</v>
      </c>
      <c r="K44" s="93">
        <f t="shared" si="104"/>
        <v>0.19813409701514556</v>
      </c>
      <c r="L44" s="93">
        <f t="shared" si="104"/>
        <v>0.11227549737206982</v>
      </c>
    </row>
    <row r="45" spans="1:31">
      <c r="A45" s="89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</row>
    <row r="46" spans="1:31">
      <c r="A46" s="73" t="s">
        <v>6</v>
      </c>
      <c r="C46" s="73">
        <v>-4.3600000000000003</v>
      </c>
      <c r="D46" s="73">
        <v>-3.26</v>
      </c>
      <c r="E46" s="73">
        <v>-2.2599999999999998</v>
      </c>
      <c r="F46" s="73">
        <v>-1.44</v>
      </c>
      <c r="G46" s="73">
        <v>-1.07</v>
      </c>
      <c r="H46" s="73">
        <v>-1.03</v>
      </c>
      <c r="I46" s="73">
        <v>-1.5</v>
      </c>
      <c r="J46" s="73">
        <v>-0.27</v>
      </c>
      <c r="K46" s="73">
        <v>-0.48</v>
      </c>
      <c r="L46" s="73">
        <v>-2.16</v>
      </c>
      <c r="AA46" s="85">
        <f>SUM(D46:G46)</f>
        <v>-8.0299999999999994</v>
      </c>
      <c r="AB46" s="85">
        <f>SUM(H46:K46)</f>
        <v>-3.2800000000000002</v>
      </c>
      <c r="AC46" s="85">
        <f>SUM(L46:O46)</f>
        <v>-2.16</v>
      </c>
      <c r="AD46" s="85">
        <f>SUM(P46:S46)</f>
        <v>0</v>
      </c>
      <c r="AE46" s="85">
        <f>SUM(T46:W46)</f>
        <v>0</v>
      </c>
    </row>
    <row r="47" spans="1:31">
      <c r="A47" s="73" t="s">
        <v>7</v>
      </c>
      <c r="C47" s="73">
        <v>1.04</v>
      </c>
      <c r="D47" s="73">
        <v>0.15</v>
      </c>
      <c r="F47" s="73">
        <v>0.05</v>
      </c>
      <c r="G47" s="73">
        <v>0.05</v>
      </c>
      <c r="I47" s="73">
        <v>0.02</v>
      </c>
      <c r="J47" s="73">
        <v>0.02</v>
      </c>
      <c r="K47" s="73">
        <v>0.02</v>
      </c>
      <c r="AA47" s="85">
        <f>SUM(D47:G47)</f>
        <v>0.25</v>
      </c>
      <c r="AB47" s="85">
        <f>SUM(H47:K47)</f>
        <v>0.06</v>
      </c>
      <c r="AC47" s="85">
        <f>SUM(L47:O47)</f>
        <v>0</v>
      </c>
      <c r="AD47" s="85">
        <f>SUM(P47:S47)</f>
        <v>0</v>
      </c>
      <c r="AE47" s="85">
        <f>SUM(T47:W47)</f>
        <v>0</v>
      </c>
    </row>
    <row r="48" spans="1:31">
      <c r="A48" s="73" t="s">
        <v>8</v>
      </c>
      <c r="B48" s="73">
        <v>-2.19</v>
      </c>
      <c r="C48" s="73">
        <v>0.39</v>
      </c>
      <c r="D48" s="73">
        <v>0.28999999999999998</v>
      </c>
      <c r="E48" s="73">
        <v>-0.02</v>
      </c>
      <c r="F48" s="73">
        <v>-2.59</v>
      </c>
      <c r="G48" s="73">
        <v>-9.0500000000000007</v>
      </c>
      <c r="H48" s="73">
        <v>-10.55</v>
      </c>
      <c r="I48" s="73">
        <v>-0.01</v>
      </c>
      <c r="J48" s="73">
        <v>-0.78</v>
      </c>
      <c r="K48" s="73">
        <v>-1.17</v>
      </c>
      <c r="L48" s="73">
        <v>-0.92</v>
      </c>
      <c r="AA48" s="85">
        <f>SUM(D48:G48)</f>
        <v>-11.370000000000001</v>
      </c>
      <c r="AB48" s="85">
        <f>SUM(H48:K48)</f>
        <v>-12.51</v>
      </c>
      <c r="AC48" s="85">
        <f>SUM(L48:O48)</f>
        <v>-0.92</v>
      </c>
      <c r="AD48" s="85">
        <f>SUM(P48:S48)</f>
        <v>0</v>
      </c>
      <c r="AE48" s="85">
        <f>SUM(T48:W48)</f>
        <v>0</v>
      </c>
    </row>
    <row r="50" spans="1:31">
      <c r="A50" s="73" t="s">
        <v>9</v>
      </c>
      <c r="B50" s="73">
        <v>-0.21</v>
      </c>
      <c r="C50" s="73">
        <v>4.9400000000000004</v>
      </c>
      <c r="D50" s="73">
        <f>SUM(D42,D47,D48)</f>
        <v>0.98999999999999</v>
      </c>
      <c r="E50" s="73">
        <v>-11.41</v>
      </c>
      <c r="F50" s="73">
        <v>9.67</v>
      </c>
      <c r="G50" s="73">
        <v>1.4</v>
      </c>
      <c r="H50" s="73">
        <v>5.0199999999999996</v>
      </c>
      <c r="I50" s="73">
        <v>36.31</v>
      </c>
      <c r="J50" s="73">
        <v>27.85</v>
      </c>
      <c r="K50" s="73">
        <v>59.27</v>
      </c>
      <c r="L50" s="73">
        <v>32.71</v>
      </c>
      <c r="AA50" s="85">
        <f>SUM(D50:G50)</f>
        <v>0.64999999999998925</v>
      </c>
      <c r="AB50" s="85">
        <f>SUM(H50:K50)</f>
        <v>128.45000000000002</v>
      </c>
      <c r="AC50" s="85">
        <f>SUM(L50:O50)</f>
        <v>32.71</v>
      </c>
      <c r="AD50" s="85">
        <f>SUM(P50:S50)</f>
        <v>0</v>
      </c>
      <c r="AE50" s="85">
        <f>SUM(T50:W50)</f>
        <v>0</v>
      </c>
    </row>
    <row r="51" spans="1:31">
      <c r="AA51" s="85"/>
      <c r="AB51" s="85"/>
      <c r="AC51" s="85"/>
      <c r="AD51" s="85"/>
      <c r="AE51" s="85"/>
    </row>
    <row r="52" spans="1:31">
      <c r="A52" s="73" t="s">
        <v>10</v>
      </c>
      <c r="I52" s="73">
        <v>-0.02</v>
      </c>
      <c r="AA52" s="85">
        <f>SUM(D52:G52)</f>
        <v>0</v>
      </c>
      <c r="AB52" s="85">
        <f>SUM(H52:K52)</f>
        <v>-0.02</v>
      </c>
      <c r="AC52" s="85">
        <f>SUM(L52:O52)</f>
        <v>0</v>
      </c>
      <c r="AD52" s="85">
        <f>SUM(P52:S52)</f>
        <v>0</v>
      </c>
      <c r="AE52" s="85">
        <f>SUM(T52:W52)</f>
        <v>0</v>
      </c>
    </row>
    <row r="53" spans="1:31">
      <c r="A53" s="73" t="s">
        <v>11</v>
      </c>
      <c r="E53" s="73">
        <v>5.3</v>
      </c>
      <c r="H53" s="73">
        <v>5.3</v>
      </c>
      <c r="AA53" s="85">
        <f>SUM(D53:G53)</f>
        <v>5.3</v>
      </c>
      <c r="AB53" s="85">
        <f>SUM(H53:K53)</f>
        <v>5.3</v>
      </c>
      <c r="AC53" s="85">
        <f>SUM(L53:O53)</f>
        <v>0</v>
      </c>
      <c r="AD53" s="85">
        <f>SUM(P53:S53)</f>
        <v>0</v>
      </c>
      <c r="AE53" s="85">
        <f>SUM(T53:W53)</f>
        <v>0</v>
      </c>
    </row>
    <row r="55" spans="1:31">
      <c r="A55" s="73" t="s">
        <v>12</v>
      </c>
      <c r="B55" s="73">
        <v>-0.21</v>
      </c>
      <c r="C55" s="73">
        <v>4.9400000000000004</v>
      </c>
      <c r="D55" s="73">
        <f>D50+D52+D53</f>
        <v>0.98999999999999</v>
      </c>
      <c r="E55" s="73">
        <f t="shared" ref="E55:L55" si="105">E50+E52+E53</f>
        <v>-6.11</v>
      </c>
      <c r="F55" s="73">
        <f t="shared" si="105"/>
        <v>9.67</v>
      </c>
      <c r="G55" s="73">
        <f t="shared" si="105"/>
        <v>1.4</v>
      </c>
      <c r="H55" s="73">
        <f t="shared" si="105"/>
        <v>10.32</v>
      </c>
      <c r="I55" s="73">
        <f t="shared" si="105"/>
        <v>36.29</v>
      </c>
      <c r="J55" s="73">
        <f t="shared" si="105"/>
        <v>27.85</v>
      </c>
      <c r="K55" s="73">
        <f t="shared" si="105"/>
        <v>59.27</v>
      </c>
      <c r="L55" s="73">
        <f t="shared" si="105"/>
        <v>32.71</v>
      </c>
      <c r="AA55" s="85">
        <f>SUM(D55:G55)</f>
        <v>5.9499999999999904</v>
      </c>
      <c r="AB55" s="85">
        <f>SUM(H55:K55)</f>
        <v>133.73000000000002</v>
      </c>
      <c r="AC55" s="85">
        <f>SUM(L55:O55)</f>
        <v>32.71</v>
      </c>
      <c r="AD55" s="85">
        <f>SUM(P55:S55)</f>
        <v>0</v>
      </c>
      <c r="AE55" s="85">
        <f>SUM(T55:W55)</f>
        <v>0</v>
      </c>
    </row>
    <row r="57" spans="1:31">
      <c r="A57" s="73" t="s">
        <v>13</v>
      </c>
      <c r="C57" s="73">
        <v>-7.0000000000000007E-2</v>
      </c>
      <c r="G57" s="73">
        <v>-0.37</v>
      </c>
      <c r="H57" s="73">
        <v>-0.22</v>
      </c>
      <c r="I57" s="73">
        <v>0.99</v>
      </c>
      <c r="J57" s="73">
        <v>1.27</v>
      </c>
      <c r="K57" s="73">
        <v>-0.32</v>
      </c>
      <c r="L57" s="73">
        <v>-0.02</v>
      </c>
      <c r="AA57" s="85">
        <f>SUM(D57:G57)</f>
        <v>-0.37</v>
      </c>
      <c r="AB57" s="85">
        <f>SUM(H57:K57)</f>
        <v>1.72</v>
      </c>
      <c r="AC57" s="85">
        <f>SUM(L57:O57)</f>
        <v>-0.02</v>
      </c>
      <c r="AD57" s="85">
        <f>SUM(P57:S57)</f>
        <v>0</v>
      </c>
      <c r="AE57" s="85">
        <f>SUM(T57:W57)</f>
        <v>0</v>
      </c>
    </row>
    <row r="58" spans="1:31">
      <c r="A58" s="73" t="s">
        <v>181</v>
      </c>
      <c r="G58" s="98">
        <f>-G57/G55</f>
        <v>0.26428571428571429</v>
      </c>
      <c r="H58" s="98">
        <f t="shared" ref="H58:L58" si="106">-H57/H55</f>
        <v>2.1317829457364341E-2</v>
      </c>
      <c r="I58" s="98">
        <f t="shared" si="106"/>
        <v>-2.7280242491044365E-2</v>
      </c>
      <c r="J58" s="98">
        <f t="shared" si="106"/>
        <v>-4.5601436265709151E-2</v>
      </c>
      <c r="K58" s="98">
        <f t="shared" si="106"/>
        <v>5.3990214273662894E-3</v>
      </c>
      <c r="L58" s="98">
        <f t="shared" si="106"/>
        <v>6.1143381228981959E-4</v>
      </c>
      <c r="AA58" s="85"/>
      <c r="AB58" s="85"/>
      <c r="AC58" s="85"/>
      <c r="AD58" s="85"/>
      <c r="AE58" s="85"/>
    </row>
    <row r="60" spans="1:31">
      <c r="A60" s="73" t="s">
        <v>14</v>
      </c>
      <c r="B60" s="73">
        <v>-0.21</v>
      </c>
      <c r="C60" s="73">
        <v>4.87</v>
      </c>
      <c r="D60" s="73">
        <f t="shared" ref="D60:K60" si="107">D55+D57</f>
        <v>0.98999999999999</v>
      </c>
      <c r="E60" s="73">
        <f t="shared" si="107"/>
        <v>-6.11</v>
      </c>
      <c r="F60" s="73">
        <f t="shared" si="107"/>
        <v>9.67</v>
      </c>
      <c r="G60" s="73">
        <f t="shared" si="107"/>
        <v>1.0299999999999998</v>
      </c>
      <c r="H60" s="73">
        <f t="shared" si="107"/>
        <v>10.1</v>
      </c>
      <c r="I60" s="73">
        <f t="shared" si="107"/>
        <v>37.28</v>
      </c>
      <c r="J60" s="73">
        <f t="shared" si="107"/>
        <v>29.12</v>
      </c>
      <c r="K60" s="73">
        <f t="shared" si="107"/>
        <v>58.95</v>
      </c>
      <c r="L60" s="73">
        <f>L55+L57</f>
        <v>32.69</v>
      </c>
      <c r="AA60" s="85">
        <f>SUM(D60:G60)</f>
        <v>5.5799999999999894</v>
      </c>
      <c r="AB60" s="85">
        <f>SUM(H60:K60)</f>
        <v>135.44999999999999</v>
      </c>
      <c r="AC60" s="85">
        <f>SUM(L60:O60)</f>
        <v>32.69</v>
      </c>
      <c r="AD60" s="85">
        <f>SUM(P60:S60)</f>
        <v>0</v>
      </c>
      <c r="AE60" s="85">
        <f>SUM(T60:W60)</f>
        <v>0</v>
      </c>
    </row>
    <row r="62" spans="1:31" s="96" customFormat="1">
      <c r="A62" s="94" t="s">
        <v>15</v>
      </c>
      <c r="B62" s="96">
        <v>-0.21</v>
      </c>
      <c r="C62" s="96">
        <v>4.87</v>
      </c>
      <c r="D62" s="96">
        <f>D55+D57</f>
        <v>0.98999999999999</v>
      </c>
      <c r="E62" s="96">
        <f t="shared" ref="E62:L62" si="108">E55+E57</f>
        <v>-6.11</v>
      </c>
      <c r="F62" s="96">
        <f t="shared" si="108"/>
        <v>9.67</v>
      </c>
      <c r="G62" s="96">
        <f t="shared" si="108"/>
        <v>1.0299999999999998</v>
      </c>
      <c r="H62" s="96">
        <f t="shared" si="108"/>
        <v>10.1</v>
      </c>
      <c r="I62" s="96">
        <f t="shared" si="108"/>
        <v>37.28</v>
      </c>
      <c r="J62" s="96">
        <f t="shared" si="108"/>
        <v>29.12</v>
      </c>
      <c r="K62" s="96">
        <f t="shared" si="108"/>
        <v>58.95</v>
      </c>
      <c r="L62" s="96">
        <f t="shared" si="108"/>
        <v>32.69</v>
      </c>
      <c r="AA62" s="97">
        <f>SUM(D62:G62)</f>
        <v>5.5799999999999894</v>
      </c>
      <c r="AB62" s="97">
        <f>SUM(H62:K62)</f>
        <v>135.44999999999999</v>
      </c>
      <c r="AC62" s="97">
        <f>SUM(L62:O62)</f>
        <v>32.69</v>
      </c>
      <c r="AD62" s="97">
        <f>SUM(P62:S62)</f>
        <v>0</v>
      </c>
      <c r="AE62" s="97">
        <f>SUM(T62:W62)</f>
        <v>0</v>
      </c>
    </row>
    <row r="64" spans="1:31">
      <c r="A64" s="73" t="s">
        <v>16</v>
      </c>
      <c r="B64" s="73">
        <v>-0.12</v>
      </c>
      <c r="C64" s="73">
        <v>1.19</v>
      </c>
      <c r="D64" s="73">
        <v>0.49</v>
      </c>
      <c r="E64" s="73">
        <v>-0.08</v>
      </c>
      <c r="AA64" s="85">
        <f>SUM(D64:G64)</f>
        <v>0.41</v>
      </c>
      <c r="AB64" s="85">
        <f>SUM(H64:K64)</f>
        <v>0</v>
      </c>
      <c r="AC64" s="85">
        <f>SUM(L64:O64)</f>
        <v>0</v>
      </c>
      <c r="AD64" s="85">
        <f>SUM(P64:S64)</f>
        <v>0</v>
      </c>
      <c r="AE64" s="85">
        <f>SUM(T64:W64)</f>
        <v>0</v>
      </c>
    </row>
    <row r="66" spans="1:31" s="96" customFormat="1">
      <c r="A66" s="94" t="s">
        <v>17</v>
      </c>
      <c r="B66" s="96">
        <v>-0.32</v>
      </c>
      <c r="C66" s="96">
        <v>6.05</v>
      </c>
      <c r="D66" s="96">
        <f>D62+D64</f>
        <v>1.47999999999999</v>
      </c>
      <c r="E66" s="96">
        <f t="shared" ref="E66:L66" si="109">E62+E64</f>
        <v>-6.19</v>
      </c>
      <c r="F66" s="96">
        <f t="shared" si="109"/>
        <v>9.67</v>
      </c>
      <c r="G66" s="96">
        <f t="shared" si="109"/>
        <v>1.0299999999999998</v>
      </c>
      <c r="H66" s="96">
        <f t="shared" si="109"/>
        <v>10.1</v>
      </c>
      <c r="I66" s="96">
        <f t="shared" si="109"/>
        <v>37.28</v>
      </c>
      <c r="J66" s="96">
        <f t="shared" si="109"/>
        <v>29.12</v>
      </c>
      <c r="K66" s="96">
        <f t="shared" si="109"/>
        <v>58.95</v>
      </c>
      <c r="L66" s="96">
        <f t="shared" si="109"/>
        <v>32.69</v>
      </c>
      <c r="AA66" s="97">
        <f>SUM(D66:G66)</f>
        <v>5.9899999999999896</v>
      </c>
      <c r="AB66" s="97">
        <f>SUM(H66:K66)</f>
        <v>135.44999999999999</v>
      </c>
      <c r="AC66" s="97">
        <f>SUM(L66:O66)</f>
        <v>32.69</v>
      </c>
      <c r="AD66" s="97">
        <f>SUM(P66:S66)</f>
        <v>0</v>
      </c>
      <c r="AE66" s="97">
        <f>SUM(T66:W66)</f>
        <v>0</v>
      </c>
    </row>
    <row r="68" spans="1:31">
      <c r="A68" s="73" t="s">
        <v>18</v>
      </c>
      <c r="D68" s="73">
        <v>-1.48</v>
      </c>
      <c r="E68" s="73">
        <v>2.98</v>
      </c>
      <c r="F68" s="73">
        <v>-7.93</v>
      </c>
      <c r="G68" s="73">
        <v>-1.03</v>
      </c>
      <c r="AA68" s="85">
        <f>SUM(D68:G68)</f>
        <v>-7.46</v>
      </c>
      <c r="AB68" s="85">
        <f>SUM(H68:K68)</f>
        <v>0</v>
      </c>
      <c r="AC68" s="85">
        <f>SUM(L68:O68)</f>
        <v>0</v>
      </c>
      <c r="AD68" s="85">
        <f>SUM(P68:S68)</f>
        <v>0</v>
      </c>
      <c r="AE68" s="85">
        <f>SUM(T68:W68)</f>
        <v>0</v>
      </c>
    </row>
    <row r="70" spans="1:31">
      <c r="A70" s="73" t="s">
        <v>184</v>
      </c>
      <c r="B70" s="73">
        <v>-0.32</v>
      </c>
      <c r="C70" s="73">
        <v>6.05</v>
      </c>
      <c r="D70" s="73">
        <f>D66</f>
        <v>1.47999999999999</v>
      </c>
      <c r="E70" s="73">
        <v>-3.22</v>
      </c>
      <c r="F70" s="73">
        <v>1.74</v>
      </c>
      <c r="G70" s="73">
        <v>1.03</v>
      </c>
      <c r="H70" s="73">
        <v>10.1</v>
      </c>
      <c r="I70" s="73">
        <v>37.28</v>
      </c>
      <c r="J70" s="73">
        <v>29.11</v>
      </c>
      <c r="K70" s="73">
        <v>58.94</v>
      </c>
      <c r="L70" s="73">
        <v>32.69</v>
      </c>
      <c r="AA70" s="85">
        <f>SUM(D70:G70)</f>
        <v>1.0299999999999898</v>
      </c>
      <c r="AB70" s="85">
        <f>SUM(H70:K70)</f>
        <v>135.43</v>
      </c>
      <c r="AC70" s="85">
        <f>SUM(L70:O70)</f>
        <v>32.69</v>
      </c>
      <c r="AD70" s="85">
        <f>SUM(P70:S70)</f>
        <v>0</v>
      </c>
      <c r="AE70" s="85">
        <f>SUM(T70:W70)</f>
        <v>0</v>
      </c>
    </row>
    <row r="71" spans="1:31">
      <c r="A71" s="89" t="s">
        <v>183</v>
      </c>
      <c r="B71" s="93">
        <v>-7.0000000000000001E-3</v>
      </c>
      <c r="C71" s="93">
        <v>0.09</v>
      </c>
      <c r="D71" s="90">
        <f t="shared" ref="D71:L71" si="110">D70/D12</f>
        <v>2.3128613845913269E-2</v>
      </c>
      <c r="E71" s="90">
        <f t="shared" si="110"/>
        <v>-0.1856549815498155</v>
      </c>
      <c r="F71" s="90">
        <f t="shared" si="110"/>
        <v>2.6621787025703794E-2</v>
      </c>
      <c r="G71" s="90">
        <f t="shared" si="110"/>
        <v>1.1877032356264845E-2</v>
      </c>
      <c r="H71" s="90">
        <f t="shared" si="110"/>
        <v>8.3230325504738356E-2</v>
      </c>
      <c r="I71" s="90">
        <f t="shared" si="110"/>
        <v>0.19221448827017271</v>
      </c>
      <c r="J71" s="90">
        <f t="shared" si="110"/>
        <v>0.12742394397023418</v>
      </c>
      <c r="K71" s="90">
        <f t="shared" si="110"/>
        <v>0.19334796400723009</v>
      </c>
      <c r="L71" s="90">
        <f t="shared" si="110"/>
        <v>0.10540740979589203</v>
      </c>
    </row>
    <row r="72" spans="1:31">
      <c r="A72" s="89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</row>
    <row r="73" spans="1:31">
      <c r="A73" s="73" t="s">
        <v>20</v>
      </c>
      <c r="B73" s="73">
        <v>14.31</v>
      </c>
      <c r="C73" s="73">
        <v>14.4</v>
      </c>
      <c r="D73" s="73">
        <v>14.63</v>
      </c>
      <c r="E73" s="73">
        <v>14.66</v>
      </c>
      <c r="F73" s="73">
        <v>26.75</v>
      </c>
      <c r="G73" s="73">
        <v>26</v>
      </c>
      <c r="H73" s="73">
        <v>91.45</v>
      </c>
      <c r="I73" s="73">
        <v>94.8</v>
      </c>
      <c r="J73" s="73">
        <v>96.06</v>
      </c>
      <c r="K73" s="73">
        <v>98.8</v>
      </c>
      <c r="L73" s="73">
        <v>95.46</v>
      </c>
      <c r="M73" s="85">
        <v>92</v>
      </c>
      <c r="N73" s="85">
        <v>90</v>
      </c>
      <c r="O73" s="85">
        <v>89</v>
      </c>
      <c r="P73" s="85">
        <v>91</v>
      </c>
      <c r="Q73" s="85">
        <v>94</v>
      </c>
      <c r="R73" s="85">
        <v>96</v>
      </c>
    </row>
    <row r="74" spans="1:31">
      <c r="A74" s="89" t="s">
        <v>1</v>
      </c>
      <c r="B74" s="89"/>
      <c r="C74" s="89"/>
      <c r="D74" s="89"/>
      <c r="E74" s="89"/>
      <c r="F74" s="90"/>
      <c r="G74" s="90"/>
      <c r="H74" s="90">
        <f>H73/D73-1</f>
        <v>5.2508544087491451</v>
      </c>
      <c r="I74" s="90">
        <f t="shared" ref="I74" si="111">I73/E73-1</f>
        <v>5.4665757162346518</v>
      </c>
      <c r="J74" s="90">
        <f t="shared" ref="J74" si="112">J73/F73-1</f>
        <v>2.5910280373831776</v>
      </c>
      <c r="K74" s="90">
        <f t="shared" ref="K74" si="113">K73/G73-1</f>
        <v>2.8</v>
      </c>
      <c r="L74" s="90">
        <f t="shared" ref="L74" si="114">L73/H73-1</f>
        <v>4.3849097867687092E-2</v>
      </c>
      <c r="M74" s="85"/>
      <c r="N74" s="85"/>
      <c r="O74" s="85"/>
      <c r="P74" s="85"/>
      <c r="Q74" s="85"/>
      <c r="R74" s="85"/>
    </row>
    <row r="75" spans="1:31">
      <c r="A75" s="89"/>
      <c r="B75" s="89"/>
      <c r="C75" s="89"/>
      <c r="D75" s="89"/>
      <c r="E75" s="89"/>
      <c r="F75" s="93"/>
      <c r="G75" s="93"/>
      <c r="H75" s="93"/>
      <c r="I75" s="93"/>
      <c r="J75" s="93"/>
      <c r="K75" s="93"/>
      <c r="L75" s="93"/>
      <c r="M75" s="85"/>
      <c r="N75" s="85"/>
      <c r="O75" s="85"/>
      <c r="P75" s="85"/>
      <c r="Q75" s="85"/>
      <c r="R75" s="85"/>
    </row>
    <row r="76" spans="1:31">
      <c r="A76" s="73" t="s">
        <v>21</v>
      </c>
      <c r="B76" s="73">
        <v>14.31</v>
      </c>
      <c r="C76" s="73">
        <v>14.4</v>
      </c>
      <c r="D76" s="73">
        <v>14.63</v>
      </c>
      <c r="E76" s="73">
        <v>14.66</v>
      </c>
      <c r="F76" s="73">
        <v>14.71</v>
      </c>
      <c r="G76" s="73">
        <v>26</v>
      </c>
      <c r="H76" s="73">
        <v>73.63</v>
      </c>
      <c r="I76" s="73">
        <v>76.67</v>
      </c>
      <c r="J76" s="73">
        <v>79.39</v>
      </c>
      <c r="K76" s="73">
        <v>82.62</v>
      </c>
      <c r="L76" s="73">
        <v>84.23</v>
      </c>
      <c r="M76" s="85">
        <v>82</v>
      </c>
      <c r="N76" s="85">
        <v>80</v>
      </c>
      <c r="O76" s="85">
        <v>79</v>
      </c>
      <c r="P76" s="85">
        <v>81</v>
      </c>
      <c r="Q76" s="85">
        <v>83</v>
      </c>
      <c r="R76" s="85">
        <v>84</v>
      </c>
    </row>
    <row r="77" spans="1:31">
      <c r="A77" s="89" t="s">
        <v>1</v>
      </c>
      <c r="B77" s="89"/>
      <c r="C77" s="89"/>
      <c r="D77" s="89"/>
      <c r="E77" s="89"/>
      <c r="F77" s="90"/>
      <c r="G77" s="90"/>
      <c r="H77" s="90">
        <f>H76/D76-1</f>
        <v>4.0328092959671897</v>
      </c>
      <c r="I77" s="90">
        <f t="shared" ref="I77:L77" si="115">I76/E76-1</f>
        <v>4.2298772169167806</v>
      </c>
      <c r="J77" s="90">
        <f t="shared" si="115"/>
        <v>4.397008837525493</v>
      </c>
      <c r="K77" s="90">
        <f t="shared" si="115"/>
        <v>2.177692307692308</v>
      </c>
      <c r="L77" s="90">
        <f t="shared" si="115"/>
        <v>0.14396305853592306</v>
      </c>
    </row>
    <row r="78" spans="1:31">
      <c r="A78" s="89"/>
      <c r="B78" s="89"/>
      <c r="C78" s="89"/>
      <c r="D78" s="89"/>
      <c r="E78" s="89"/>
      <c r="F78" s="93"/>
      <c r="G78" s="93"/>
      <c r="H78" s="93"/>
      <c r="I78" s="93"/>
      <c r="J78" s="93"/>
      <c r="K78" s="93"/>
      <c r="L78" s="93"/>
    </row>
    <row r="79" spans="1:31">
      <c r="A79" s="73" t="s">
        <v>22</v>
      </c>
      <c r="B79" s="73">
        <v>-0.02</v>
      </c>
      <c r="C79" s="73">
        <v>0.42</v>
      </c>
      <c r="D79" s="85">
        <f>D70/D76</f>
        <v>0.10116199589883731</v>
      </c>
      <c r="E79" s="85">
        <f t="shared" ref="E79:L79" si="116">E70/E76</f>
        <v>-0.21964529331514326</v>
      </c>
      <c r="F79" s="85">
        <f t="shared" si="116"/>
        <v>0.11828687967369136</v>
      </c>
      <c r="G79" s="85">
        <f t="shared" si="116"/>
        <v>3.9615384615384615E-2</v>
      </c>
      <c r="H79" s="85">
        <f t="shared" si="116"/>
        <v>0.13717234822762461</v>
      </c>
      <c r="I79" s="85">
        <f t="shared" si="116"/>
        <v>0.48623972870744753</v>
      </c>
      <c r="J79" s="85">
        <f t="shared" si="116"/>
        <v>0.36667086534828064</v>
      </c>
      <c r="K79" s="85">
        <f t="shared" si="116"/>
        <v>0.71338658920358256</v>
      </c>
      <c r="L79" s="85">
        <f t="shared" si="116"/>
        <v>0.38810400094978031</v>
      </c>
    </row>
    <row r="80" spans="1:31">
      <c r="H80" s="90">
        <f>H79/D79-1</f>
        <v>0.35596719903389307</v>
      </c>
      <c r="I80" s="90" t="s">
        <v>185</v>
      </c>
      <c r="J80" s="90">
        <f t="shared" ref="J80" si="117">J79/F79-1</f>
        <v>2.0998439248696599</v>
      </c>
      <c r="K80" s="90">
        <f t="shared" ref="K80" si="118">K79/G79-1</f>
        <v>17.007816814847715</v>
      </c>
      <c r="L80" s="90">
        <f t="shared" ref="L80" si="119">L79/H79-1</f>
        <v>1.8293165930626065</v>
      </c>
    </row>
    <row r="82" spans="1:12">
      <c r="A82" s="73" t="s">
        <v>182</v>
      </c>
      <c r="D82" s="85">
        <f>D70/D73</f>
        <v>0.10116199589883731</v>
      </c>
      <c r="E82" s="85">
        <f t="shared" ref="E82:L82" si="120">E70/E73</f>
        <v>-0.21964529331514326</v>
      </c>
      <c r="F82" s="85">
        <f t="shared" si="120"/>
        <v>6.504672897196262E-2</v>
      </c>
      <c r="G82" s="85">
        <f t="shared" si="120"/>
        <v>3.9615384615384615E-2</v>
      </c>
      <c r="H82" s="85">
        <f t="shared" si="120"/>
        <v>0.11044286495352651</v>
      </c>
      <c r="I82" s="85">
        <f t="shared" si="120"/>
        <v>0.39324894514767933</v>
      </c>
      <c r="J82" s="85">
        <f t="shared" si="120"/>
        <v>0.30303976681240891</v>
      </c>
      <c r="K82" s="85">
        <f t="shared" si="120"/>
        <v>0.59655870445344128</v>
      </c>
      <c r="L82" s="85">
        <f t="shared" si="120"/>
        <v>0.34244709826105174</v>
      </c>
    </row>
    <row r="83" spans="1:12">
      <c r="H83" s="90">
        <f>H82/D82-1</f>
        <v>9.174264477709726E-2</v>
      </c>
      <c r="I83" s="90" t="s">
        <v>185</v>
      </c>
      <c r="J83" s="90">
        <f t="shared" ref="J83" si="121">J82/F82-1</f>
        <v>3.6588010127769754</v>
      </c>
      <c r="K83" s="90">
        <f t="shared" ref="K83" si="122">K82/G82-1</f>
        <v>14.058763413387839</v>
      </c>
      <c r="L83" s="90">
        <f t="shared" ref="L83" si="123">L82/H82-1</f>
        <v>2.1006719936607112</v>
      </c>
    </row>
    <row r="88" spans="1:12" s="99" customFormat="1">
      <c r="A88" s="99" t="s">
        <v>161</v>
      </c>
      <c r="F88" s="100">
        <f t="shared" ref="F88:L88" si="124">F12/B12-1</f>
        <v>0.32067084259446355</v>
      </c>
      <c r="G88" s="100">
        <f t="shared" si="124"/>
        <v>0.26879297732260454</v>
      </c>
      <c r="H88" s="100">
        <f t="shared" si="124"/>
        <v>0.896390060947023</v>
      </c>
      <c r="I88" s="100">
        <f t="shared" si="124"/>
        <v>10.18254151291513</v>
      </c>
      <c r="J88" s="100">
        <f t="shared" si="124"/>
        <v>2.4952570379436962</v>
      </c>
      <c r="K88" s="100">
        <f t="shared" si="124"/>
        <v>2.5151288023800178</v>
      </c>
      <c r="L88" s="100">
        <f t="shared" si="124"/>
        <v>1.555665430572724</v>
      </c>
    </row>
    <row r="90" spans="1:12" s="89" customFormat="1">
      <c r="A90" s="89" t="s">
        <v>170</v>
      </c>
      <c r="B90" s="90">
        <f>B23</f>
        <v>0.86499999999999999</v>
      </c>
      <c r="C90" s="90">
        <f t="shared" ref="C90:L90" si="125">C23</f>
        <v>0.875</v>
      </c>
      <c r="D90" s="90">
        <f t="shared" si="125"/>
        <v>0.86899999999999999</v>
      </c>
      <c r="E90" s="90">
        <f t="shared" si="125"/>
        <v>0.66200000000000003</v>
      </c>
      <c r="F90" s="90">
        <f t="shared" si="125"/>
        <v>0.86</v>
      </c>
      <c r="G90" s="90">
        <f t="shared" si="125"/>
        <v>0.85399999999999998</v>
      </c>
      <c r="H90" s="90">
        <f t="shared" si="125"/>
        <v>0.85799999999999998</v>
      </c>
      <c r="I90" s="90">
        <f t="shared" si="125"/>
        <v>0.876</v>
      </c>
      <c r="J90" s="90">
        <f t="shared" si="125"/>
        <v>0.84699999999999998</v>
      </c>
      <c r="K90" s="90">
        <f t="shared" si="125"/>
        <v>0.86599999999999999</v>
      </c>
      <c r="L90" s="90">
        <f t="shared" si="125"/>
        <v>0.84399999999999997</v>
      </c>
    </row>
    <row r="91" spans="1:12" s="89" customFormat="1">
      <c r="A91" s="89" t="s">
        <v>172</v>
      </c>
      <c r="B91" s="90">
        <f>B40</f>
        <v>-0.82461103253182466</v>
      </c>
      <c r="C91" s="90">
        <f t="shared" ref="C91:L91" si="126">C40</f>
        <v>-0.74177029992684718</v>
      </c>
      <c r="D91" s="90">
        <f t="shared" si="126"/>
        <v>-0.85372714486638546</v>
      </c>
      <c r="E91" s="90">
        <f t="shared" si="126"/>
        <v>-1.2753690036900369</v>
      </c>
      <c r="F91" s="90">
        <f t="shared" si="126"/>
        <v>-0.66998164014687878</v>
      </c>
      <c r="G91" s="90">
        <f t="shared" si="126"/>
        <v>-0.73257074329466565</v>
      </c>
      <c r="H91" s="90">
        <f t="shared" si="126"/>
        <v>-0.72830655129789867</v>
      </c>
      <c r="I91" s="90">
        <f t="shared" si="126"/>
        <v>-0.68816705336426909</v>
      </c>
      <c r="J91" s="90">
        <f t="shared" si="126"/>
        <v>-0.72168964762530097</v>
      </c>
      <c r="K91" s="90">
        <f t="shared" si="126"/>
        <v>-0.66720465557228581</v>
      </c>
      <c r="L91" s="90">
        <f t="shared" si="126"/>
        <v>-0.73162867184728975</v>
      </c>
    </row>
    <row r="92" spans="1:12" s="89" customFormat="1">
      <c r="A92" s="89" t="s">
        <v>171</v>
      </c>
      <c r="B92" s="93">
        <f>B44</f>
        <v>4.0210143463325819E-2</v>
      </c>
      <c r="C92" s="93">
        <f t="shared" ref="C92:L92" si="127">C44</f>
        <v>0.11528895391367953</v>
      </c>
      <c r="D92" s="90">
        <f t="shared" si="127"/>
        <v>8.5950929832784833E-3</v>
      </c>
      <c r="E92" s="90">
        <f t="shared" si="127"/>
        <v>-0.65705719557195574</v>
      </c>
      <c r="F92" s="90">
        <f t="shared" si="127"/>
        <v>0.18681150550795594</v>
      </c>
      <c r="G92" s="90">
        <f t="shared" si="127"/>
        <v>0.11994649569890009</v>
      </c>
      <c r="H92" s="90">
        <f t="shared" si="127"/>
        <v>0.12838895756077462</v>
      </c>
      <c r="I92" s="90">
        <f t="shared" si="127"/>
        <v>0.18726475895849456</v>
      </c>
      <c r="J92" s="90">
        <f t="shared" si="127"/>
        <v>0.12519150798861894</v>
      </c>
      <c r="K92" s="90">
        <f t="shared" si="127"/>
        <v>0.19813409701514556</v>
      </c>
      <c r="L92" s="90">
        <f t="shared" si="127"/>
        <v>0.11227549737206982</v>
      </c>
    </row>
    <row r="93" spans="1:12" s="89" customFormat="1"/>
    <row r="94" spans="1:12" s="89" customFormat="1">
      <c r="A94" s="99" t="s">
        <v>180</v>
      </c>
      <c r="H94" s="91">
        <f>H66/D66-1</f>
        <v>5.8243243243243699</v>
      </c>
      <c r="I94" s="91" t="s">
        <v>185</v>
      </c>
      <c r="J94" s="91">
        <f t="shared" ref="J94:L94" si="128">J66/F66-1</f>
        <v>2.0113753877973113</v>
      </c>
      <c r="K94" s="91">
        <f t="shared" si="128"/>
        <v>56.233009708737875</v>
      </c>
      <c r="L94" s="91">
        <f t="shared" si="128"/>
        <v>2.2366336633663364</v>
      </c>
    </row>
    <row r="95" spans="1:12" s="89" customFormat="1">
      <c r="A95" s="89" t="s">
        <v>188</v>
      </c>
      <c r="H95" s="91">
        <f>H79/D79-1</f>
        <v>0.35596719903389307</v>
      </c>
      <c r="I95" s="91" t="s">
        <v>185</v>
      </c>
      <c r="J95" s="91">
        <f t="shared" ref="J95:L95" si="129">J79/F79-1</f>
        <v>2.0998439248696599</v>
      </c>
      <c r="K95" s="91">
        <f t="shared" si="129"/>
        <v>17.007816814847715</v>
      </c>
      <c r="L95" s="91">
        <f t="shared" si="129"/>
        <v>1.8293165930626065</v>
      </c>
    </row>
    <row r="96" spans="1:12" s="89" customFormat="1">
      <c r="A96" s="89" t="s">
        <v>189</v>
      </c>
      <c r="D96" s="73"/>
      <c r="E96" s="73"/>
      <c r="F96" s="73"/>
      <c r="G96" s="73"/>
      <c r="H96" s="91">
        <f>H82/D82-1</f>
        <v>9.174264477709726E-2</v>
      </c>
      <c r="I96" s="91" t="s">
        <v>185</v>
      </c>
      <c r="J96" s="91">
        <f t="shared" ref="J96:L96" si="130">J82/F82-1</f>
        <v>3.6588010127769754</v>
      </c>
      <c r="K96" s="91">
        <f t="shared" si="130"/>
        <v>14.058763413387839</v>
      </c>
      <c r="L96" s="91">
        <f t="shared" si="130"/>
        <v>2.1006719936607112</v>
      </c>
    </row>
    <row r="98" spans="1:12">
      <c r="A98" s="73" t="s">
        <v>187</v>
      </c>
      <c r="F98" s="101"/>
      <c r="G98" s="101"/>
      <c r="H98" s="101">
        <f>H77</f>
        <v>4.0328092959671897</v>
      </c>
      <c r="I98" s="101">
        <f t="shared" ref="I98:L98" si="131">I77</f>
        <v>4.2298772169167806</v>
      </c>
      <c r="J98" s="101">
        <f t="shared" si="131"/>
        <v>4.397008837525493</v>
      </c>
      <c r="K98" s="101">
        <f t="shared" si="131"/>
        <v>2.177692307692308</v>
      </c>
      <c r="L98" s="101">
        <f t="shared" si="131"/>
        <v>0.14396305853592306</v>
      </c>
    </row>
    <row r="99" spans="1:12">
      <c r="A99" s="73" t="s">
        <v>186</v>
      </c>
      <c r="F99" s="101"/>
      <c r="G99" s="101"/>
      <c r="H99" s="101">
        <f t="shared" ref="H99" si="132">H74</f>
        <v>5.2508544087491451</v>
      </c>
      <c r="I99" s="101">
        <f t="shared" ref="I99:L99" si="133">I74</f>
        <v>5.4665757162346518</v>
      </c>
      <c r="J99" s="101">
        <f t="shared" si="133"/>
        <v>2.5910280373831776</v>
      </c>
      <c r="K99" s="101">
        <f t="shared" si="133"/>
        <v>2.8</v>
      </c>
      <c r="L99" s="101">
        <f t="shared" si="133"/>
        <v>4.3849097867687092E-2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F658-E245-544F-A8C1-411CF18DD743}">
  <dimension ref="A1:AE62"/>
  <sheetViews>
    <sheetView workbookViewId="0">
      <pane xSplit="1" ySplit="7" topLeftCell="B21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baseColWidth="10" defaultRowHeight="16"/>
  <cols>
    <col min="1" max="1" width="41.33203125" style="9" bestFit="1" customWidth="1"/>
    <col min="2" max="3" width="9.6640625" style="9" bestFit="1" customWidth="1"/>
    <col min="4" max="4" width="9.33203125" style="9" bestFit="1" customWidth="1"/>
    <col min="5" max="7" width="10.1640625" style="9" bestFit="1" customWidth="1"/>
    <col min="8" max="8" width="9" style="9" bestFit="1" customWidth="1"/>
    <col min="9" max="10" width="9.5" style="9" bestFit="1" customWidth="1"/>
    <col min="11" max="11" width="9.6640625" style="9" bestFit="1" customWidth="1"/>
    <col min="12" max="12" width="9.33203125" style="9" bestFit="1" customWidth="1"/>
    <col min="13" max="15" width="9.83203125" style="9" bestFit="1" customWidth="1"/>
    <col min="16" max="16" width="9" style="9" bestFit="1" customWidth="1"/>
    <col min="17" max="19" width="9.83203125" style="9" bestFit="1" customWidth="1"/>
    <col min="20" max="20" width="9" style="9" bestFit="1" customWidth="1"/>
    <col min="21" max="23" width="9.83203125" style="9" bestFit="1" customWidth="1"/>
    <col min="24" max="16384" width="10.83203125" style="9"/>
  </cols>
  <sheetData>
    <row r="1" spans="1:31" ht="81" customHeight="1">
      <c r="A1" s="1" t="s">
        <v>134</v>
      </c>
    </row>
    <row r="2" spans="1:31" ht="26">
      <c r="A2" s="8" t="s">
        <v>133</v>
      </c>
    </row>
    <row r="3" spans="1:31">
      <c r="A3" s="9" t="s">
        <v>132</v>
      </c>
    </row>
    <row r="6" spans="1:31">
      <c r="B6" s="12" t="s">
        <v>103</v>
      </c>
      <c r="C6" s="13" t="s">
        <v>104</v>
      </c>
      <c r="D6" s="13" t="s">
        <v>105</v>
      </c>
      <c r="E6" s="13" t="s">
        <v>106</v>
      </c>
      <c r="F6" s="13" t="s">
        <v>107</v>
      </c>
      <c r="G6" s="13" t="s">
        <v>108</v>
      </c>
      <c r="H6" s="13" t="s">
        <v>109</v>
      </c>
      <c r="I6" s="13" t="s">
        <v>110</v>
      </c>
      <c r="J6" s="13" t="s">
        <v>111</v>
      </c>
      <c r="K6" s="13" t="s">
        <v>112</v>
      </c>
      <c r="L6" s="13" t="s">
        <v>113</v>
      </c>
      <c r="M6" s="13" t="s">
        <v>114</v>
      </c>
      <c r="N6" s="13" t="s">
        <v>115</v>
      </c>
      <c r="O6" s="13" t="s">
        <v>116</v>
      </c>
      <c r="P6" s="13" t="s">
        <v>117</v>
      </c>
      <c r="Q6" s="13" t="s">
        <v>118</v>
      </c>
      <c r="R6" s="13" t="s">
        <v>119</v>
      </c>
      <c r="S6" s="13" t="s">
        <v>120</v>
      </c>
      <c r="T6" s="13" t="s">
        <v>121</v>
      </c>
      <c r="U6" s="13" t="s">
        <v>122</v>
      </c>
      <c r="V6" s="13" t="s">
        <v>123</v>
      </c>
      <c r="W6" s="14" t="s">
        <v>124</v>
      </c>
      <c r="AA6" s="9" t="s">
        <v>125</v>
      </c>
      <c r="AB6" s="9" t="s">
        <v>126</v>
      </c>
      <c r="AC6" s="9" t="s">
        <v>128</v>
      </c>
      <c r="AD6" s="9" t="s">
        <v>129</v>
      </c>
      <c r="AE6" s="9" t="s">
        <v>130</v>
      </c>
    </row>
    <row r="7" spans="1:31">
      <c r="A7" s="22" t="s">
        <v>25</v>
      </c>
      <c r="B7" s="15">
        <v>43738</v>
      </c>
      <c r="C7" s="16">
        <v>43830</v>
      </c>
      <c r="D7" s="16">
        <v>43921</v>
      </c>
      <c r="E7" s="16">
        <v>44012</v>
      </c>
      <c r="F7" s="16">
        <v>44104</v>
      </c>
      <c r="G7" s="16">
        <v>44196</v>
      </c>
      <c r="H7" s="16">
        <v>44286</v>
      </c>
      <c r="I7" s="16">
        <v>44377</v>
      </c>
      <c r="J7" s="16">
        <v>44469</v>
      </c>
      <c r="K7" s="16">
        <v>44561</v>
      </c>
      <c r="L7" s="16">
        <v>44651</v>
      </c>
      <c r="M7" s="16">
        <f>I7+365</f>
        <v>44742</v>
      </c>
      <c r="N7" s="16">
        <f t="shared" ref="N7:S7" si="0">J7+365</f>
        <v>44834</v>
      </c>
      <c r="O7" s="16">
        <f t="shared" si="0"/>
        <v>44926</v>
      </c>
      <c r="P7" s="16">
        <f t="shared" si="0"/>
        <v>45016</v>
      </c>
      <c r="Q7" s="16">
        <f t="shared" si="0"/>
        <v>45107</v>
      </c>
      <c r="R7" s="16">
        <f t="shared" si="0"/>
        <v>45199</v>
      </c>
      <c r="S7" s="16">
        <f t="shared" si="0"/>
        <v>45291</v>
      </c>
      <c r="T7" s="16">
        <f>P7+366</f>
        <v>45382</v>
      </c>
      <c r="U7" s="16">
        <f t="shared" ref="U7:W7" si="1">Q7+366</f>
        <v>45473</v>
      </c>
      <c r="V7" s="16">
        <f t="shared" si="1"/>
        <v>45565</v>
      </c>
      <c r="W7" s="17">
        <f t="shared" si="1"/>
        <v>45657</v>
      </c>
      <c r="AA7" s="9" t="s">
        <v>127</v>
      </c>
      <c r="AB7" s="9" t="s">
        <v>127</v>
      </c>
      <c r="AC7" s="9" t="s">
        <v>127</v>
      </c>
      <c r="AD7" s="9" t="s">
        <v>131</v>
      </c>
      <c r="AE7" s="9" t="s">
        <v>127</v>
      </c>
    </row>
    <row r="9" spans="1:31">
      <c r="A9" s="9" t="s">
        <v>26</v>
      </c>
      <c r="C9" s="9">
        <v>44.39</v>
      </c>
      <c r="F9" s="9">
        <v>53.23</v>
      </c>
      <c r="G9" s="9">
        <v>250.82</v>
      </c>
      <c r="H9" s="9">
        <v>257.02</v>
      </c>
      <c r="I9" s="9">
        <v>506.29</v>
      </c>
      <c r="J9" s="10">
        <v>1041.46</v>
      </c>
      <c r="K9" s="9">
        <v>986.61</v>
      </c>
      <c r="L9" s="9">
        <v>757.83</v>
      </c>
    </row>
    <row r="10" spans="1:31">
      <c r="J10" s="10"/>
    </row>
    <row r="11" spans="1:31">
      <c r="A11" s="9" t="s">
        <v>27</v>
      </c>
      <c r="C11" s="9">
        <f t="shared" ref="C11:K11" si="2">SUM(C9)</f>
        <v>44.39</v>
      </c>
      <c r="D11" s="9">
        <f t="shared" si="2"/>
        <v>0</v>
      </c>
      <c r="E11" s="9">
        <f t="shared" si="2"/>
        <v>0</v>
      </c>
      <c r="F11" s="9">
        <f t="shared" si="2"/>
        <v>53.23</v>
      </c>
      <c r="G11" s="9">
        <f t="shared" si="2"/>
        <v>250.82</v>
      </c>
      <c r="H11" s="9">
        <f t="shared" si="2"/>
        <v>257.02</v>
      </c>
      <c r="I11" s="9">
        <f t="shared" si="2"/>
        <v>506.29</v>
      </c>
      <c r="J11" s="9">
        <f t="shared" si="2"/>
        <v>1041.46</v>
      </c>
      <c r="K11" s="9">
        <f t="shared" si="2"/>
        <v>986.61</v>
      </c>
      <c r="L11" s="9">
        <f>SUM(L9)</f>
        <v>757.83</v>
      </c>
    </row>
    <row r="12" spans="1:31">
      <c r="J12" s="10"/>
    </row>
    <row r="13" spans="1:31">
      <c r="A13" s="9" t="s">
        <v>28</v>
      </c>
      <c r="C13" s="9">
        <v>266.42</v>
      </c>
      <c r="F13" s="9">
        <v>144.76</v>
      </c>
      <c r="G13" s="9">
        <v>97.53</v>
      </c>
      <c r="H13" s="9">
        <v>73.22</v>
      </c>
      <c r="I13" s="9">
        <v>95.31</v>
      </c>
      <c r="J13" s="9">
        <v>140.11000000000001</v>
      </c>
      <c r="K13" s="9">
        <v>260.77</v>
      </c>
      <c r="L13" s="9">
        <v>604.37</v>
      </c>
    </row>
    <row r="14" spans="1:31">
      <c r="A14" s="9" t="s">
        <v>29</v>
      </c>
      <c r="C14" s="9">
        <v>266.42</v>
      </c>
      <c r="F14" s="9">
        <v>144.76</v>
      </c>
      <c r="G14" s="9">
        <v>97.53</v>
      </c>
      <c r="H14" s="9">
        <v>73.22</v>
      </c>
      <c r="I14" s="9">
        <v>95.31</v>
      </c>
      <c r="J14" s="9">
        <v>140.11000000000001</v>
      </c>
      <c r="K14" s="9">
        <v>260.77</v>
      </c>
      <c r="L14" s="9">
        <v>604.37</v>
      </c>
    </row>
    <row r="15" spans="1:31">
      <c r="A15" s="9" t="s">
        <v>30</v>
      </c>
      <c r="C15" s="9">
        <v>35.68</v>
      </c>
      <c r="F15" s="9">
        <v>57.41</v>
      </c>
      <c r="G15" s="9">
        <v>60.51</v>
      </c>
      <c r="H15" s="9">
        <v>79.05</v>
      </c>
      <c r="I15" s="9">
        <v>111.25</v>
      </c>
      <c r="J15" s="9">
        <v>130.30000000000001</v>
      </c>
      <c r="K15" s="9">
        <v>204.63</v>
      </c>
      <c r="L15" s="9">
        <v>254.87</v>
      </c>
    </row>
    <row r="16" spans="1:31">
      <c r="A16" s="9" t="s">
        <v>31</v>
      </c>
      <c r="C16" s="9">
        <v>346.49</v>
      </c>
      <c r="F16" s="9">
        <v>255.41</v>
      </c>
      <c r="G16" s="9">
        <v>408.87</v>
      </c>
      <c r="H16" s="9">
        <v>409.29</v>
      </c>
      <c r="I16" s="9">
        <v>712.84</v>
      </c>
      <c r="J16" s="10">
        <v>1311.88</v>
      </c>
      <c r="K16" s="10">
        <v>1452.01</v>
      </c>
      <c r="L16" s="10">
        <v>1617.06</v>
      </c>
    </row>
    <row r="17" spans="1:12">
      <c r="J17" s="10"/>
      <c r="K17" s="10"/>
      <c r="L17" s="10"/>
    </row>
    <row r="18" spans="1:12">
      <c r="A18" s="9" t="s">
        <v>32</v>
      </c>
      <c r="C18" s="9">
        <v>20.47</v>
      </c>
      <c r="F18" s="9">
        <v>19.55</v>
      </c>
      <c r="G18" s="9">
        <v>24.13</v>
      </c>
      <c r="H18" s="9">
        <v>23.51</v>
      </c>
      <c r="I18" s="9">
        <v>24.09</v>
      </c>
      <c r="J18" s="9">
        <v>80.86</v>
      </c>
      <c r="K18" s="9">
        <v>110.56</v>
      </c>
      <c r="L18" s="9">
        <v>109.65</v>
      </c>
    </row>
    <row r="19" spans="1:12">
      <c r="A19" s="9" t="s">
        <v>33</v>
      </c>
      <c r="C19" s="9">
        <v>-0.45</v>
      </c>
      <c r="F19" s="9">
        <v>-1.48</v>
      </c>
      <c r="G19" s="9">
        <v>-1.79</v>
      </c>
      <c r="H19" s="9">
        <v>-2.15</v>
      </c>
      <c r="I19" s="9">
        <v>-2.54</v>
      </c>
      <c r="J19" s="9">
        <v>-2.94</v>
      </c>
      <c r="K19" s="9">
        <v>-3.69</v>
      </c>
      <c r="L19" s="9">
        <v>-4.41</v>
      </c>
    </row>
    <row r="20" spans="1:12">
      <c r="A20" s="9" t="s">
        <v>34</v>
      </c>
      <c r="C20" s="9">
        <v>20.02</v>
      </c>
      <c r="F20" s="9">
        <v>18.059999999999999</v>
      </c>
      <c r="G20" s="9">
        <v>22.34</v>
      </c>
      <c r="H20" s="9">
        <v>21.36</v>
      </c>
      <c r="I20" s="9">
        <v>21.56</v>
      </c>
      <c r="J20" s="9">
        <v>77.92</v>
      </c>
      <c r="K20" s="9">
        <v>106.88</v>
      </c>
      <c r="L20" s="9">
        <v>105.24</v>
      </c>
    </row>
    <row r="21" spans="1:12">
      <c r="A21" s="9" t="s">
        <v>35</v>
      </c>
      <c r="J21" s="9">
        <v>40</v>
      </c>
      <c r="K21" s="9">
        <v>40</v>
      </c>
      <c r="L21" s="9">
        <v>41</v>
      </c>
    </row>
    <row r="22" spans="1:12">
      <c r="A22" s="9" t="s">
        <v>36</v>
      </c>
      <c r="I22" s="9">
        <v>66.87</v>
      </c>
      <c r="J22" s="9">
        <v>66.87</v>
      </c>
      <c r="K22" s="9">
        <v>67.06</v>
      </c>
      <c r="L22" s="9">
        <v>67.06</v>
      </c>
    </row>
    <row r="23" spans="1:12">
      <c r="A23" s="9" t="s">
        <v>37</v>
      </c>
      <c r="C23" s="9">
        <v>2.2000000000000002</v>
      </c>
      <c r="F23" s="9">
        <v>4.9000000000000004</v>
      </c>
      <c r="G23" s="9">
        <v>6</v>
      </c>
      <c r="H23" s="9">
        <v>6</v>
      </c>
      <c r="I23" s="9">
        <v>30.33</v>
      </c>
      <c r="J23" s="9">
        <v>31.98</v>
      </c>
      <c r="K23" s="9">
        <v>33.409999999999997</v>
      </c>
      <c r="L23" s="9">
        <v>36.64</v>
      </c>
    </row>
    <row r="24" spans="1:12">
      <c r="A24" s="9" t="s">
        <v>38</v>
      </c>
      <c r="C24" s="9">
        <v>8.32</v>
      </c>
      <c r="F24" s="9">
        <v>9.14</v>
      </c>
      <c r="G24" s="9">
        <v>11.66</v>
      </c>
      <c r="H24" s="9">
        <v>18.13</v>
      </c>
      <c r="I24" s="9">
        <v>31.74</v>
      </c>
      <c r="J24" s="9">
        <v>29.99</v>
      </c>
      <c r="K24" s="9">
        <v>55.52</v>
      </c>
      <c r="L24" s="9">
        <v>48.62</v>
      </c>
    </row>
    <row r="25" spans="1:12">
      <c r="A25" s="9" t="s">
        <v>39</v>
      </c>
      <c r="C25" s="9">
        <v>16.43</v>
      </c>
      <c r="F25" s="9">
        <v>22.3</v>
      </c>
      <c r="G25" s="9">
        <v>28.39</v>
      </c>
      <c r="H25" s="9">
        <v>33.799999999999997</v>
      </c>
      <c r="I25" s="9">
        <v>41.25</v>
      </c>
      <c r="J25" s="9">
        <v>47.51</v>
      </c>
      <c r="K25" s="9">
        <v>65.59</v>
      </c>
      <c r="L25" s="9">
        <v>71.98</v>
      </c>
    </row>
    <row r="27" spans="1:12">
      <c r="A27" s="9" t="s">
        <v>40</v>
      </c>
      <c r="C27" s="9">
        <v>393.46</v>
      </c>
      <c r="F27" s="9">
        <v>309.8</v>
      </c>
      <c r="G27" s="9">
        <v>477.26</v>
      </c>
      <c r="H27" s="9">
        <v>488.59</v>
      </c>
      <c r="I27" s="9">
        <v>904.58</v>
      </c>
      <c r="J27" s="10">
        <v>1606.13</v>
      </c>
      <c r="K27" s="10">
        <v>1820.46</v>
      </c>
      <c r="L27" s="10">
        <v>1987.59</v>
      </c>
    </row>
    <row r="28" spans="1:12">
      <c r="J28" s="10"/>
      <c r="K28" s="10"/>
      <c r="L28" s="10"/>
    </row>
    <row r="29" spans="1:12">
      <c r="A29" s="9" t="s">
        <v>41</v>
      </c>
      <c r="C29" s="9">
        <v>6.56</v>
      </c>
      <c r="F29" s="9">
        <v>6.05</v>
      </c>
      <c r="G29" s="9">
        <v>13.78</v>
      </c>
      <c r="H29" s="9">
        <v>8.1300000000000008</v>
      </c>
      <c r="I29" s="9">
        <v>17.329999999999998</v>
      </c>
      <c r="J29" s="9">
        <v>9.3800000000000008</v>
      </c>
      <c r="K29" s="9">
        <v>6.56</v>
      </c>
      <c r="L29" s="9">
        <v>10.29</v>
      </c>
    </row>
    <row r="30" spans="1:12">
      <c r="A30" s="9" t="s">
        <v>42</v>
      </c>
      <c r="C30" s="9">
        <v>26.4</v>
      </c>
      <c r="F30" s="9">
        <v>22.39</v>
      </c>
      <c r="G30" s="9">
        <v>34.340000000000003</v>
      </c>
      <c r="H30" s="9">
        <v>38.700000000000003</v>
      </c>
      <c r="I30" s="9">
        <v>63.65</v>
      </c>
      <c r="J30" s="9">
        <v>67.05</v>
      </c>
      <c r="K30" s="9">
        <v>98.6</v>
      </c>
      <c r="L30" s="9">
        <v>83.33</v>
      </c>
    </row>
    <row r="31" spans="1:12">
      <c r="A31" s="9" t="s">
        <v>43</v>
      </c>
      <c r="C31" s="9">
        <v>4.12</v>
      </c>
      <c r="G31" s="9">
        <v>4.54</v>
      </c>
      <c r="H31" s="9">
        <v>3.48</v>
      </c>
      <c r="I31" s="9">
        <v>2.41</v>
      </c>
      <c r="J31" s="9">
        <v>1.27</v>
      </c>
      <c r="K31" s="9">
        <v>11.2</v>
      </c>
      <c r="L31" s="9">
        <v>9.14</v>
      </c>
    </row>
    <row r="32" spans="1:12">
      <c r="A32" s="9" t="s">
        <v>44</v>
      </c>
      <c r="C32" s="9">
        <v>6.8</v>
      </c>
      <c r="F32" s="9">
        <v>9.07</v>
      </c>
    </row>
    <row r="34" spans="1:12">
      <c r="A34" s="9" t="s">
        <v>45</v>
      </c>
      <c r="C34" s="9">
        <v>39.76</v>
      </c>
      <c r="F34" s="9">
        <v>37.51</v>
      </c>
      <c r="G34" s="9">
        <v>48.11</v>
      </c>
      <c r="H34" s="9">
        <v>50.31</v>
      </c>
      <c r="I34" s="9">
        <v>83.38</v>
      </c>
      <c r="J34" s="9">
        <v>77.7</v>
      </c>
      <c r="K34" s="9">
        <v>116.36</v>
      </c>
      <c r="L34" s="9">
        <v>102.75</v>
      </c>
    </row>
    <row r="36" spans="1:12">
      <c r="A36" s="9" t="s">
        <v>46</v>
      </c>
      <c r="C36" s="9">
        <v>214.72</v>
      </c>
      <c r="F36" s="9">
        <v>100.59</v>
      </c>
      <c r="G36" s="9">
        <v>62.63</v>
      </c>
      <c r="H36" s="9">
        <v>41.89</v>
      </c>
      <c r="I36" s="9">
        <v>6.06</v>
      </c>
      <c r="J36" s="9">
        <v>649.22</v>
      </c>
      <c r="K36" s="9">
        <v>695.43</v>
      </c>
      <c r="L36" s="9">
        <v>769.22</v>
      </c>
    </row>
    <row r="37" spans="1:12">
      <c r="A37" s="9" t="s">
        <v>47</v>
      </c>
      <c r="C37" s="9">
        <v>17.059999999999999</v>
      </c>
      <c r="F37" s="9">
        <v>14.84</v>
      </c>
      <c r="G37" s="9">
        <v>19.43</v>
      </c>
      <c r="H37" s="9">
        <v>15.14</v>
      </c>
      <c r="I37" s="9">
        <v>15.37</v>
      </c>
      <c r="J37" s="9">
        <v>70.900000000000006</v>
      </c>
      <c r="K37" s="9">
        <v>89.16</v>
      </c>
      <c r="L37" s="9">
        <v>90.91</v>
      </c>
    </row>
    <row r="38" spans="1:12">
      <c r="A38" s="9" t="s">
        <v>48</v>
      </c>
      <c r="C38" s="9">
        <v>21.07</v>
      </c>
      <c r="F38" s="9">
        <v>41.66</v>
      </c>
      <c r="G38" s="9">
        <v>46.83</v>
      </c>
      <c r="H38" s="9">
        <v>60.66</v>
      </c>
      <c r="I38" s="9">
        <v>83.68</v>
      </c>
      <c r="J38" s="9">
        <v>89.22</v>
      </c>
      <c r="K38" s="9">
        <v>112.42</v>
      </c>
      <c r="L38" s="9">
        <v>148.19999999999999</v>
      </c>
    </row>
    <row r="40" spans="1:12">
      <c r="A40" s="9" t="s">
        <v>49</v>
      </c>
      <c r="C40" s="9">
        <v>292.60000000000002</v>
      </c>
      <c r="F40" s="9">
        <v>194.59</v>
      </c>
      <c r="G40" s="9">
        <v>177</v>
      </c>
      <c r="H40" s="9">
        <v>168</v>
      </c>
      <c r="I40" s="9">
        <v>188.49</v>
      </c>
      <c r="J40" s="9">
        <v>887.04</v>
      </c>
      <c r="K40" s="10">
        <v>1013.38</v>
      </c>
      <c r="L40" s="10">
        <v>1111.0899999999999</v>
      </c>
    </row>
    <row r="41" spans="1:12">
      <c r="K41" s="10"/>
      <c r="L41" s="10"/>
    </row>
    <row r="42" spans="1:12">
      <c r="A42" s="9" t="s">
        <v>50</v>
      </c>
      <c r="C42" s="9">
        <v>162.55000000000001</v>
      </c>
      <c r="F42" s="9">
        <v>162.55000000000001</v>
      </c>
    </row>
    <row r="43" spans="1:12">
      <c r="A43" s="9" t="s">
        <v>51</v>
      </c>
      <c r="C43" s="9">
        <v>162.55000000000001</v>
      </c>
      <c r="D43" s="9">
        <v>162.55000000000001</v>
      </c>
      <c r="F43" s="9">
        <v>162.55000000000001</v>
      </c>
    </row>
    <row r="44" spans="1:12">
      <c r="A44" s="9" t="s">
        <v>52</v>
      </c>
      <c r="C44" s="9">
        <v>0</v>
      </c>
      <c r="F44" s="9">
        <v>0</v>
      </c>
      <c r="G44" s="9">
        <v>0.01</v>
      </c>
      <c r="H44" s="9">
        <v>0.01</v>
      </c>
      <c r="I44" s="9">
        <v>0.01</v>
      </c>
      <c r="J44" s="9">
        <v>0.01</v>
      </c>
      <c r="K44" s="9">
        <v>0.01</v>
      </c>
      <c r="L44" s="9">
        <v>0.01</v>
      </c>
    </row>
    <row r="45" spans="1:12">
      <c r="A45" s="9" t="s">
        <v>53</v>
      </c>
      <c r="C45" s="9">
        <v>12.49</v>
      </c>
      <c r="F45" s="9">
        <v>22.91</v>
      </c>
      <c r="G45" s="9">
        <v>369.47</v>
      </c>
      <c r="H45" s="9">
        <v>379.7</v>
      </c>
      <c r="I45" s="9">
        <v>737.92</v>
      </c>
      <c r="J45" s="9">
        <v>711.8</v>
      </c>
      <c r="K45" s="9">
        <v>740.85</v>
      </c>
      <c r="L45" s="9">
        <v>777.58</v>
      </c>
    </row>
    <row r="46" spans="1:12">
      <c r="A46" s="9" t="s">
        <v>54</v>
      </c>
      <c r="C46" s="9">
        <v>-75.209999999999994</v>
      </c>
      <c r="F46" s="9">
        <v>-70.25</v>
      </c>
      <c r="G46" s="9">
        <v>-69.22</v>
      </c>
      <c r="H46" s="9">
        <v>-59.12</v>
      </c>
      <c r="I46" s="9">
        <v>-21.84</v>
      </c>
      <c r="J46" s="9">
        <v>7.28</v>
      </c>
      <c r="K46" s="9">
        <v>66.22</v>
      </c>
      <c r="L46" s="9">
        <v>98.91</v>
      </c>
    </row>
    <row r="47" spans="1:12">
      <c r="A47" s="9" t="s">
        <v>55</v>
      </c>
      <c r="C47" s="9">
        <v>-62.71</v>
      </c>
      <c r="D47" s="9">
        <v>-62.71</v>
      </c>
      <c r="F47" s="9">
        <v>-47.33</v>
      </c>
      <c r="G47" s="9">
        <v>300.25</v>
      </c>
      <c r="H47" s="9">
        <v>320.58999999999997</v>
      </c>
      <c r="I47" s="9">
        <v>716.1</v>
      </c>
      <c r="J47" s="9">
        <v>719.09</v>
      </c>
      <c r="K47" s="9">
        <v>807.08</v>
      </c>
      <c r="L47" s="9">
        <v>876.5</v>
      </c>
    </row>
    <row r="48" spans="1:12">
      <c r="A48" s="9" t="s">
        <v>16</v>
      </c>
      <c r="C48" s="9">
        <v>1.03</v>
      </c>
    </row>
    <row r="49" spans="1:12">
      <c r="A49" s="9" t="s">
        <v>56</v>
      </c>
      <c r="C49" s="9">
        <v>100.86</v>
      </c>
      <c r="D49" s="9">
        <v>100.86</v>
      </c>
      <c r="F49" s="9">
        <v>115.21</v>
      </c>
      <c r="G49" s="9">
        <v>300.25</v>
      </c>
      <c r="H49" s="9">
        <v>320.58999999999997</v>
      </c>
      <c r="I49" s="9">
        <v>716.1</v>
      </c>
      <c r="J49" s="9">
        <v>719.09</v>
      </c>
      <c r="K49" s="9">
        <v>807.08</v>
      </c>
      <c r="L49" s="9">
        <v>876.5</v>
      </c>
    </row>
    <row r="51" spans="1:12">
      <c r="A51" s="9" t="s">
        <v>57</v>
      </c>
      <c r="C51" s="9">
        <v>393.46</v>
      </c>
      <c r="F51" s="9">
        <v>309.8</v>
      </c>
      <c r="G51" s="9">
        <v>477.26</v>
      </c>
      <c r="H51" s="9">
        <v>488.59</v>
      </c>
      <c r="I51" s="9">
        <v>904.58</v>
      </c>
      <c r="J51" s="10">
        <v>1606.13</v>
      </c>
      <c r="K51" s="10">
        <v>1820.46</v>
      </c>
      <c r="L51" s="10">
        <v>1987.59</v>
      </c>
    </row>
    <row r="52" spans="1:12">
      <c r="J52" s="10"/>
      <c r="K52" s="10"/>
      <c r="L52" s="10"/>
    </row>
    <row r="53" spans="1:12">
      <c r="A53" s="9" t="s">
        <v>19</v>
      </c>
    </row>
    <row r="55" spans="1:12">
      <c r="A55" s="9" t="s">
        <v>58</v>
      </c>
      <c r="B55" s="9">
        <v>14.31</v>
      </c>
      <c r="C55" s="9">
        <v>14.56</v>
      </c>
      <c r="D55" s="9">
        <v>14.63</v>
      </c>
      <c r="E55" s="9">
        <v>14.66</v>
      </c>
      <c r="F55" s="9">
        <v>15.04</v>
      </c>
      <c r="G55" s="9">
        <v>73.62</v>
      </c>
      <c r="H55" s="9">
        <v>76.900000000000006</v>
      </c>
      <c r="I55" s="9">
        <v>77.77</v>
      </c>
      <c r="J55" s="9">
        <v>81.96</v>
      </c>
      <c r="K55" s="9">
        <v>84.06</v>
      </c>
      <c r="L55" s="9">
        <v>84.77</v>
      </c>
    </row>
    <row r="56" spans="1:12">
      <c r="A56" s="9" t="s">
        <v>59</v>
      </c>
      <c r="C56" s="9">
        <v>-4.3099999999999996</v>
      </c>
      <c r="D56" s="9">
        <v>-4.3099999999999996</v>
      </c>
      <c r="F56" s="9">
        <v>-3.15</v>
      </c>
      <c r="G56" s="9">
        <v>4.0999999999999996</v>
      </c>
      <c r="H56" s="9">
        <v>4.34</v>
      </c>
      <c r="I56" s="9">
        <v>9.2200000000000006</v>
      </c>
      <c r="J56" s="9">
        <v>8.82</v>
      </c>
      <c r="K56" s="9">
        <v>9.65</v>
      </c>
      <c r="L56" s="9">
        <v>10.35</v>
      </c>
    </row>
    <row r="57" spans="1:12">
      <c r="A57" s="9" t="s">
        <v>60</v>
      </c>
      <c r="C57" s="9">
        <v>-64.91</v>
      </c>
      <c r="D57" s="9">
        <v>-64.91</v>
      </c>
      <c r="F57" s="9">
        <v>-52.23</v>
      </c>
      <c r="G57" s="9">
        <v>294.25</v>
      </c>
      <c r="H57" s="9">
        <v>314.58999999999997</v>
      </c>
      <c r="I57" s="9">
        <v>618.9</v>
      </c>
      <c r="J57" s="9">
        <v>620.25</v>
      </c>
      <c r="K57" s="9">
        <v>706.61</v>
      </c>
      <c r="L57" s="9">
        <v>772.81</v>
      </c>
    </row>
    <row r="58" spans="1:12">
      <c r="A58" s="9" t="s">
        <v>61</v>
      </c>
      <c r="C58" s="9">
        <v>-4.46</v>
      </c>
      <c r="D58" s="9">
        <v>-4.46</v>
      </c>
      <c r="F58" s="9">
        <v>-3.47</v>
      </c>
      <c r="G58" s="9">
        <v>4.01</v>
      </c>
      <c r="H58" s="9">
        <v>4.26</v>
      </c>
      <c r="I58" s="9">
        <v>7.97</v>
      </c>
      <c r="J58" s="9">
        <v>7.61</v>
      </c>
      <c r="K58" s="9">
        <v>8.4499999999999993</v>
      </c>
      <c r="L58" s="9">
        <v>9.1300000000000008</v>
      </c>
    </row>
    <row r="59" spans="1:12">
      <c r="A59" s="9" t="s">
        <v>62</v>
      </c>
      <c r="C59" s="9">
        <v>231.78</v>
      </c>
      <c r="D59" s="9">
        <v>231.78</v>
      </c>
      <c r="F59" s="9">
        <v>115.43</v>
      </c>
      <c r="G59" s="9">
        <v>82.06</v>
      </c>
      <c r="H59" s="9">
        <v>60.51</v>
      </c>
      <c r="I59" s="9">
        <v>23.84</v>
      </c>
      <c r="J59" s="9">
        <v>721.4</v>
      </c>
      <c r="K59" s="9">
        <v>795.8</v>
      </c>
      <c r="L59" s="9">
        <v>869.27</v>
      </c>
    </row>
    <row r="60" spans="1:12">
      <c r="A60" s="9" t="s">
        <v>63</v>
      </c>
      <c r="C60" s="9">
        <v>187.39</v>
      </c>
      <c r="D60" s="9">
        <v>187.39</v>
      </c>
      <c r="F60" s="9">
        <v>62.2</v>
      </c>
      <c r="G60" s="9">
        <v>-168.76</v>
      </c>
      <c r="H60" s="9">
        <v>-196.51</v>
      </c>
      <c r="I60" s="9">
        <v>-482.45</v>
      </c>
      <c r="J60" s="9">
        <v>-320.06</v>
      </c>
      <c r="K60" s="9">
        <v>-190.81</v>
      </c>
      <c r="L60" s="9">
        <v>111.45</v>
      </c>
    </row>
    <row r="61" spans="1:12">
      <c r="A61" s="9" t="s">
        <v>64</v>
      </c>
      <c r="C61" s="11"/>
      <c r="D61" s="11"/>
    </row>
    <row r="62" spans="1:12">
      <c r="A62" s="9" t="s">
        <v>65</v>
      </c>
      <c r="C62" s="11"/>
      <c r="F62" s="11"/>
      <c r="G62" s="11"/>
      <c r="K62" s="11"/>
    </row>
  </sheetData>
  <conditionalFormatting sqref="A1:XFD1048576">
    <cfRule type="cellIs" dxfId="2" priority="1" operator="lessThan">
      <formula>0</formula>
    </cfRule>
  </conditionalFormatting>
  <hyperlinks>
    <hyperlink ref="C61" r:id="rId1" display="https://app.tikr.com/account/subs?ref=64an27" xr:uid="{C1087A32-566B-3442-BCFE-A89C2216F2B1}"/>
    <hyperlink ref="D61" r:id="rId2" display="https://app.tikr.com/account/subs?ref=64an27" xr:uid="{E1BDF6D1-98B3-7142-8A45-00A71E61D138}"/>
    <hyperlink ref="C62" r:id="rId3" display="https://app.tikr.com/account/subs?ref=64an27" xr:uid="{57E6FC2F-FFF8-864C-9DC9-3AAB6070DE50}"/>
    <hyperlink ref="F62" r:id="rId4" display="https://app.tikr.com/account/subs?ref=64an27" xr:uid="{BDAF2403-476B-4E44-A5B3-085B42BCF3F5}"/>
    <hyperlink ref="G62" r:id="rId5" display="https://app.tikr.com/account/subs?ref=64an27" xr:uid="{8A3BCA09-F252-144F-9326-56DD0C9163E3}"/>
    <hyperlink ref="K62" r:id="rId6" display="https://app.tikr.com/account/subs?ref=64an27" xr:uid="{BCDAA26A-522E-C14F-9139-E284F3321DD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1243-CAFA-7747-8843-F6BC686D32B7}">
  <dimension ref="A1:AE52"/>
  <sheetViews>
    <sheetView workbookViewId="0">
      <pane xSplit="1" ySplit="7" topLeftCell="F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baseColWidth="10" defaultRowHeight="17"/>
  <cols>
    <col min="1" max="1" width="57.33203125" style="2" bestFit="1" customWidth="1"/>
    <col min="2" max="2" width="8.33203125" style="2" bestFit="1" customWidth="1"/>
    <col min="3" max="3" width="9.5" style="2" bestFit="1" customWidth="1"/>
    <col min="4" max="4" width="10.5" style="2" bestFit="1" customWidth="1"/>
    <col min="5" max="6" width="8.6640625" style="2" bestFit="1" customWidth="1"/>
    <col min="7" max="10" width="9.83203125" style="2" bestFit="1" customWidth="1"/>
    <col min="11" max="12" width="10.5" style="2" bestFit="1" customWidth="1"/>
    <col min="13" max="16384" width="10.83203125" style="2"/>
  </cols>
  <sheetData>
    <row r="1" spans="1:31" ht="81" customHeight="1">
      <c r="A1" s="1" t="s">
        <v>134</v>
      </c>
    </row>
    <row r="2" spans="1:31" ht="28">
      <c r="A2" s="3" t="s">
        <v>133</v>
      </c>
    </row>
    <row r="3" spans="1:31">
      <c r="A3" s="2" t="s">
        <v>132</v>
      </c>
    </row>
    <row r="6" spans="1:31">
      <c r="B6" s="2" t="s">
        <v>103</v>
      </c>
      <c r="C6" s="2" t="s">
        <v>104</v>
      </c>
      <c r="D6" s="2" t="s">
        <v>105</v>
      </c>
      <c r="E6" s="2" t="s">
        <v>106</v>
      </c>
      <c r="F6" s="2" t="s">
        <v>107</v>
      </c>
      <c r="G6" s="2" t="s">
        <v>108</v>
      </c>
      <c r="H6" s="2" t="s">
        <v>109</v>
      </c>
      <c r="I6" s="2" t="s">
        <v>110</v>
      </c>
      <c r="J6" s="2" t="s">
        <v>111</v>
      </c>
      <c r="K6" s="2" t="s">
        <v>112</v>
      </c>
      <c r="L6" s="2" t="s">
        <v>113</v>
      </c>
      <c r="M6" s="2" t="s">
        <v>114</v>
      </c>
      <c r="N6" s="2" t="s">
        <v>115</v>
      </c>
      <c r="O6" s="2" t="s">
        <v>116</v>
      </c>
      <c r="P6" s="2" t="s">
        <v>117</v>
      </c>
      <c r="Q6" s="2" t="s">
        <v>118</v>
      </c>
      <c r="R6" s="2" t="s">
        <v>119</v>
      </c>
      <c r="S6" s="2" t="s">
        <v>120</v>
      </c>
      <c r="T6" s="2" t="s">
        <v>121</v>
      </c>
      <c r="U6" s="2" t="s">
        <v>122</v>
      </c>
      <c r="V6" s="2" t="s">
        <v>123</v>
      </c>
      <c r="W6" s="2" t="s">
        <v>124</v>
      </c>
      <c r="AA6" s="2" t="s">
        <v>125</v>
      </c>
      <c r="AB6" s="2" t="s">
        <v>126</v>
      </c>
      <c r="AC6" s="2" t="s">
        <v>128</v>
      </c>
      <c r="AD6" s="2" t="s">
        <v>129</v>
      </c>
      <c r="AE6" s="2" t="s">
        <v>130</v>
      </c>
    </row>
    <row r="7" spans="1:31">
      <c r="A7" s="5" t="s">
        <v>66</v>
      </c>
      <c r="B7" s="4">
        <v>43738</v>
      </c>
      <c r="C7" s="4">
        <v>43830</v>
      </c>
      <c r="D7" s="4">
        <v>43921</v>
      </c>
      <c r="E7" s="4">
        <v>44012</v>
      </c>
      <c r="F7" s="4">
        <v>44104</v>
      </c>
      <c r="G7" s="4">
        <v>44196</v>
      </c>
      <c r="H7" s="4">
        <v>44286</v>
      </c>
      <c r="I7" s="4">
        <v>44377</v>
      </c>
      <c r="J7" s="4">
        <v>44469</v>
      </c>
      <c r="K7" s="4">
        <v>44561</v>
      </c>
      <c r="L7" s="4">
        <v>44651</v>
      </c>
      <c r="M7" s="4">
        <f>I7+365</f>
        <v>44742</v>
      </c>
      <c r="N7" s="4">
        <f t="shared" ref="N7:S7" si="0">J7+365</f>
        <v>44834</v>
      </c>
      <c r="O7" s="4">
        <f t="shared" si="0"/>
        <v>44926</v>
      </c>
      <c r="P7" s="4">
        <f t="shared" si="0"/>
        <v>45016</v>
      </c>
      <c r="Q7" s="4">
        <f t="shared" si="0"/>
        <v>45107</v>
      </c>
      <c r="R7" s="4">
        <f t="shared" si="0"/>
        <v>45199</v>
      </c>
      <c r="S7" s="4">
        <f t="shared" si="0"/>
        <v>45291</v>
      </c>
      <c r="T7" s="4">
        <f>P7+366</f>
        <v>45382</v>
      </c>
      <c r="U7" s="4">
        <f t="shared" ref="U7:W7" si="1">Q7+366</f>
        <v>45473</v>
      </c>
      <c r="V7" s="4">
        <f t="shared" si="1"/>
        <v>45565</v>
      </c>
      <c r="W7" s="4">
        <f t="shared" si="1"/>
        <v>45657</v>
      </c>
      <c r="AA7" s="2" t="s">
        <v>127</v>
      </c>
      <c r="AB7" s="2" t="s">
        <v>127</v>
      </c>
      <c r="AC7" s="2" t="s">
        <v>127</v>
      </c>
      <c r="AD7" s="2" t="s">
        <v>131</v>
      </c>
      <c r="AE7" s="2" t="s">
        <v>127</v>
      </c>
    </row>
    <row r="8" spans="1:31">
      <c r="A8" s="2" t="s">
        <v>17</v>
      </c>
      <c r="C8" s="2">
        <v>6.05</v>
      </c>
      <c r="D8" s="2">
        <v>1.48</v>
      </c>
      <c r="E8" s="2">
        <v>-6.19</v>
      </c>
      <c r="F8" s="2">
        <v>9.67</v>
      </c>
      <c r="G8" s="2">
        <v>1.03</v>
      </c>
      <c r="H8" s="2">
        <v>10.1</v>
      </c>
      <c r="I8" s="2">
        <v>37.28</v>
      </c>
      <c r="J8" s="2">
        <v>29.11</v>
      </c>
      <c r="K8" s="2">
        <v>58.94</v>
      </c>
      <c r="L8" s="2">
        <v>32.69</v>
      </c>
    </row>
    <row r="10" spans="1:31">
      <c r="A10" s="2" t="s">
        <v>67</v>
      </c>
      <c r="C10" s="2">
        <v>0.45</v>
      </c>
      <c r="D10" s="2">
        <v>0.52</v>
      </c>
      <c r="E10" s="2">
        <v>0.54</v>
      </c>
      <c r="F10" s="2">
        <v>0.57999999999999996</v>
      </c>
      <c r="G10" s="2">
        <v>0.65</v>
      </c>
      <c r="H10" s="2">
        <v>0.82</v>
      </c>
      <c r="I10" s="2">
        <v>0.88</v>
      </c>
      <c r="J10" s="2">
        <v>0.62</v>
      </c>
      <c r="K10" s="2">
        <v>1.49</v>
      </c>
      <c r="L10" s="2">
        <v>1.68</v>
      </c>
    </row>
    <row r="11" spans="1:31">
      <c r="A11" s="2" t="s">
        <v>68</v>
      </c>
      <c r="I11" s="2">
        <v>1.1000000000000001</v>
      </c>
      <c r="K11" s="2">
        <v>0.28999999999999998</v>
      </c>
      <c r="L11" s="2">
        <v>1.1000000000000001</v>
      </c>
    </row>
    <row r="13" spans="1:31">
      <c r="A13" s="2" t="s">
        <v>69</v>
      </c>
      <c r="C13" s="2">
        <v>0.45</v>
      </c>
      <c r="D13" s="2">
        <v>0.52</v>
      </c>
      <c r="E13" s="2">
        <v>0.54</v>
      </c>
      <c r="F13" s="2">
        <v>0.57999999999999996</v>
      </c>
      <c r="G13" s="2">
        <v>0.65</v>
      </c>
      <c r="H13" s="2">
        <v>0.82</v>
      </c>
      <c r="I13" s="2">
        <v>1.98</v>
      </c>
      <c r="J13" s="2">
        <v>0.62</v>
      </c>
      <c r="K13" s="2">
        <v>1.77</v>
      </c>
      <c r="L13" s="2">
        <f>SUM(L10,L11)</f>
        <v>2.7800000000000002</v>
      </c>
    </row>
    <row r="14" spans="1:31">
      <c r="A14" s="2" t="s">
        <v>70</v>
      </c>
      <c r="J14" s="2">
        <v>1.57</v>
      </c>
      <c r="K14" s="2">
        <v>0.78</v>
      </c>
    </row>
    <row r="15" spans="1:31">
      <c r="A15" s="2" t="s">
        <v>71</v>
      </c>
      <c r="G15" s="2">
        <v>-1.53</v>
      </c>
      <c r="H15" s="2">
        <v>7.0000000000000007E-2</v>
      </c>
      <c r="K15" s="2">
        <v>-6.92</v>
      </c>
      <c r="L15" s="2">
        <v>-8.7100000000000009</v>
      </c>
    </row>
    <row r="16" spans="1:31">
      <c r="A16" s="2" t="s">
        <v>72</v>
      </c>
      <c r="C16" s="2">
        <v>0.86</v>
      </c>
      <c r="D16" s="2">
        <v>-1.46</v>
      </c>
      <c r="E16" s="2">
        <v>-0.22</v>
      </c>
      <c r="F16" s="2">
        <v>-7.0000000000000007E-2</v>
      </c>
      <c r="G16" s="2">
        <v>1.75</v>
      </c>
      <c r="H16" s="2">
        <v>7.0000000000000007E-2</v>
      </c>
      <c r="I16" s="2">
        <v>-2.17</v>
      </c>
      <c r="J16" s="2">
        <v>-2.12</v>
      </c>
      <c r="K16" s="2">
        <v>4.22</v>
      </c>
    </row>
    <row r="17" spans="1:12">
      <c r="A17" s="2" t="s">
        <v>73</v>
      </c>
      <c r="C17" s="2">
        <v>-1.27</v>
      </c>
      <c r="F17" s="2">
        <v>-1.75</v>
      </c>
      <c r="G17" s="2">
        <v>1.75</v>
      </c>
    </row>
    <row r="18" spans="1:12" ht="16" customHeight="1">
      <c r="A18" s="2" t="s">
        <v>74</v>
      </c>
      <c r="C18" s="2">
        <v>1.6</v>
      </c>
      <c r="D18" s="2">
        <v>1.97</v>
      </c>
      <c r="E18" s="2">
        <v>2.88</v>
      </c>
      <c r="F18" s="2">
        <v>3.05</v>
      </c>
      <c r="G18" s="2">
        <v>4.41</v>
      </c>
      <c r="H18" s="2">
        <v>8.6199999999999992</v>
      </c>
      <c r="I18" s="2">
        <v>21.19</v>
      </c>
      <c r="J18" s="2">
        <v>20.32</v>
      </c>
      <c r="K18" s="2">
        <v>23.06</v>
      </c>
      <c r="L18" s="2">
        <v>25.05</v>
      </c>
    </row>
    <row r="19" spans="1:12">
      <c r="A19" s="2" t="s">
        <v>75</v>
      </c>
      <c r="C19" s="2">
        <v>0.31</v>
      </c>
      <c r="D19" s="2">
        <v>11.53</v>
      </c>
      <c r="E19" s="2">
        <v>2.37</v>
      </c>
      <c r="F19" s="2">
        <v>4.5599999999999996</v>
      </c>
      <c r="G19" s="2">
        <v>10.27</v>
      </c>
      <c r="H19" s="2">
        <v>0.92</v>
      </c>
      <c r="I19" s="2">
        <v>-4.87</v>
      </c>
      <c r="J19" s="2">
        <v>-0.9</v>
      </c>
      <c r="K19" s="2">
        <v>6.6</v>
      </c>
      <c r="L19" s="2">
        <v>19.13</v>
      </c>
    </row>
    <row r="21" spans="1:12">
      <c r="A21" s="2" t="s">
        <v>76</v>
      </c>
      <c r="C21" s="2">
        <v>5.12</v>
      </c>
      <c r="D21" s="2">
        <v>-3</v>
      </c>
      <c r="E21" s="2">
        <v>-0.34</v>
      </c>
      <c r="F21" s="2">
        <v>2.75</v>
      </c>
      <c r="G21" s="2">
        <v>7.63</v>
      </c>
      <c r="H21" s="2">
        <v>-5.81</v>
      </c>
      <c r="I21" s="2">
        <v>9.19</v>
      </c>
      <c r="J21" s="2">
        <v>-7.94</v>
      </c>
      <c r="K21" s="2">
        <v>-2.96</v>
      </c>
      <c r="L21" s="2">
        <v>3.37</v>
      </c>
    </row>
    <row r="23" spans="1:12">
      <c r="A23" s="2" t="s">
        <v>77</v>
      </c>
      <c r="C23" s="2">
        <v>-2.56</v>
      </c>
      <c r="D23" s="2">
        <v>-97.55</v>
      </c>
      <c r="E23" s="2">
        <v>16.95</v>
      </c>
      <c r="F23" s="2">
        <v>-2.81</v>
      </c>
      <c r="G23" s="2">
        <v>44.32</v>
      </c>
      <c r="H23" s="2">
        <v>28.37</v>
      </c>
      <c r="I23" s="2">
        <v>30.2</v>
      </c>
      <c r="J23" s="2">
        <v>2.94</v>
      </c>
      <c r="K23" s="2">
        <v>-96.66</v>
      </c>
      <c r="L23" s="2">
        <v>-341.12</v>
      </c>
    </row>
    <row r="25" spans="1:12">
      <c r="A25" s="2" t="s">
        <v>78</v>
      </c>
      <c r="C25" s="2">
        <v>10.56</v>
      </c>
      <c r="D25" s="2">
        <v>-86.52</v>
      </c>
      <c r="E25" s="2">
        <v>15.98</v>
      </c>
      <c r="F25" s="2">
        <v>17.72</v>
      </c>
      <c r="G25" s="2">
        <v>68.510000000000005</v>
      </c>
      <c r="H25" s="2">
        <v>43.09</v>
      </c>
      <c r="I25" s="2">
        <v>92.8</v>
      </c>
      <c r="J25" s="2">
        <f>SUM(J8,J14,J13,,J15,J16,J17,J18,J19,J21,J23)</f>
        <v>43.6</v>
      </c>
      <c r="K25" s="2">
        <v>-11.14</v>
      </c>
      <c r="L25" s="2">
        <f>SUM(L8,L14,L13,,L15,L16,L17,L18,L19,L21,L23)</f>
        <v>-266.81</v>
      </c>
    </row>
    <row r="27" spans="1:12">
      <c r="A27" s="2" t="s">
        <v>79</v>
      </c>
      <c r="C27" s="2">
        <v>2.56</v>
      </c>
      <c r="D27" s="2">
        <v>-100.55</v>
      </c>
      <c r="E27" s="2">
        <v>16.61</v>
      </c>
      <c r="F27" s="2">
        <v>-0.06</v>
      </c>
      <c r="G27" s="2">
        <v>51.94</v>
      </c>
      <c r="H27" s="2">
        <v>22.57</v>
      </c>
      <c r="I27" s="2">
        <v>39.39</v>
      </c>
      <c r="J27" s="2">
        <v>-5</v>
      </c>
      <c r="K27" s="2">
        <v>-99.62</v>
      </c>
      <c r="L27" s="2">
        <v>-337.75</v>
      </c>
    </row>
    <row r="28" spans="1:12">
      <c r="A28" s="2" t="s">
        <v>80</v>
      </c>
      <c r="C28" s="2">
        <v>-3.75</v>
      </c>
      <c r="D28" s="2">
        <v>-0.51</v>
      </c>
      <c r="E28" s="2">
        <v>-0.4</v>
      </c>
      <c r="F28" s="2">
        <v>-0.37</v>
      </c>
      <c r="G28" s="2">
        <v>-7.0000000000000007E-2</v>
      </c>
      <c r="H28" s="2">
        <v>-0.27</v>
      </c>
      <c r="I28" s="2">
        <v>-1.73</v>
      </c>
      <c r="J28" s="2">
        <v>-2.96</v>
      </c>
      <c r="K28" s="2">
        <v>-3.47</v>
      </c>
      <c r="L28" s="2">
        <v>-1.63</v>
      </c>
    </row>
    <row r="29" spans="1:12">
      <c r="A29" s="2" t="s">
        <v>81</v>
      </c>
      <c r="I29" s="2">
        <v>-16.559999999999999</v>
      </c>
      <c r="K29" s="2">
        <v>-0.2</v>
      </c>
    </row>
    <row r="30" spans="1:12">
      <c r="A30" s="2" t="s">
        <v>82</v>
      </c>
      <c r="C30" s="2">
        <v>-0.26</v>
      </c>
      <c r="D30" s="2">
        <v>-0.86</v>
      </c>
      <c r="E30" s="2">
        <v>-0.8</v>
      </c>
      <c r="F30" s="2">
        <v>-1.31</v>
      </c>
      <c r="G30" s="2">
        <v>-1.28</v>
      </c>
      <c r="H30" s="2">
        <v>-0.33</v>
      </c>
      <c r="I30" s="2">
        <v>-1.81</v>
      </c>
      <c r="J30" s="2">
        <v>-2.33</v>
      </c>
      <c r="K30" s="2">
        <v>-2.21</v>
      </c>
      <c r="L30" s="2">
        <v>-3.66</v>
      </c>
    </row>
    <row r="31" spans="1:12">
      <c r="A31" s="2" t="s">
        <v>83</v>
      </c>
      <c r="J31" s="2">
        <v>-40</v>
      </c>
      <c r="L31" s="2">
        <v>-1</v>
      </c>
    </row>
    <row r="32" spans="1:12">
      <c r="A32" s="2" t="s">
        <v>84</v>
      </c>
      <c r="C32" s="2">
        <v>-7.3</v>
      </c>
      <c r="D32" s="2">
        <v>106.08</v>
      </c>
      <c r="E32" s="2">
        <v>12.47</v>
      </c>
      <c r="F32" s="2">
        <v>2.11</v>
      </c>
      <c r="G32" s="2">
        <v>6.8</v>
      </c>
      <c r="H32" s="2">
        <v>-1.62</v>
      </c>
      <c r="I32" s="2">
        <v>-23.73</v>
      </c>
      <c r="J32" s="2">
        <v>-41.88</v>
      </c>
      <c r="K32" s="2">
        <v>-16.239999999999998</v>
      </c>
      <c r="L32" s="2">
        <v>9.4</v>
      </c>
    </row>
    <row r="33" spans="1:12">
      <c r="A33" s="2" t="s">
        <v>85</v>
      </c>
      <c r="C33" s="2">
        <v>3.23</v>
      </c>
      <c r="D33" s="2">
        <v>4.0199999999999996</v>
      </c>
      <c r="E33" s="2">
        <v>3.59</v>
      </c>
      <c r="F33" s="2">
        <v>3.69</v>
      </c>
      <c r="G33" s="2">
        <v>3.36</v>
      </c>
      <c r="H33" s="2">
        <v>3.12</v>
      </c>
      <c r="I33" s="2">
        <v>3.23</v>
      </c>
      <c r="J33" s="2">
        <v>2.77</v>
      </c>
      <c r="K33" s="2">
        <v>2.34</v>
      </c>
      <c r="L33" s="2">
        <v>2.0699999999999998</v>
      </c>
    </row>
    <row r="34" spans="1:12">
      <c r="A34" s="2" t="s">
        <v>86</v>
      </c>
      <c r="C34" s="2">
        <v>-8.09</v>
      </c>
      <c r="D34" s="2">
        <v>108.74</v>
      </c>
      <c r="E34" s="2">
        <v>14.86</v>
      </c>
      <c r="F34" s="2">
        <v>4.1100000000000003</v>
      </c>
      <c r="G34" s="2">
        <v>8.81</v>
      </c>
      <c r="H34" s="2">
        <v>0.9</v>
      </c>
      <c r="I34" s="2">
        <v>-40.6</v>
      </c>
      <c r="J34" s="2">
        <v>-84.4</v>
      </c>
      <c r="K34" s="2">
        <v>-19.78</v>
      </c>
      <c r="L34" s="2">
        <v>5.18</v>
      </c>
    </row>
    <row r="35" spans="1:12">
      <c r="A35" s="2" t="s">
        <v>87</v>
      </c>
      <c r="C35" s="2">
        <v>42.66</v>
      </c>
      <c r="D35" s="2">
        <v>64.84</v>
      </c>
      <c r="E35" s="2">
        <v>11.16</v>
      </c>
      <c r="F35" s="2">
        <v>5.76</v>
      </c>
      <c r="G35" s="2">
        <v>10.3</v>
      </c>
      <c r="H35" s="2">
        <v>5.83</v>
      </c>
      <c r="J35" s="2">
        <v>661.25</v>
      </c>
      <c r="K35" s="2">
        <v>51.34</v>
      </c>
      <c r="L35" s="2">
        <v>80</v>
      </c>
    </row>
    <row r="36" spans="1:12">
      <c r="A36" s="2" t="s">
        <v>88</v>
      </c>
      <c r="C36" s="2">
        <v>-63.69</v>
      </c>
      <c r="D36" s="2">
        <v>-94.75</v>
      </c>
      <c r="E36" s="2">
        <v>-18.22</v>
      </c>
      <c r="F36" s="2">
        <v>-12.99</v>
      </c>
      <c r="G36" s="2">
        <v>-48.28</v>
      </c>
      <c r="H36" s="2">
        <v>-26.58</v>
      </c>
      <c r="I36" s="2">
        <v>-35.869999999999997</v>
      </c>
      <c r="J36" s="2">
        <v>-2.96</v>
      </c>
      <c r="K36" s="2">
        <v>-5.9</v>
      </c>
      <c r="L36" s="2">
        <v>-6.99</v>
      </c>
    </row>
    <row r="37" spans="1:12">
      <c r="A37" s="2" t="s">
        <v>89</v>
      </c>
      <c r="C37" s="2">
        <v>0.17</v>
      </c>
      <c r="D37" s="2">
        <v>0.19</v>
      </c>
      <c r="E37" s="2">
        <v>0.02</v>
      </c>
      <c r="F37" s="2">
        <v>0.31</v>
      </c>
      <c r="G37" s="2">
        <v>161.34</v>
      </c>
      <c r="H37" s="2">
        <v>1.49</v>
      </c>
      <c r="I37" s="2">
        <v>265.37</v>
      </c>
      <c r="J37" s="2">
        <v>10.99</v>
      </c>
      <c r="K37" s="2">
        <v>4.96</v>
      </c>
      <c r="L37" s="2">
        <v>10.06</v>
      </c>
    </row>
    <row r="38" spans="1:12">
      <c r="A38" s="2" t="s">
        <v>90</v>
      </c>
      <c r="I38" s="2">
        <v>-0.24</v>
      </c>
    </row>
    <row r="39" spans="1:12">
      <c r="A39" s="2" t="s">
        <v>91</v>
      </c>
      <c r="C39" s="2">
        <v>1.1299999999999999</v>
      </c>
      <c r="G39" s="2">
        <v>0.01</v>
      </c>
    </row>
    <row r="40" spans="1:12">
      <c r="A40" s="2" t="s">
        <v>92</v>
      </c>
      <c r="C40" s="2">
        <v>-0.66</v>
      </c>
    </row>
    <row r="41" spans="1:12">
      <c r="A41" s="2" t="s">
        <v>93</v>
      </c>
      <c r="C41" s="2">
        <v>-2.0699999999999998</v>
      </c>
      <c r="D41" s="2">
        <v>-0.38</v>
      </c>
      <c r="E41" s="2">
        <v>-0.24</v>
      </c>
      <c r="J41" s="2">
        <v>-74.25</v>
      </c>
    </row>
    <row r="42" spans="1:12">
      <c r="A42" s="2" t="s">
        <v>94</v>
      </c>
      <c r="C42" s="2">
        <v>-22.46</v>
      </c>
      <c r="D42" s="2">
        <v>-30.11</v>
      </c>
      <c r="E42" s="2">
        <v>-7.29</v>
      </c>
      <c r="F42" s="2">
        <v>-6.92</v>
      </c>
      <c r="G42" s="2">
        <v>123.36</v>
      </c>
      <c r="H42" s="2">
        <v>-19.260000000000002</v>
      </c>
      <c r="I42" s="2">
        <v>229.26</v>
      </c>
      <c r="J42" s="2">
        <v>595.03</v>
      </c>
      <c r="K42" s="2">
        <v>50.4</v>
      </c>
      <c r="L42" s="2">
        <v>83.07</v>
      </c>
    </row>
    <row r="43" spans="1:12">
      <c r="A43" s="2" t="s">
        <v>95</v>
      </c>
      <c r="C43" s="2">
        <v>-19.989999999999998</v>
      </c>
      <c r="D43" s="2">
        <v>-7.89</v>
      </c>
      <c r="E43" s="2">
        <v>23.55</v>
      </c>
      <c r="F43" s="2">
        <v>14.92</v>
      </c>
      <c r="G43" s="2">
        <v>200.69</v>
      </c>
      <c r="H43" s="2">
        <v>24.73</v>
      </c>
      <c r="I43" s="2">
        <v>281.47000000000003</v>
      </c>
      <c r="J43" s="2">
        <v>554.23</v>
      </c>
      <c r="K43" s="2">
        <v>19.48</v>
      </c>
      <c r="L43" s="2">
        <v>-178.55</v>
      </c>
    </row>
    <row r="44" spans="1:12">
      <c r="A44" s="2" t="s">
        <v>19</v>
      </c>
    </row>
    <row r="45" spans="1:12">
      <c r="A45" s="2" t="s">
        <v>96</v>
      </c>
      <c r="C45" s="2">
        <v>6.8</v>
      </c>
      <c r="D45" s="2">
        <v>-87.03</v>
      </c>
      <c r="E45" s="2">
        <v>15.58</v>
      </c>
      <c r="F45" s="2">
        <v>17.350000000000001</v>
      </c>
      <c r="G45" s="2">
        <v>68.44</v>
      </c>
      <c r="H45" s="2">
        <v>42.82</v>
      </c>
      <c r="I45" s="2">
        <v>91.07</v>
      </c>
      <c r="J45" s="2">
        <v>40.64</v>
      </c>
      <c r="K45" s="2">
        <v>-14.62</v>
      </c>
      <c r="L45" s="2">
        <v>-268.42</v>
      </c>
    </row>
    <row r="46" spans="1:12">
      <c r="A46" s="2" t="s">
        <v>1</v>
      </c>
      <c r="G46" s="7">
        <v>9.0589999999999993</v>
      </c>
      <c r="H46" s="7">
        <v>1.492</v>
      </c>
      <c r="I46" s="7">
        <v>4.8440000000000003</v>
      </c>
      <c r="J46" s="7">
        <v>1.343</v>
      </c>
      <c r="K46" s="7">
        <v>-1.214</v>
      </c>
      <c r="L46" s="7">
        <v>-7.2679999999999998</v>
      </c>
    </row>
    <row r="47" spans="1:12">
      <c r="A47" s="2" t="s">
        <v>97</v>
      </c>
      <c r="C47" s="7">
        <v>0.10199999999999999</v>
      </c>
      <c r="D47" s="7">
        <v>-1.294</v>
      </c>
      <c r="E47" s="7">
        <v>0.79500000000000004</v>
      </c>
      <c r="F47" s="7">
        <v>0.26</v>
      </c>
      <c r="G47" s="7">
        <v>0.78</v>
      </c>
      <c r="H47" s="7">
        <v>0.35</v>
      </c>
      <c r="I47" s="7">
        <v>0.46600000000000003</v>
      </c>
      <c r="J47" s="7">
        <v>0.17799999999999999</v>
      </c>
      <c r="K47" s="7">
        <v>-4.8000000000000001E-2</v>
      </c>
      <c r="L47" s="7">
        <v>-0.86299999999999999</v>
      </c>
    </row>
    <row r="48" spans="1:12">
      <c r="A48" s="2" t="s">
        <v>98</v>
      </c>
      <c r="C48" s="2">
        <v>122.24</v>
      </c>
      <c r="D48" s="2">
        <v>80.069999999999993</v>
      </c>
      <c r="E48" s="2">
        <v>80.069999999999993</v>
      </c>
      <c r="F48" s="2">
        <v>80.069999999999993</v>
      </c>
      <c r="G48" s="2">
        <v>80.069999999999993</v>
      </c>
      <c r="H48" s="2">
        <v>311.33</v>
      </c>
      <c r="I48" s="2">
        <v>311.33</v>
      </c>
      <c r="J48" s="2">
        <v>311.33</v>
      </c>
      <c r="K48" s="2">
        <v>311.33</v>
      </c>
      <c r="L48" s="6">
        <v>1191.24</v>
      </c>
    </row>
    <row r="49" spans="1:12">
      <c r="A49" s="2" t="s">
        <v>99</v>
      </c>
      <c r="C49" s="2">
        <v>80.069999999999993</v>
      </c>
      <c r="D49" s="2">
        <v>72.180000000000007</v>
      </c>
      <c r="E49" s="2">
        <v>95.73</v>
      </c>
      <c r="F49" s="2">
        <v>110.65</v>
      </c>
      <c r="G49" s="2">
        <v>311.33</v>
      </c>
      <c r="H49" s="2">
        <v>336.07</v>
      </c>
      <c r="I49" s="2">
        <v>617.53</v>
      </c>
      <c r="J49" s="6">
        <v>1171.76</v>
      </c>
      <c r="K49" s="6">
        <v>1191.24</v>
      </c>
      <c r="L49" s="6">
        <v>1012.69</v>
      </c>
    </row>
    <row r="50" spans="1:12">
      <c r="A50" s="2" t="s">
        <v>100</v>
      </c>
      <c r="C50" s="2">
        <v>4.3600000000000003</v>
      </c>
      <c r="D50" s="2">
        <v>3.26</v>
      </c>
      <c r="E50" s="2">
        <v>2.2599999999999998</v>
      </c>
      <c r="F50" s="2">
        <v>1.44</v>
      </c>
      <c r="G50" s="2">
        <v>1.07</v>
      </c>
      <c r="H50" s="2">
        <v>1.03</v>
      </c>
      <c r="I50" s="2">
        <v>1.5</v>
      </c>
      <c r="J50" s="2">
        <v>0.27</v>
      </c>
      <c r="K50" s="2">
        <v>0.48</v>
      </c>
      <c r="L50" s="2">
        <v>1.76</v>
      </c>
    </row>
    <row r="51" spans="1:12">
      <c r="A51" s="2" t="s">
        <v>101</v>
      </c>
      <c r="I51" s="2">
        <v>1.57</v>
      </c>
      <c r="J51" s="2">
        <v>0.68</v>
      </c>
      <c r="K51" s="2">
        <v>0.05</v>
      </c>
      <c r="L51" s="2">
        <v>0.02</v>
      </c>
    </row>
    <row r="52" spans="1:12">
      <c r="A52" s="2" t="s">
        <v>102</v>
      </c>
      <c r="C52" s="2">
        <v>0.45</v>
      </c>
      <c r="D52" s="2">
        <v>-6.01</v>
      </c>
      <c r="E52" s="2">
        <v>1.01</v>
      </c>
      <c r="F52" s="2">
        <v>1.0900000000000001</v>
      </c>
      <c r="G52" s="2">
        <v>2.58</v>
      </c>
      <c r="H52" s="2">
        <v>0.57999999999999996</v>
      </c>
      <c r="I52" s="2">
        <v>1.1599999999999999</v>
      </c>
      <c r="J52" s="2">
        <v>0.48</v>
      </c>
      <c r="K52" s="2">
        <v>-0.2</v>
      </c>
      <c r="L52" s="2">
        <v>-3.23</v>
      </c>
    </row>
  </sheetData>
  <conditionalFormatting sqref="B8:AB179">
    <cfRule type="cellIs" dxfId="1" priority="2" operator="lessThan">
      <formula>0</formula>
    </cfRule>
  </conditionalFormatting>
  <conditionalFormatting sqref="B8:AH17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Summary</vt:lpstr>
      <vt:lpstr>Revenue Build</vt:lpstr>
      <vt:lpstr>P&amp;L GAAP</vt:lpstr>
      <vt:lpstr>BS</vt:lpstr>
      <vt:lpstr>CFS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2022-07-14T14:00:05Z</dcterms:created>
  <dcterms:modified xsi:type="dcterms:W3CDTF">2023-05-10T00:18:06Z</dcterms:modified>
</cp:coreProperties>
</file>