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A5C141C1-1E5F-8747-B202-FE29ECAF013C}" xr6:coauthVersionLast="47" xr6:coauthVersionMax="47" xr10:uidLastSave="{00000000-0000-0000-0000-000000000000}"/>
  <bookViews>
    <workbookView xWindow="0" yWindow="760" windowWidth="30240" windowHeight="1888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S46" i="1"/>
  <c r="T46" i="1"/>
  <c r="T49" i="1"/>
  <c r="D42" i="2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X46" i="1"/>
  <c r="V46" i="1"/>
  <c r="W46" i="1"/>
  <c r="T70" i="1"/>
  <c r="U70" i="1"/>
  <c r="V70" i="1"/>
  <c r="G16" i="3" s="1"/>
  <c r="W70" i="1"/>
  <c r="H16" i="3" s="1"/>
  <c r="X70" i="1"/>
  <c r="I16" i="3" s="1"/>
  <c r="Y70" i="1"/>
  <c r="T52" i="1"/>
  <c r="T51" i="1"/>
  <c r="X51" i="1" s="1"/>
  <c r="V51" i="1"/>
  <c r="W51" i="1"/>
  <c r="V52" i="1"/>
  <c r="W52" i="1"/>
  <c r="W50" i="1"/>
  <c r="V50" i="1"/>
  <c r="T50" i="1"/>
  <c r="X50" i="1" s="1"/>
  <c r="V57" i="1"/>
  <c r="W57" i="1"/>
  <c r="V58" i="1"/>
  <c r="W58" i="1"/>
  <c r="V59" i="1"/>
  <c r="W59" i="1"/>
  <c r="V60" i="1"/>
  <c r="W60" i="1"/>
  <c r="T58" i="1"/>
  <c r="X58" i="1" s="1"/>
  <c r="T59" i="1"/>
  <c r="X59" i="1" s="1"/>
  <c r="T60" i="1"/>
  <c r="X60" i="1" s="1"/>
  <c r="T57" i="1"/>
  <c r="X57" i="1" s="1"/>
  <c r="V49" i="1"/>
  <c r="W49" i="1"/>
  <c r="X49" i="1"/>
  <c r="V55" i="1"/>
  <c r="W55" i="1"/>
  <c r="X55" i="1"/>
  <c r="T55" i="1"/>
  <c r="T56" i="1"/>
  <c r="X56" i="1" s="1"/>
  <c r="V56" i="1"/>
  <c r="W56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J16" i="3"/>
  <c r="F16" i="3"/>
  <c r="W61" i="1" l="1"/>
  <c r="H14" i="3" s="1"/>
  <c r="T53" i="1"/>
  <c r="V61" i="1"/>
  <c r="G14" i="3" s="1"/>
  <c r="X61" i="1"/>
  <c r="I14" i="3" s="1"/>
  <c r="T61" i="1"/>
  <c r="T63" i="1" s="1"/>
  <c r="W53" i="1"/>
  <c r="W63" i="1" s="1"/>
  <c r="V53" i="1"/>
  <c r="V63" i="1" s="1"/>
  <c r="X52" i="1"/>
  <c r="X53" i="1" s="1"/>
  <c r="X63" i="1" s="1"/>
  <c r="AL21" i="1"/>
  <c r="AK23" i="1"/>
  <c r="AK26" i="1" s="1"/>
  <c r="C18" i="3"/>
  <c r="AM21" i="1" l="1"/>
  <c r="AL23" i="1"/>
  <c r="AL26" i="1" s="1"/>
  <c r="Q109" i="1"/>
  <c r="Q105" i="1"/>
  <c r="Q98" i="1"/>
  <c r="Q94" i="1"/>
  <c r="Q99" i="1" s="1"/>
  <c r="Q117" i="1"/>
  <c r="S117" i="1"/>
  <c r="S98" i="1"/>
  <c r="S109" i="1"/>
  <c r="S105" i="1"/>
  <c r="S94" i="1"/>
  <c r="S99" i="1" s="1"/>
  <c r="AI70" i="1"/>
  <c r="K16" i="3" s="1"/>
  <c r="G13" i="3"/>
  <c r="H13" i="3"/>
  <c r="I13" i="3"/>
  <c r="AJ70" i="1"/>
  <c r="L16" i="3" s="1"/>
  <c r="AK70" i="1"/>
  <c r="M16" i="3" s="1"/>
  <c r="AL70" i="1"/>
  <c r="N16" i="3" s="1"/>
  <c r="AM70" i="1"/>
  <c r="O16" i="3" s="1"/>
  <c r="AN70" i="1"/>
  <c r="P16" i="3" s="1"/>
  <c r="AO70" i="1"/>
  <c r="Q16" i="3" s="1"/>
  <c r="AP70" i="1"/>
  <c r="R16" i="3" s="1"/>
  <c r="AQ70" i="1"/>
  <c r="S16" i="3" s="1"/>
  <c r="AR70" i="1"/>
  <c r="T16" i="3" s="1"/>
  <c r="AS70" i="1"/>
  <c r="U16" i="3" s="1"/>
  <c r="AT70" i="1"/>
  <c r="V16" i="3" s="1"/>
  <c r="AU70" i="1"/>
  <c r="W16" i="3" s="1"/>
  <c r="AV70" i="1"/>
  <c r="X16" i="3" s="1"/>
  <c r="AG68" i="1"/>
  <c r="AH68" i="1"/>
  <c r="AG69" i="1"/>
  <c r="AH69" i="1"/>
  <c r="AH67" i="1"/>
  <c r="AG67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10" i="1"/>
  <c r="S119" i="1" s="1"/>
  <c r="S120" i="1" s="1"/>
  <c r="Q110" i="1"/>
  <c r="Q119" i="1" s="1"/>
  <c r="Q120" i="1" s="1"/>
  <c r="U7" i="1"/>
  <c r="AG7" i="1" s="1"/>
  <c r="AH70" i="1"/>
  <c r="AG70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70" i="1"/>
  <c r="L70" i="1"/>
  <c r="N70" i="1"/>
  <c r="O70" i="1"/>
  <c r="P70" i="1"/>
  <c r="R70" i="1"/>
  <c r="S70" i="1"/>
  <c r="J70" i="1"/>
  <c r="M80" i="1"/>
  <c r="M76" i="1"/>
  <c r="M69" i="1"/>
  <c r="M67" i="1"/>
  <c r="M55" i="1"/>
  <c r="M56" i="1"/>
  <c r="M57" i="1"/>
  <c r="M58" i="1"/>
  <c r="M59" i="1"/>
  <c r="M60" i="1"/>
  <c r="M46" i="1"/>
  <c r="M49" i="1"/>
  <c r="M50" i="1"/>
  <c r="M51" i="1"/>
  <c r="M52" i="1"/>
  <c r="Q76" i="1"/>
  <c r="Q68" i="1"/>
  <c r="Q69" i="1"/>
  <c r="Q67" i="1"/>
  <c r="Q55" i="1"/>
  <c r="U55" i="1" s="1"/>
  <c r="Q56" i="1"/>
  <c r="U56" i="1" s="1"/>
  <c r="Q57" i="1"/>
  <c r="U57" i="1" s="1"/>
  <c r="Q58" i="1"/>
  <c r="U58" i="1" s="1"/>
  <c r="Q59" i="1"/>
  <c r="U59" i="1" s="1"/>
  <c r="Q60" i="1"/>
  <c r="U60" i="1" s="1"/>
  <c r="Q46" i="1"/>
  <c r="U46" i="1" s="1"/>
  <c r="Q49" i="1"/>
  <c r="U49" i="1" s="1"/>
  <c r="Q50" i="1"/>
  <c r="U50" i="1" s="1"/>
  <c r="Q51" i="1"/>
  <c r="U51" i="1" s="1"/>
  <c r="Q52" i="1"/>
  <c r="U52" i="1" s="1"/>
  <c r="Q80" i="1"/>
  <c r="J61" i="1"/>
  <c r="J53" i="1"/>
  <c r="K61" i="1"/>
  <c r="K53" i="1"/>
  <c r="L61" i="1"/>
  <c r="L53" i="1"/>
  <c r="N61" i="1"/>
  <c r="N53" i="1"/>
  <c r="P61" i="1"/>
  <c r="R61" i="1"/>
  <c r="O61" i="1"/>
  <c r="S61" i="1"/>
  <c r="P53" i="1"/>
  <c r="R53" i="1"/>
  <c r="O53" i="1"/>
  <c r="AD61" i="1"/>
  <c r="AE61" i="1"/>
  <c r="AF61" i="1"/>
  <c r="AC61" i="1"/>
  <c r="AD53" i="1"/>
  <c r="AE53" i="1"/>
  <c r="AF53" i="1"/>
  <c r="AC53" i="1"/>
  <c r="AD70" i="1"/>
  <c r="AE70" i="1"/>
  <c r="AF70" i="1"/>
  <c r="AC70" i="1"/>
  <c r="Y60" i="1" l="1"/>
  <c r="U61" i="1"/>
  <c r="F14" i="3" s="1"/>
  <c r="AG60" i="1"/>
  <c r="Y59" i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G59" i="1"/>
  <c r="Y58" i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G58" i="1"/>
  <c r="U53" i="1"/>
  <c r="Y52" i="1"/>
  <c r="AG52" i="1"/>
  <c r="Y56" i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G56" i="1"/>
  <c r="Y55" i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G55" i="1"/>
  <c r="Y49" i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G49" i="1"/>
  <c r="Y57" i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G57" i="1"/>
  <c r="Y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G51" i="1"/>
  <c r="Y50" i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G50" i="1"/>
  <c r="Y46" i="1"/>
  <c r="AH46" i="1" s="1"/>
  <c r="AI46" i="1" s="1"/>
  <c r="AJ46" i="1" s="1"/>
  <c r="AK46" i="1" s="1"/>
  <c r="AG46" i="1"/>
  <c r="U9" i="1"/>
  <c r="AO21" i="1"/>
  <c r="AN23" i="1"/>
  <c r="AN26" i="1" s="1"/>
  <c r="R42" i="1"/>
  <c r="L63" i="1"/>
  <c r="L65" i="1" s="1"/>
  <c r="L72" i="1" s="1"/>
  <c r="L77" i="1" s="1"/>
  <c r="L78" i="1" s="1"/>
  <c r="AC63" i="1"/>
  <c r="AC65" i="1" s="1"/>
  <c r="AC72" i="1" s="1"/>
  <c r="AC77" i="1" s="1"/>
  <c r="AC78" i="1" s="1"/>
  <c r="N63" i="1"/>
  <c r="N65" i="1" s="1"/>
  <c r="N72" i="1" s="1"/>
  <c r="N77" i="1" s="1"/>
  <c r="N78" i="1" s="1"/>
  <c r="O63" i="1"/>
  <c r="O65" i="1" s="1"/>
  <c r="O72" i="1" s="1"/>
  <c r="O77" i="1" s="1"/>
  <c r="O78" i="1" s="1"/>
  <c r="AF63" i="1"/>
  <c r="AF65" i="1" s="1"/>
  <c r="AF72" i="1" s="1"/>
  <c r="AF77" i="1" s="1"/>
  <c r="AF78" i="1" s="1"/>
  <c r="AE63" i="1"/>
  <c r="AE65" i="1" s="1"/>
  <c r="AE72" i="1" s="1"/>
  <c r="AE77" i="1" s="1"/>
  <c r="AE78" i="1" s="1"/>
  <c r="R63" i="1"/>
  <c r="AD63" i="1"/>
  <c r="AD65" i="1" s="1"/>
  <c r="AD72" i="1" s="1"/>
  <c r="AD77" i="1" s="1"/>
  <c r="AD78" i="1" s="1"/>
  <c r="P63" i="1"/>
  <c r="P65" i="1" s="1"/>
  <c r="P72" i="1" s="1"/>
  <c r="P77" i="1" s="1"/>
  <c r="P78" i="1" s="1"/>
  <c r="S63" i="1"/>
  <c r="K63" i="1"/>
  <c r="K65" i="1" s="1"/>
  <c r="K72" i="1" s="1"/>
  <c r="K77" i="1" s="1"/>
  <c r="K78" i="1" s="1"/>
  <c r="J63" i="1"/>
  <c r="J65" i="1" s="1"/>
  <c r="J72" i="1" s="1"/>
  <c r="J77" i="1" s="1"/>
  <c r="J78" i="1" s="1"/>
  <c r="M70" i="1"/>
  <c r="Q70" i="1"/>
  <c r="M53" i="1"/>
  <c r="Q53" i="1"/>
  <c r="M61" i="1"/>
  <c r="Q61" i="1"/>
  <c r="AG53" i="1" l="1"/>
  <c r="U63" i="1"/>
  <c r="F13" i="3"/>
  <c r="AG61" i="1"/>
  <c r="Y53" i="1"/>
  <c r="AH52" i="1"/>
  <c r="Y61" i="1"/>
  <c r="J14" i="3" s="1"/>
  <c r="AH60" i="1"/>
  <c r="AL46" i="1"/>
  <c r="U12" i="1"/>
  <c r="AG9" i="1"/>
  <c r="AO23" i="1"/>
  <c r="AO26" i="1" s="1"/>
  <c r="AP21" i="1"/>
  <c r="S65" i="1"/>
  <c r="S72" i="1" s="1"/>
  <c r="S77" i="1" s="1"/>
  <c r="S78" i="1" s="1"/>
  <c r="R65" i="1"/>
  <c r="R72" i="1" s="1"/>
  <c r="R77" i="1" s="1"/>
  <c r="R78" i="1" s="1"/>
  <c r="Q63" i="1"/>
  <c r="Q65" i="1" s="1"/>
  <c r="Q72" i="1" s="1"/>
  <c r="Q77" i="1" s="1"/>
  <c r="Q78" i="1" s="1"/>
  <c r="M63" i="1"/>
  <c r="M65" i="1" s="1"/>
  <c r="M72" i="1" s="1"/>
  <c r="M77" i="1" s="1"/>
  <c r="M78" i="1" s="1"/>
  <c r="AI60" i="1" l="1"/>
  <c r="AH61" i="1"/>
  <c r="Y63" i="1"/>
  <c r="J13" i="3"/>
  <c r="AI52" i="1"/>
  <c r="AH53" i="1"/>
  <c r="AG63" i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M46" i="1"/>
  <c r="U38" i="1"/>
  <c r="F11" i="3" s="1"/>
  <c r="AG12" i="1"/>
  <c r="AG8" i="1"/>
  <c r="AP23" i="1"/>
  <c r="AP26" i="1" s="1"/>
  <c r="AQ21" i="1"/>
  <c r="T65" i="1"/>
  <c r="T72" i="1" s="1"/>
  <c r="T77" i="1" s="1"/>
  <c r="AJ52" i="1" l="1"/>
  <c r="AI53" i="1"/>
  <c r="K13" i="3" s="1"/>
  <c r="AJ60" i="1"/>
  <c r="AI61" i="1"/>
  <c r="K14" i="3" s="1"/>
  <c r="AN46" i="1"/>
  <c r="AG11" i="1"/>
  <c r="AG38" i="1"/>
  <c r="U40" i="1"/>
  <c r="AR21" i="1"/>
  <c r="AQ23" i="1"/>
  <c r="AQ26" i="1" s="1"/>
  <c r="AK60" i="1" l="1"/>
  <c r="AJ61" i="1"/>
  <c r="L14" i="3" s="1"/>
  <c r="AK52" i="1"/>
  <c r="AJ53" i="1"/>
  <c r="L13" i="3" s="1"/>
  <c r="AO46" i="1"/>
  <c r="AG40" i="1"/>
  <c r="AG42" i="1" s="1"/>
  <c r="U42" i="1"/>
  <c r="AS21" i="1"/>
  <c r="AR23" i="1"/>
  <c r="AR26" i="1" s="1"/>
  <c r="AL52" i="1" l="1"/>
  <c r="AK53" i="1"/>
  <c r="M13" i="3" s="1"/>
  <c r="AL60" i="1"/>
  <c r="AK61" i="1"/>
  <c r="M14" i="3" s="1"/>
  <c r="AP46" i="1"/>
  <c r="F12" i="3"/>
  <c r="U65" i="1"/>
  <c r="AG41" i="1"/>
  <c r="AG65" i="1"/>
  <c r="AG72" i="1" s="1"/>
  <c r="AG77" i="1" s="1"/>
  <c r="AT21" i="1"/>
  <c r="AS23" i="1"/>
  <c r="AS26" i="1" s="1"/>
  <c r="AM60" i="1" l="1"/>
  <c r="AL61" i="1"/>
  <c r="N14" i="3" s="1"/>
  <c r="AM52" i="1"/>
  <c r="AL53" i="1"/>
  <c r="N13" i="3" s="1"/>
  <c r="AQ46" i="1"/>
  <c r="U72" i="1"/>
  <c r="F15" i="3"/>
  <c r="AU21" i="1"/>
  <c r="AT23" i="1"/>
  <c r="AT26" i="1" s="1"/>
  <c r="AN52" i="1" l="1"/>
  <c r="AM53" i="1"/>
  <c r="O13" i="3" s="1"/>
  <c r="AN60" i="1"/>
  <c r="AM61" i="1"/>
  <c r="O14" i="3" s="1"/>
  <c r="AR46" i="1"/>
  <c r="U77" i="1"/>
  <c r="F18" i="3" s="1"/>
  <c r="F17" i="3"/>
  <c r="AV21" i="1"/>
  <c r="AV23" i="1" s="1"/>
  <c r="AV26" i="1" s="1"/>
  <c r="AU23" i="1"/>
  <c r="AU26" i="1" s="1"/>
  <c r="AO60" i="1" l="1"/>
  <c r="AN61" i="1"/>
  <c r="P14" i="3" s="1"/>
  <c r="AO52" i="1"/>
  <c r="AN53" i="1"/>
  <c r="P13" i="3" s="1"/>
  <c r="AS46" i="1"/>
  <c r="W7" i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AP52" i="1" l="1"/>
  <c r="AO53" i="1"/>
  <c r="Q13" i="3" s="1"/>
  <c r="AP60" i="1"/>
  <c r="AO61" i="1"/>
  <c r="Q14" i="3" s="1"/>
  <c r="AT46" i="1"/>
  <c r="V12" i="1"/>
  <c r="AH12" i="1" s="1"/>
  <c r="AH38" i="1" s="1"/>
  <c r="AH9" i="1"/>
  <c r="X40" i="1"/>
  <c r="X42" i="1" s="1"/>
  <c r="AJ7" i="1"/>
  <c r="AI9" i="1"/>
  <c r="Y40" i="1"/>
  <c r="Y42" i="1" s="1"/>
  <c r="W40" i="1"/>
  <c r="W42" i="1" s="1"/>
  <c r="AQ60" i="1" l="1"/>
  <c r="AP61" i="1"/>
  <c r="R14" i="3" s="1"/>
  <c r="AQ52" i="1"/>
  <c r="AP53" i="1"/>
  <c r="R13" i="3" s="1"/>
  <c r="AU46" i="1"/>
  <c r="AH11" i="1"/>
  <c r="V38" i="1"/>
  <c r="AH8" i="1"/>
  <c r="J12" i="3"/>
  <c r="Y65" i="1"/>
  <c r="W65" i="1"/>
  <c r="H12" i="3"/>
  <c r="I12" i="3"/>
  <c r="X65" i="1"/>
  <c r="AK7" i="1"/>
  <c r="AJ9" i="1"/>
  <c r="AI12" i="1"/>
  <c r="AI38" i="1" s="1"/>
  <c r="K11" i="3" s="1"/>
  <c r="AR52" i="1" l="1"/>
  <c r="AQ53" i="1"/>
  <c r="S13" i="3" s="1"/>
  <c r="AR60" i="1"/>
  <c r="AQ61" i="1"/>
  <c r="S14" i="3" s="1"/>
  <c r="AV46" i="1"/>
  <c r="V40" i="1"/>
  <c r="AH40" i="1" s="1"/>
  <c r="AH42" i="1" s="1"/>
  <c r="AH65" i="1" s="1"/>
  <c r="AH72" i="1" s="1"/>
  <c r="AH77" i="1" s="1"/>
  <c r="G11" i="3"/>
  <c r="AK9" i="1"/>
  <c r="AL7" i="1"/>
  <c r="X72" i="1"/>
  <c r="I15" i="3"/>
  <c r="AI40" i="1"/>
  <c r="AI42" i="1" s="1"/>
  <c r="W72" i="1"/>
  <c r="H15" i="3"/>
  <c r="J15" i="3"/>
  <c r="Y72" i="1"/>
  <c r="AJ12" i="1"/>
  <c r="AJ38" i="1" s="1"/>
  <c r="L11" i="3" s="1"/>
  <c r="AS60" i="1" l="1"/>
  <c r="AR61" i="1"/>
  <c r="T14" i="3" s="1"/>
  <c r="AS52" i="1"/>
  <c r="AR53" i="1"/>
  <c r="T13" i="3" s="1"/>
  <c r="AH41" i="1"/>
  <c r="V42" i="1"/>
  <c r="AI65" i="1"/>
  <c r="K12" i="3"/>
  <c r="Y77" i="1"/>
  <c r="J18" i="3" s="1"/>
  <c r="J17" i="3"/>
  <c r="AJ40" i="1"/>
  <c r="AJ42" i="1" s="1"/>
  <c r="W77" i="1"/>
  <c r="H18" i="3" s="1"/>
  <c r="H17" i="3"/>
  <c r="I17" i="3"/>
  <c r="X77" i="1"/>
  <c r="I18" i="3" s="1"/>
  <c r="AL9" i="1"/>
  <c r="AM7" i="1"/>
  <c r="AK12" i="1"/>
  <c r="AK38" i="1" s="1"/>
  <c r="M11" i="3" s="1"/>
  <c r="AT52" i="1" l="1"/>
  <c r="AS53" i="1"/>
  <c r="U13" i="3" s="1"/>
  <c r="AT60" i="1"/>
  <c r="AS61" i="1"/>
  <c r="U14" i="3" s="1"/>
  <c r="V65" i="1"/>
  <c r="G12" i="3"/>
  <c r="AJ65" i="1"/>
  <c r="L12" i="3"/>
  <c r="AK40" i="1"/>
  <c r="AK42" i="1" s="1"/>
  <c r="AL12" i="1"/>
  <c r="AL38" i="1" s="1"/>
  <c r="N11" i="3" s="1"/>
  <c r="AM9" i="1"/>
  <c r="AN7" i="1"/>
  <c r="AI72" i="1"/>
  <c r="K15" i="3"/>
  <c r="AU60" i="1" l="1"/>
  <c r="AT61" i="1"/>
  <c r="V14" i="3" s="1"/>
  <c r="AU52" i="1"/>
  <c r="AT53" i="1"/>
  <c r="V13" i="3" s="1"/>
  <c r="G15" i="3"/>
  <c r="V72" i="1"/>
  <c r="M12" i="3"/>
  <c r="AK65" i="1"/>
  <c r="K17" i="3"/>
  <c r="AI77" i="1"/>
  <c r="K18" i="3" s="1"/>
  <c r="AL40" i="1"/>
  <c r="AL42" i="1" s="1"/>
  <c r="AO7" i="1"/>
  <c r="AN9" i="1"/>
  <c r="AM12" i="1"/>
  <c r="AM38" i="1" s="1"/>
  <c r="O11" i="3" s="1"/>
  <c r="L15" i="3"/>
  <c r="AJ72" i="1"/>
  <c r="AV52" i="1" l="1"/>
  <c r="AV53" i="1" s="1"/>
  <c r="X13" i="3" s="1"/>
  <c r="AU53" i="1"/>
  <c r="W13" i="3" s="1"/>
  <c r="AV60" i="1"/>
  <c r="AV61" i="1" s="1"/>
  <c r="X14" i="3" s="1"/>
  <c r="AU61" i="1"/>
  <c r="W14" i="3" s="1"/>
  <c r="G17" i="3"/>
  <c r="V77" i="1"/>
  <c r="G18" i="3" s="1"/>
  <c r="AL65" i="1"/>
  <c r="N12" i="3"/>
  <c r="AO9" i="1"/>
  <c r="AP7" i="1"/>
  <c r="AN12" i="1"/>
  <c r="AN38" i="1" s="1"/>
  <c r="P11" i="3" s="1"/>
  <c r="L17" i="3"/>
  <c r="AJ77" i="1"/>
  <c r="L18" i="3" s="1"/>
  <c r="AM40" i="1"/>
  <c r="AM42" i="1" s="1"/>
  <c r="M15" i="3"/>
  <c r="AK72" i="1"/>
  <c r="AN40" i="1" l="1"/>
  <c r="AN42" i="1" s="1"/>
  <c r="M17" i="3"/>
  <c r="AK77" i="1"/>
  <c r="M18" i="3" s="1"/>
  <c r="AQ7" i="1"/>
  <c r="AP9" i="1"/>
  <c r="AO12" i="1"/>
  <c r="AO38" i="1" s="1"/>
  <c r="Q11" i="3" s="1"/>
  <c r="AM65" i="1"/>
  <c r="O12" i="3"/>
  <c r="AL72" i="1"/>
  <c r="N15" i="3"/>
  <c r="AN65" i="1" l="1"/>
  <c r="P12" i="3"/>
  <c r="AP12" i="1"/>
  <c r="AP38" i="1" s="1"/>
  <c r="R11" i="3" s="1"/>
  <c r="AO40" i="1"/>
  <c r="AO42" i="1" s="1"/>
  <c r="AQ9" i="1"/>
  <c r="AR7" i="1"/>
  <c r="N17" i="3"/>
  <c r="AL77" i="1"/>
  <c r="N18" i="3" s="1"/>
  <c r="O15" i="3"/>
  <c r="AM72" i="1"/>
  <c r="Q12" i="3" l="1"/>
  <c r="AO65" i="1"/>
  <c r="AR9" i="1"/>
  <c r="AS7" i="1"/>
  <c r="AQ12" i="1"/>
  <c r="AQ38" i="1" s="1"/>
  <c r="S11" i="3" s="1"/>
  <c r="AM77" i="1"/>
  <c r="O18" i="3" s="1"/>
  <c r="O17" i="3"/>
  <c r="AP40" i="1"/>
  <c r="AP42" i="1" s="1"/>
  <c r="P15" i="3"/>
  <c r="AN72" i="1"/>
  <c r="AQ40" i="1" l="1"/>
  <c r="AQ42" i="1" s="1"/>
  <c r="AN77" i="1"/>
  <c r="P18" i="3" s="1"/>
  <c r="P17" i="3"/>
  <c r="AS9" i="1"/>
  <c r="AT7" i="1"/>
  <c r="AR12" i="1"/>
  <c r="AR38" i="1" s="1"/>
  <c r="T11" i="3" s="1"/>
  <c r="Q15" i="3"/>
  <c r="AO72" i="1"/>
  <c r="R12" i="3"/>
  <c r="AP65" i="1"/>
  <c r="S12" i="3" l="1"/>
  <c r="AQ65" i="1"/>
  <c r="AR40" i="1"/>
  <c r="AR42" i="1" s="1"/>
  <c r="AT9" i="1"/>
  <c r="AU7" i="1"/>
  <c r="AS12" i="1"/>
  <c r="AS38" i="1" s="1"/>
  <c r="U11" i="3" s="1"/>
  <c r="R15" i="3"/>
  <c r="AP72" i="1"/>
  <c r="AO77" i="1"/>
  <c r="Q18" i="3" s="1"/>
  <c r="Q17" i="3"/>
  <c r="AR65" i="1" l="1"/>
  <c r="T12" i="3"/>
  <c r="AV7" i="1"/>
  <c r="AV9" i="1" s="1"/>
  <c r="AU9" i="1"/>
  <c r="AT12" i="1"/>
  <c r="AT38" i="1" s="1"/>
  <c r="V11" i="3" s="1"/>
  <c r="AS40" i="1"/>
  <c r="AS42" i="1" s="1"/>
  <c r="R17" i="3"/>
  <c r="AP77" i="1"/>
  <c r="R18" i="3" s="1"/>
  <c r="AQ72" i="1"/>
  <c r="S15" i="3"/>
  <c r="U12" i="3" l="1"/>
  <c r="AS65" i="1"/>
  <c r="AU12" i="1"/>
  <c r="AU38" i="1" s="1"/>
  <c r="W11" i="3" s="1"/>
  <c r="AT40" i="1"/>
  <c r="AT42" i="1" s="1"/>
  <c r="S17" i="3"/>
  <c r="AQ77" i="1"/>
  <c r="S18" i="3" s="1"/>
  <c r="AV12" i="1"/>
  <c r="AV38" i="1" s="1"/>
  <c r="X11" i="3" s="1"/>
  <c r="AR72" i="1"/>
  <c r="T15" i="3"/>
  <c r="V12" i="3" l="1"/>
  <c r="AT65" i="1"/>
  <c r="AR77" i="1"/>
  <c r="T18" i="3" s="1"/>
  <c r="T17" i="3"/>
  <c r="AU40" i="1"/>
  <c r="AU42" i="1" s="1"/>
  <c r="AV40" i="1"/>
  <c r="AV42" i="1" s="1"/>
  <c r="AS72" i="1"/>
  <c r="U15" i="3"/>
  <c r="AT72" i="1" l="1"/>
  <c r="V15" i="3"/>
  <c r="U17" i="3"/>
  <c r="AS77" i="1"/>
  <c r="U18" i="3" s="1"/>
  <c r="AV65" i="1"/>
  <c r="X12" i="3"/>
  <c r="AU65" i="1"/>
  <c r="W12" i="3"/>
  <c r="X15" i="3" l="1"/>
  <c r="AV72" i="1"/>
  <c r="AU72" i="1"/>
  <c r="W15" i="3"/>
  <c r="AT77" i="1"/>
  <c r="V18" i="3" s="1"/>
  <c r="V17" i="3"/>
  <c r="AV77" i="1" l="1"/>
  <c r="X18" i="3" s="1"/>
  <c r="X17" i="3"/>
  <c r="AU77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<sst xmlns="http://schemas.openxmlformats.org/spreadsheetml/2006/main" count="300" uniqueCount="191">
  <si>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</si>
  <si>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</si>
  <si>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</si>
  <si>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</si>
  <si>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</si>
  <si>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</si>
  <si>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</si>
  <si>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</si>
  <si>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</si>
  <si>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</si>
  <si>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</si>
  <si>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</si>
  <si>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</si>
  <si>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</si>
  <si>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</si>
  <si>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</si>
  <si>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</si>
  <si>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</si>
  <si>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</si>
  <si>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</si>
  <si>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</si>
  <si>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</si>
  <si>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</si>
  <si>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</si>
  <si>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</si>
  <si>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</si>
  <si>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</si>
  <si>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</si>
  <si>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</si>
  <si>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</si>
  <si>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</si>
  <si>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</si>
  <si>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</si>
  <si>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</si>
  <si>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</si>
  <si>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</si>
  <si>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</si>
  <si>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</si>
  <si>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</si>
  <si>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</si>
  <si>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</si>
  <si>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</si>
  <si>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</si>
  <si>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</si>
  <si>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</si>
  <si>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</si>
  <si>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</si>
  <si>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</si>
  <si>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</si>
  <si>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</si>
  <si>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</si>
  <si>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</si>
  <si>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</si>
  <si>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</si>
  <si>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</si>
  <si>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</si>
  <si>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</si>
  <si>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</si>
  <si>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</si>
  <si>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</si>
  <si>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</si>
  <si>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</si>
  <si>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</si>
  <si>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</si>
  <si>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</si>
  <si>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</si>
  <si>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</si>
  <si>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</si>
  <si>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</si>
  <si>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</si>
  <si>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</si>
  <si>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</si>
  <si>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</si>
  <si>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</si>
  <si>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</si>
  <si>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</si>
  <si>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</si>
  <si>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</si>
  <si>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</si>
  <si>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</si>
  <si>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</si>
  <si>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</si>
  <si>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</si>
  <si>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</si>
  <si>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</si>
  <si>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</si>
  <si>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</si>
  <si>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</si>
  <si>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</si>
  <si>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</si>
  <si>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</si>
  <si>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</si>
  <si>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</si>
  <si>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</si>
  <si>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</si>
  <si>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</si>
  <si>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</si>
  <si>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</si>
  <si>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</si>
  <si>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</si>
  <si>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</si>
  <si>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</si>
  <si>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</si>
  <si>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</si>
  <si>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</si>
  <si>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</si>
  <si>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</si>
  <si>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</si>
  <si>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</si>
  <si>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</si>
  <si>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</si>
  <si>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</si>
  <si>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</si>
  <si>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</si>
  <si>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</si>
  <si>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</si>
  <si>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</si>
  <si>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</si>
  <si>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</si>
  <si>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</si>
  <si>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</si>
  <si>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</si>
  <si>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</si>
  <si>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</si>
  <si>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</si>
  <si>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</si>
  <si>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</si>
  <si>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</si>
  <si>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</si>
  <si>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</si>
  <si>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</si>
  <si>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</si>
  <si>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</si>
  <si>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</si>
  <si>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</si>
  <si>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</si>
  <si>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</si>
  <si>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</si>
  <si>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</si>
  <si>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</si>
  <si>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</si>
  <si>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</si>
  <si>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</si>
  <si>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</si>
  <si>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</si>
  <si>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</si>
  <si>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</si>
  <si>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</si>
  <si>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</si>
  <si>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</si>
  <si>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</si>
  <si>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</si>
  <si>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</si>
  <si>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</si>
  <si>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</si>
  <si>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</si>
  <si>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</si>
  <si>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</si>
  <si>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</si>
  <si>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</si>
  <si>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</si>
  <si>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</si>
  <si>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</si>
  <si>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</si>
  <si>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</si>
  <si>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</si>
  <si>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</si>
  <si>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</si>
  <si>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</si>
  <si>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</si>
  <si>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</si>
  <si>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</si>
  <si>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</si>
  <si>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</si>
  <si>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</si>
  <si>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</si>
  <si>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</si>
  <si>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</si>
  <si>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</si>
  <si>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</si>
  <si>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</si>
  <si>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</si>
  <si>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</si>
  <si>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</si>
  <si>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</si>
  <si>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</si>
  <si>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</si>
  <si>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</si>
  <si>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</si>
  <si>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</si>
  <si>
    <t>Product Pipeline 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</si>
</sst>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10" fillId="3" borderId="1" xfId="0" applyFont="1" applyFill="1" applyBorder="1"/>
    <xf numFmtId="0" fontId="11" fillId="0" borderId="0" xfId="0" applyFont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abSelected="1" topLeftCell="A5" zoomScale="150" zoomScaleNormal="100" workbookViewId="0">
      <pane xSplit="1" ySplit="3" topLeftCell="W13" activePane="bottomRight" state="frozen"/>
      <selection activeCell="A5" sqref="A5"/>
      <selection pane="topRight" activeCell="B5" sqref="B5"/>
      <selection pane="bottomLeft" activeCell="A8" sqref="A8"/>
      <selection pane="bottomRight" activeCell="AB28" sqref="AB28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66</v>
      </c>
    </row>
    <row r="7" spans="2:31" ht="21" x14ac:dyDescent="0.25">
      <c r="B7" s="12" t="s">
        <v>174</v>
      </c>
      <c r="D7" s="12"/>
      <c r="Q7" s="12" t="s">
        <v>47</v>
      </c>
      <c r="S7" s="12"/>
    </row>
    <row r="8" spans="2:31" x14ac:dyDescent="0.2">
      <c r="B8" s="11" t="s">
        <v>67</v>
      </c>
      <c r="D8" s="11" t="s">
        <v>43</v>
      </c>
      <c r="Q8" s="11" t="s">
        <v>67</v>
      </c>
      <c r="S8" s="11" t="s">
        <v>179</v>
      </c>
    </row>
    <row r="9" spans="2:31" x14ac:dyDescent="0.2">
      <c r="B9" s="11" t="s">
        <v>68</v>
      </c>
      <c r="D9" s="13">
        <v>0.9</v>
      </c>
      <c r="Q9" s="11" t="s">
        <v>68</v>
      </c>
      <c r="S9" s="13">
        <v>0.4</v>
      </c>
    </row>
    <row r="10" spans="2:31" x14ac:dyDescent="0.2">
      <c r="B10" s="11" t="s">
        <v>70</v>
      </c>
      <c r="D10" s="13" t="s">
        <v>71</v>
      </c>
      <c r="Q10" s="11" t="s">
        <v>70</v>
      </c>
      <c r="S10" s="13" t="s">
        <v>184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125</v>
      </c>
      <c r="C12" s="18" t="s">
        <v>126</v>
      </c>
      <c r="D12" s="13"/>
      <c r="Q12" s="11" t="s">
        <v>125</v>
      </c>
      <c r="R12" s="18" t="s">
        <v>126</v>
      </c>
      <c r="S12" s="13"/>
    </row>
    <row r="13" spans="2:31" x14ac:dyDescent="0.2">
      <c r="B13" s="20" t="s">
        <v>124</v>
      </c>
      <c r="D13" s="19"/>
      <c r="Q13" t="s">
        <v>175</v>
      </c>
      <c r="S13" s="19"/>
    </row>
    <row r="14" spans="2:31" x14ac:dyDescent="0.2">
      <c r="B14" s="11" t="s">
        <v>127</v>
      </c>
      <c r="C14" s="11" t="s">
        <v>128</v>
      </c>
      <c r="D14" s="13"/>
      <c r="Q14" s="11" t="s">
        <v>127</v>
      </c>
      <c r="R14" s="11" t="s">
        <v>128</v>
      </c>
      <c r="S14" s="13"/>
    </row>
    <row r="15" spans="2:31" x14ac:dyDescent="0.2">
      <c r="D15" s="13"/>
      <c r="S15" s="13"/>
      <c r="Y15" s="6" t="s">
        <v>171</v>
      </c>
      <c r="Z15" s="63" t="s">
        <v>185</v>
      </c>
      <c r="AA15" s="63"/>
      <c r="AB15" s="63"/>
      <c r="AC15" s="63"/>
      <c r="AD15" s="63"/>
      <c r="AE15" s="59"/>
    </row>
    <row r="16" spans="2:31" x14ac:dyDescent="0.2">
      <c r="B16" s="11" t="s">
        <v>125</v>
      </c>
      <c r="C16" s="21" t="s">
        <v>129</v>
      </c>
      <c r="D16" s="13"/>
      <c r="Q16" s="11" t="s">
        <v>125</v>
      </c>
      <c r="R16" s="21" t="s">
        <v>129</v>
      </c>
      <c r="S16" s="13"/>
      <c r="Y16" s="40">
        <f>Valuation!$C$29</f>
        <v>2.4714347573432272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123</v>
      </c>
      <c r="D17" s="13"/>
      <c r="Q17" s="22" t="s">
        <v>176</v>
      </c>
      <c r="S17" s="13"/>
      <c r="Y17" s="13">
        <v>0</v>
      </c>
      <c r="Z17" s="52">
        <f t="dataTable" ref="Z17:AD27" dt2D="1" dtr="1" r1="S44" r2="S9"/>
        <v>-8.8575006928024216</v>
      </c>
      <c r="AA17" s="52">
        <v>-8.8575006928024216</v>
      </c>
      <c r="AB17" s="49">
        <v>-8.8575006928024216</v>
      </c>
      <c r="AC17" s="52">
        <v>-8.8575006928024216</v>
      </c>
      <c r="AD17" s="48">
        <v>-8.8575006928024216</v>
      </c>
      <c r="AE17" s="48"/>
    </row>
    <row r="18" spans="2:31" x14ac:dyDescent="0.2">
      <c r="B18" s="17" t="s">
        <v>127</v>
      </c>
      <c r="C18" s="11" t="s">
        <v>130</v>
      </c>
      <c r="D18" s="13"/>
      <c r="Q18" s="17" t="s">
        <v>127</v>
      </c>
      <c r="R18" s="11" t="s">
        <v>188</v>
      </c>
      <c r="S18" s="13"/>
      <c r="Y18" s="13">
        <f>Y17+0.1</f>
        <v>0.1</v>
      </c>
      <c r="Z18" s="52">
        <v>-8.2910539202951377</v>
      </c>
      <c r="AA18" s="52">
        <v>-7.1581603752805743</v>
      </c>
      <c r="AB18" s="49">
        <v>-6.0252668302660091</v>
      </c>
      <c r="AC18" s="52">
        <v>-4.892373285251443</v>
      </c>
      <c r="AD18" s="48">
        <v>-3.7594797402368791</v>
      </c>
      <c r="AE18" s="48"/>
    </row>
    <row r="19" spans="2:31" x14ac:dyDescent="0.2">
      <c r="B19" s="15"/>
      <c r="D19" s="13"/>
      <c r="Q19" s="15" t="s">
        <v>180</v>
      </c>
      <c r="R19" s="11" t="s">
        <v>181</v>
      </c>
      <c r="S19" s="13"/>
      <c r="Y19" s="13">
        <f t="shared" ref="Y19:Y27" si="0">Y18+0.1</f>
        <v>0.2</v>
      </c>
      <c r="Z19" s="52">
        <v>-7.7246071477878573</v>
      </c>
      <c r="AA19" s="52">
        <v>-5.4588200577587269</v>
      </c>
      <c r="AB19" s="49">
        <v>-3.1930329677295965</v>
      </c>
      <c r="AC19" s="52">
        <v>-0.92724587770046618</v>
      </c>
      <c r="AD19" s="48">
        <v>1.3385412123286629</v>
      </c>
      <c r="AE19" s="48"/>
    </row>
    <row r="20" spans="2:31" ht="16" customHeight="1" x14ac:dyDescent="0.2">
      <c r="X20" s="62" t="s">
        <v>187</v>
      </c>
      <c r="Y20" s="13">
        <f t="shared" si="0"/>
        <v>0.30000000000000004</v>
      </c>
      <c r="Z20" s="52">
        <v>-7.1581603752805743</v>
      </c>
      <c r="AA20" s="52">
        <v>-3.7594797402368783</v>
      </c>
      <c r="AB20" s="49">
        <v>-0.36079910519318387</v>
      </c>
      <c r="AC20" s="52">
        <v>3.0378815298505133</v>
      </c>
      <c r="AD20" s="48">
        <v>6.4365621648942062</v>
      </c>
      <c r="AE20" s="48"/>
    </row>
    <row r="21" spans="2:31" x14ac:dyDescent="0.2">
      <c r="B21" s="6" t="s">
        <v>69</v>
      </c>
      <c r="C21" s="5"/>
      <c r="D21" s="5"/>
      <c r="I21" s="6" t="s">
        <v>170</v>
      </c>
      <c r="J21" s="5"/>
      <c r="K21" s="5"/>
      <c r="Q21" s="6" t="s">
        <v>69</v>
      </c>
      <c r="R21" s="5"/>
      <c r="S21" s="5"/>
      <c r="X21" s="62"/>
      <c r="Y21" s="45">
        <f t="shared" si="0"/>
        <v>0.4</v>
      </c>
      <c r="Z21" s="50">
        <v>-6.5917136027732912</v>
      </c>
      <c r="AA21" s="50">
        <v>-2.0601394227150305</v>
      </c>
      <c r="AB21" s="51">
        <v>2.4714347573432272</v>
      </c>
      <c r="AC21" s="48">
        <v>7.0030089374014883</v>
      </c>
      <c r="AD21" s="48">
        <v>11.534583117459746</v>
      </c>
      <c r="AE21" s="48"/>
    </row>
    <row r="22" spans="2:31" x14ac:dyDescent="0.2">
      <c r="B22" s="11" t="s">
        <v>76</v>
      </c>
      <c r="D22" s="11" t="s">
        <v>55</v>
      </c>
      <c r="Q22" s="11" t="s">
        <v>76</v>
      </c>
      <c r="S22" s="11" t="s">
        <v>177</v>
      </c>
      <c r="X22" s="62"/>
      <c r="Y22" s="13">
        <f t="shared" si="0"/>
        <v>0.5</v>
      </c>
      <c r="Z22" s="48">
        <v>-6.0252668302660091</v>
      </c>
      <c r="AA22" s="48">
        <v>-0.36079910519318442</v>
      </c>
      <c r="AB22" s="48">
        <v>5.3036686198796383</v>
      </c>
      <c r="AC22" s="48">
        <v>10.968136344952464</v>
      </c>
      <c r="AD22" s="48">
        <v>16.632604070025288</v>
      </c>
      <c r="AE22" s="48"/>
    </row>
    <row r="23" spans="2:31" x14ac:dyDescent="0.2">
      <c r="B23" s="11" t="s">
        <v>72</v>
      </c>
      <c r="D23" s="11" t="s">
        <v>73</v>
      </c>
      <c r="Q23" s="11" t="s">
        <v>72</v>
      </c>
      <c r="S23" s="11" t="s">
        <v>182</v>
      </c>
      <c r="X23" s="62"/>
      <c r="Y23" s="13">
        <f t="shared" si="0"/>
        <v>0.6</v>
      </c>
      <c r="Z23" s="48">
        <v>-5.4588200577587278</v>
      </c>
      <c r="AA23" s="48">
        <v>1.3385412123286631</v>
      </c>
      <c r="AB23" s="48">
        <v>8.1359024824160517</v>
      </c>
      <c r="AC23" s="48">
        <v>14.933263752503441</v>
      </c>
      <c r="AD23" s="48">
        <v>21.730625022590829</v>
      </c>
      <c r="AE23" s="48"/>
    </row>
    <row r="24" spans="2:31" x14ac:dyDescent="0.2">
      <c r="B24" s="11" t="s">
        <v>77</v>
      </c>
      <c r="D24" s="11">
        <f>2037-2023</f>
        <v>14</v>
      </c>
      <c r="I24" s="6" t="s">
        <v>171</v>
      </c>
      <c r="J24" s="63" t="s">
        <v>186</v>
      </c>
      <c r="K24" s="63"/>
      <c r="L24" s="63"/>
      <c r="M24" s="63"/>
      <c r="N24" s="63"/>
      <c r="Q24" s="11" t="s">
        <v>77</v>
      </c>
      <c r="S24" s="11">
        <v>4</v>
      </c>
      <c r="X24" s="62"/>
      <c r="Y24" s="13">
        <f t="shared" si="0"/>
        <v>0.7</v>
      </c>
      <c r="Z24" s="48">
        <v>-4.8923732852514457</v>
      </c>
      <c r="AA24" s="48">
        <v>3.0378815298505106</v>
      </c>
      <c r="AB24" s="48">
        <v>10.968136344952462</v>
      </c>
      <c r="AC24" s="48">
        <v>18.898391160054413</v>
      </c>
      <c r="AD24" s="48">
        <v>26.82864597515637</v>
      </c>
      <c r="AE24" s="48"/>
    </row>
    <row r="25" spans="2:31" ht="16" customHeight="1" x14ac:dyDescent="0.2">
      <c r="B25" s="11" t="s">
        <v>78</v>
      </c>
      <c r="D25" s="11" t="s">
        <v>79</v>
      </c>
      <c r="H25" s="62" t="s">
        <v>172</v>
      </c>
      <c r="I25" s="40">
        <f>Valuation!$C$29</f>
        <v>2.4714347573432272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78</v>
      </c>
      <c r="S25" s="11" t="s">
        <v>178</v>
      </c>
      <c r="X25" s="62"/>
      <c r="Y25" s="13">
        <f t="shared" si="0"/>
        <v>0.79999999999999993</v>
      </c>
      <c r="Z25" s="48">
        <v>-4.3259265127441635</v>
      </c>
      <c r="AA25" s="48">
        <v>4.7372218473723562</v>
      </c>
      <c r="AB25" s="48">
        <v>13.800370207488873</v>
      </c>
      <c r="AC25" s="48">
        <v>22.863518567605404</v>
      </c>
      <c r="AD25" s="48">
        <v>31.926666927721907</v>
      </c>
      <c r="AE25" s="48"/>
    </row>
    <row r="26" spans="2:31" x14ac:dyDescent="0.2">
      <c r="H26" s="62"/>
      <c r="I26" s="14">
        <f>I27-500</f>
        <v>1000</v>
      </c>
      <c r="J26" s="53">
        <f t="dataTable" ref="J26:N30" dt2D="1" dtr="1" r1="D44" r2="D42" ca="1"/>
        <v>0.27093928271630474</v>
      </c>
      <c r="K26" s="53">
        <v>0.50997148994787533</v>
      </c>
      <c r="L26" s="53">
        <v>0.74900369717944637</v>
      </c>
      <c r="M26" s="54">
        <v>0.98803590441101796</v>
      </c>
      <c r="N26" s="55">
        <v>1.2270681116425886</v>
      </c>
      <c r="Y26" s="13">
        <f t="shared" si="0"/>
        <v>0.89999999999999991</v>
      </c>
      <c r="Z26" s="48">
        <v>-3.75947974023688</v>
      </c>
      <c r="AA26" s="48">
        <v>6.4365621648942035</v>
      </c>
      <c r="AB26" s="48">
        <v>16.63260407002528</v>
      </c>
      <c r="AC26" s="48">
        <v>26.82864597515637</v>
      </c>
      <c r="AD26" s="48">
        <v>37.024687880287445</v>
      </c>
      <c r="AE26" s="48"/>
    </row>
    <row r="27" spans="2:31" x14ac:dyDescent="0.2">
      <c r="B27" s="6" t="s">
        <v>74</v>
      </c>
      <c r="C27" s="5"/>
      <c r="D27" s="5"/>
      <c r="H27" s="62"/>
      <c r="I27" s="14">
        <f>I28-500</f>
        <v>1500</v>
      </c>
      <c r="J27" s="53">
        <v>0.65409039833505345</v>
      </c>
      <c r="K27" s="53">
        <v>1.0126387091824107</v>
      </c>
      <c r="L27" s="53">
        <v>1.3711870200297656</v>
      </c>
      <c r="M27" s="54">
        <v>1.7297353308771222</v>
      </c>
      <c r="N27" s="55">
        <v>2.0882836417244786</v>
      </c>
      <c r="Q27" s="6" t="s">
        <v>74</v>
      </c>
      <c r="R27" s="5"/>
      <c r="S27" s="5"/>
      <c r="Y27" s="13">
        <f t="shared" si="0"/>
        <v>0.99999999999999989</v>
      </c>
      <c r="Z27" s="48">
        <v>-3.1930329677295983</v>
      </c>
      <c r="AA27" s="48">
        <v>8.1359024824160517</v>
      </c>
      <c r="AB27" s="48">
        <v>19.464837932561689</v>
      </c>
      <c r="AC27" s="48">
        <v>30.79377338270735</v>
      </c>
      <c r="AD27" s="48">
        <v>42.122708832852986</v>
      </c>
      <c r="AE27" s="48"/>
    </row>
    <row r="28" spans="2:31" x14ac:dyDescent="0.2">
      <c r="B28" s="11" t="s">
        <v>75</v>
      </c>
      <c r="D28" s="11">
        <v>3000</v>
      </c>
      <c r="H28" s="62"/>
      <c r="I28" s="41">
        <v>2000</v>
      </c>
      <c r="J28" s="56">
        <v>1.0372415139538023</v>
      </c>
      <c r="K28" s="56">
        <v>1.5153059284169443</v>
      </c>
      <c r="L28" s="56">
        <v>1.9933703428800862</v>
      </c>
      <c r="M28" s="57">
        <v>2.4714347573432272</v>
      </c>
      <c r="N28" s="55">
        <v>2.9494991718063686</v>
      </c>
      <c r="Q28" s="11" t="s">
        <v>75</v>
      </c>
      <c r="S28" s="11">
        <v>3000</v>
      </c>
    </row>
    <row r="29" spans="2:31" x14ac:dyDescent="0.2">
      <c r="B29" s="11" t="s">
        <v>80</v>
      </c>
      <c r="H29" s="62"/>
      <c r="I29" s="14">
        <f>I28+500</f>
        <v>2500</v>
      </c>
      <c r="J29" s="53">
        <v>1.4203926295725509</v>
      </c>
      <c r="K29" s="53">
        <v>2.0179731476514782</v>
      </c>
      <c r="L29" s="53">
        <v>2.6155536657304044</v>
      </c>
      <c r="M29" s="53">
        <v>3.2131341838093319</v>
      </c>
      <c r="N29" s="55">
        <v>3.8107147018882594</v>
      </c>
      <c r="Q29" s="11" t="s">
        <v>80</v>
      </c>
    </row>
    <row r="30" spans="2:31" x14ac:dyDescent="0.2">
      <c r="B30" s="11" t="s">
        <v>81</v>
      </c>
      <c r="D30" s="14">
        <v>1000</v>
      </c>
      <c r="H30" s="62"/>
      <c r="I30" s="14">
        <f>I29+500</f>
        <v>3000</v>
      </c>
      <c r="J30" s="55">
        <v>1.8035437451913003</v>
      </c>
      <c r="K30" s="55">
        <v>2.5206403668860129</v>
      </c>
      <c r="L30" s="55">
        <v>3.2377369885807239</v>
      </c>
      <c r="M30" s="55">
        <v>3.9548336102754376</v>
      </c>
      <c r="N30" s="55">
        <v>4.6719302319701494</v>
      </c>
      <c r="Q30" s="11" t="s">
        <v>81</v>
      </c>
      <c r="S30" s="14">
        <v>2000</v>
      </c>
    </row>
    <row r="31" spans="2:31" x14ac:dyDescent="0.2">
      <c r="B31" s="11" t="s">
        <v>82</v>
      </c>
      <c r="D31" s="14">
        <v>3000</v>
      </c>
      <c r="Q31" s="11" t="s">
        <v>82</v>
      </c>
      <c r="S31" s="14">
        <v>5000</v>
      </c>
    </row>
    <row r="32" spans="2:31" x14ac:dyDescent="0.2">
      <c r="D32" s="14"/>
      <c r="I32" s="6" t="s">
        <v>171</v>
      </c>
      <c r="J32" s="63" t="s">
        <v>186</v>
      </c>
      <c r="K32" s="63"/>
      <c r="L32" s="63"/>
      <c r="M32" s="63"/>
      <c r="N32" s="63"/>
      <c r="S32" s="14"/>
    </row>
    <row r="33" spans="2:19" x14ac:dyDescent="0.2">
      <c r="H33" s="62" t="s">
        <v>173</v>
      </c>
      <c r="I33" s="40">
        <f>Valuation!$C$29</f>
        <v>2.4714347573432272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85</v>
      </c>
      <c r="C34" s="6"/>
      <c r="D34" s="6" t="s">
        <v>99</v>
      </c>
      <c r="H34" s="62"/>
      <c r="I34" s="44">
        <f>I35-0.05</f>
        <v>-7.0000000000000007E-2</v>
      </c>
      <c r="J34" s="55">
        <f t="dataTable" ref="J34:N38" dt2D="1" dtr="1" r1="D44" r2="D46" ca="1"/>
        <v>0.19155210989026403</v>
      </c>
      <c r="K34" s="55">
        <v>0.46601885298832801</v>
      </c>
      <c r="L34" s="55">
        <v>0.74048559608639242</v>
      </c>
      <c r="M34" s="54">
        <v>1.014952339184455</v>
      </c>
      <c r="N34" s="55">
        <v>1.2894190822825196</v>
      </c>
      <c r="Q34" s="6" t="s">
        <v>85</v>
      </c>
      <c r="R34" s="6"/>
      <c r="S34" s="6" t="s">
        <v>99</v>
      </c>
    </row>
    <row r="35" spans="2:19" x14ac:dyDescent="0.2">
      <c r="B35" s="11" t="s">
        <v>86</v>
      </c>
      <c r="D35" s="13">
        <v>0.3</v>
      </c>
      <c r="H35" s="62"/>
      <c r="I35" s="43">
        <f>I36-0.05</f>
        <v>-2.0000000000000004E-2</v>
      </c>
      <c r="J35" s="55">
        <v>0.50920206047114325</v>
      </c>
      <c r="K35" s="55">
        <v>0.8678711949497927</v>
      </c>
      <c r="L35" s="55">
        <v>1.2265403294284425</v>
      </c>
      <c r="M35" s="54">
        <v>1.5852094639070937</v>
      </c>
      <c r="N35" s="55">
        <v>1.9438785983857441</v>
      </c>
      <c r="Q35" s="11" t="s">
        <v>86</v>
      </c>
      <c r="S35" s="13">
        <v>0.3</v>
      </c>
    </row>
    <row r="36" spans="2:19" x14ac:dyDescent="0.2">
      <c r="B36" s="11" t="s">
        <v>87</v>
      </c>
      <c r="D36" s="13">
        <v>0.6</v>
      </c>
      <c r="H36" s="62"/>
      <c r="I36" s="45">
        <v>0.03</v>
      </c>
      <c r="J36" s="56">
        <v>1.0372415139538023</v>
      </c>
      <c r="K36" s="56">
        <v>1.5153059284169443</v>
      </c>
      <c r="L36" s="56">
        <v>1.9933703428800862</v>
      </c>
      <c r="M36" s="57">
        <v>2.4714347573432272</v>
      </c>
      <c r="N36" s="55">
        <v>2.9494991718063686</v>
      </c>
      <c r="Q36" s="11" t="s">
        <v>87</v>
      </c>
      <c r="S36" s="13">
        <v>0.6</v>
      </c>
    </row>
    <row r="37" spans="2:19" x14ac:dyDescent="0.2">
      <c r="B37" s="11" t="s">
        <v>88</v>
      </c>
      <c r="D37" s="13">
        <v>0.9</v>
      </c>
      <c r="H37" s="62"/>
      <c r="I37" s="13">
        <f>I36+0.05</f>
        <v>0.08</v>
      </c>
      <c r="J37" s="55">
        <v>1.9218800122378412</v>
      </c>
      <c r="K37" s="55">
        <v>2.5707923634411163</v>
      </c>
      <c r="L37" s="55">
        <v>3.2197047146443918</v>
      </c>
      <c r="M37" s="55">
        <v>3.8686170658476664</v>
      </c>
      <c r="N37" s="55">
        <v>4.5175294170509437</v>
      </c>
      <c r="Q37" s="11" t="s">
        <v>88</v>
      </c>
      <c r="S37" s="13">
        <v>0.9</v>
      </c>
    </row>
    <row r="38" spans="2:19" x14ac:dyDescent="0.2">
      <c r="B38" s="11" t="s">
        <v>89</v>
      </c>
      <c r="D38" s="13">
        <v>1</v>
      </c>
      <c r="H38" s="62"/>
      <c r="I38" s="13">
        <f>I37+0.05</f>
        <v>0.13</v>
      </c>
      <c r="J38" s="55">
        <v>3.4037188181489815</v>
      </c>
      <c r="K38" s="55">
        <v>4.2985619442444953</v>
      </c>
      <c r="L38" s="55">
        <v>5.1934050703400114</v>
      </c>
      <c r="M38" s="55">
        <v>6.0882481964355266</v>
      </c>
      <c r="N38" s="55">
        <v>6.9830913225310418</v>
      </c>
      <c r="Q38" s="11" t="s">
        <v>89</v>
      </c>
      <c r="S38" s="13">
        <v>1</v>
      </c>
    </row>
    <row r="40" spans="2:19" x14ac:dyDescent="0.2">
      <c r="B40" s="6" t="s">
        <v>90</v>
      </c>
      <c r="C40" s="6"/>
      <c r="D40" s="6"/>
      <c r="Q40" s="6" t="s">
        <v>90</v>
      </c>
      <c r="R40" s="6"/>
      <c r="S40" s="6"/>
    </row>
    <row r="41" spans="2:19" x14ac:dyDescent="0.2">
      <c r="B41" s="11" t="s">
        <v>91</v>
      </c>
      <c r="C41" s="11" t="s">
        <v>98</v>
      </c>
      <c r="D41" s="11">
        <v>3000</v>
      </c>
      <c r="Q41" s="11" t="s">
        <v>91</v>
      </c>
      <c r="R41" s="11" t="s">
        <v>98</v>
      </c>
      <c r="S41" s="11">
        <v>4000000</v>
      </c>
    </row>
    <row r="42" spans="2:19" x14ac:dyDescent="0.2">
      <c r="B42" s="11" t="s">
        <v>172</v>
      </c>
      <c r="C42" s="11" t="s">
        <v>97</v>
      </c>
      <c r="D42" s="14">
        <f>(D31+D30)/2</f>
        <v>2000</v>
      </c>
      <c r="Q42" s="11" t="s">
        <v>92</v>
      </c>
      <c r="R42" s="11" t="s">
        <v>97</v>
      </c>
      <c r="S42" s="14">
        <v>500</v>
      </c>
    </row>
    <row r="43" spans="2:19" x14ac:dyDescent="0.2">
      <c r="B43" s="11" t="s">
        <v>83</v>
      </c>
      <c r="C43" s="11" t="s">
        <v>96</v>
      </c>
      <c r="D43" s="14">
        <f>D42*D41</f>
        <v>6000000</v>
      </c>
      <c r="Q43" s="11" t="s">
        <v>83</v>
      </c>
      <c r="R43" s="11" t="s">
        <v>96</v>
      </c>
      <c r="S43" s="14">
        <f>S42*S41</f>
        <v>2000000000</v>
      </c>
    </row>
    <row r="44" spans="2:19" x14ac:dyDescent="0.2">
      <c r="B44" s="11" t="s">
        <v>94</v>
      </c>
      <c r="C44" s="13"/>
      <c r="D44" s="13">
        <v>0.5</v>
      </c>
      <c r="Q44" s="11" t="s">
        <v>94</v>
      </c>
      <c r="R44" s="13"/>
      <c r="S44" s="13">
        <v>0.25</v>
      </c>
    </row>
    <row r="45" spans="2:19" x14ac:dyDescent="0.2">
      <c r="B45" s="11" t="s">
        <v>93</v>
      </c>
      <c r="C45" s="11" t="s">
        <v>96</v>
      </c>
      <c r="D45" s="14">
        <f>D44*D43</f>
        <v>3000000</v>
      </c>
      <c r="Q45" s="11" t="s">
        <v>93</v>
      </c>
      <c r="R45" s="11" t="s">
        <v>96</v>
      </c>
      <c r="S45" s="14">
        <f>S44*S43</f>
        <v>500000000</v>
      </c>
    </row>
    <row r="46" spans="2:19" x14ac:dyDescent="0.2">
      <c r="B46" s="11" t="s">
        <v>84</v>
      </c>
      <c r="D46" s="13">
        <v>0.03</v>
      </c>
      <c r="Q46" s="11" t="s">
        <v>84</v>
      </c>
      <c r="S46" s="13">
        <v>0.03</v>
      </c>
    </row>
    <row r="48" spans="2:19" x14ac:dyDescent="0.2">
      <c r="B48" s="6" t="s">
        <v>95</v>
      </c>
      <c r="C48" s="5"/>
      <c r="D48" s="5"/>
      <c r="Q48" s="6" t="s">
        <v>95</v>
      </c>
      <c r="R48" s="5"/>
      <c r="S48" s="5"/>
    </row>
    <row r="49" spans="2:19" x14ac:dyDescent="0.2">
      <c r="B49" s="11" t="s">
        <v>91</v>
      </c>
      <c r="C49" s="11" t="s">
        <v>98</v>
      </c>
      <c r="D49" s="11">
        <v>3000</v>
      </c>
      <c r="Q49" s="11" t="s">
        <v>91</v>
      </c>
      <c r="R49" s="11" t="s">
        <v>98</v>
      </c>
      <c r="S49" s="11">
        <v>4000000</v>
      </c>
    </row>
    <row r="50" spans="2:19" ht="16" customHeight="1" x14ac:dyDescent="0.2">
      <c r="B50" s="11" t="s">
        <v>172</v>
      </c>
      <c r="C50" s="11" t="s">
        <v>97</v>
      </c>
      <c r="D50" s="14">
        <v>1500</v>
      </c>
      <c r="Q50" s="11" t="s">
        <v>92</v>
      </c>
      <c r="R50" s="11" t="s">
        <v>97</v>
      </c>
      <c r="S50" s="14">
        <f>S42/2</f>
        <v>250</v>
      </c>
    </row>
    <row r="51" spans="2:19" x14ac:dyDescent="0.2">
      <c r="B51" s="11" t="s">
        <v>83</v>
      </c>
      <c r="C51" s="11" t="s">
        <v>96</v>
      </c>
      <c r="D51" s="14">
        <f>D50*D49</f>
        <v>4500000</v>
      </c>
      <c r="Q51" s="11" t="s">
        <v>83</v>
      </c>
      <c r="R51" s="11" t="s">
        <v>96</v>
      </c>
      <c r="S51" s="14">
        <f>S50*S49</f>
        <v>1000000000</v>
      </c>
    </row>
    <row r="52" spans="2:19" x14ac:dyDescent="0.2">
      <c r="B52" s="11" t="s">
        <v>94</v>
      </c>
      <c r="C52" s="13"/>
      <c r="D52" s="13">
        <v>0.25</v>
      </c>
      <c r="Q52" s="11" t="s">
        <v>94</v>
      </c>
      <c r="R52" s="13"/>
      <c r="S52" s="13">
        <v>0.1</v>
      </c>
    </row>
    <row r="53" spans="2:19" x14ac:dyDescent="0.2">
      <c r="B53" s="11" t="s">
        <v>93</v>
      </c>
      <c r="C53" s="11" t="s">
        <v>96</v>
      </c>
      <c r="D53" s="14">
        <f>D52*D51</f>
        <v>1125000</v>
      </c>
      <c r="Q53" s="11" t="s">
        <v>93</v>
      </c>
      <c r="R53" s="11" t="s">
        <v>96</v>
      </c>
      <c r="S53" s="14">
        <f>S52*S51</f>
        <v>100000000</v>
      </c>
    </row>
    <row r="54" spans="2:19" x14ac:dyDescent="0.2">
      <c r="B54" s="11" t="s">
        <v>84</v>
      </c>
      <c r="D54" s="13">
        <v>-0.1</v>
      </c>
      <c r="Q54" s="11" t="s">
        <v>84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20"/>
  <sheetViews>
    <sheetView zoomScale="81" workbookViewId="0">
      <pane xSplit="9" ySplit="3" topLeftCell="AA46" activePane="bottomRight" state="frozen"/>
      <selection pane="topRight" activeCell="J1" sqref="J1"/>
      <selection pane="bottomLeft" activeCell="A3" sqref="A3"/>
      <selection pane="bottomRight" activeCell="AR84" sqref="AR84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ht="24" x14ac:dyDescent="0.3">
      <c r="A1" s="61" t="s">
        <v>35</v>
      </c>
    </row>
    <row r="2" spans="1:48" x14ac:dyDescent="0.2">
      <c r="A2" t="s">
        <v>189</v>
      </c>
    </row>
    <row r="3" spans="1:48" s="2" customFormat="1" x14ac:dyDescent="0.2">
      <c r="B3" s="2" t="s">
        <v>17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54</v>
      </c>
      <c r="U3" s="2" t="s">
        <v>55</v>
      </c>
      <c r="V3" s="2" t="s">
        <v>73</v>
      </c>
      <c r="W3" s="2" t="s">
        <v>114</v>
      </c>
      <c r="X3" s="2" t="s">
        <v>115</v>
      </c>
      <c r="Y3" s="2" t="s">
        <v>116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</row>
    <row r="4" spans="1:48" s="6" customFormat="1" x14ac:dyDescent="0.2">
      <c r="A4" s="6" t="s">
        <v>44</v>
      </c>
    </row>
    <row r="5" spans="1:48" x14ac:dyDescent="0.2">
      <c r="A5" s="2" t="s">
        <v>42</v>
      </c>
    </row>
    <row r="6" spans="1:48" x14ac:dyDescent="0.2">
      <c r="A6" t="s">
        <v>43</v>
      </c>
    </row>
    <row r="7" spans="1:48" x14ac:dyDescent="0.2">
      <c r="A7" t="s">
        <v>113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99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102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100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101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45</v>
      </c>
    </row>
    <row r="16" spans="1:48" x14ac:dyDescent="0.2">
      <c r="A16" t="s">
        <v>46</v>
      </c>
    </row>
    <row r="19" spans="1:48" x14ac:dyDescent="0.2">
      <c r="A19" s="2" t="s">
        <v>47</v>
      </c>
    </row>
    <row r="20" spans="1:48" x14ac:dyDescent="0.2">
      <c r="A20" t="s">
        <v>48</v>
      </c>
    </row>
    <row r="21" spans="1:48" x14ac:dyDescent="0.2">
      <c r="A21" t="s">
        <v>113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99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102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100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101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49</v>
      </c>
    </row>
    <row r="30" spans="1:48" x14ac:dyDescent="0.2">
      <c r="A30" s="2" t="s">
        <v>50</v>
      </c>
    </row>
    <row r="31" spans="1:48" x14ac:dyDescent="0.2">
      <c r="A31" t="s">
        <v>51</v>
      </c>
    </row>
    <row r="34" spans="1:48" x14ac:dyDescent="0.2">
      <c r="A34" t="s">
        <v>34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152</v>
      </c>
      <c r="R36" s="23"/>
    </row>
    <row r="37" spans="1:48" x14ac:dyDescent="0.2">
      <c r="R37" s="1"/>
    </row>
    <row r="38" spans="1:48" s="2" customFormat="1" x14ac:dyDescent="0.2">
      <c r="A38" s="2" t="s">
        <v>183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117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118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153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39</v>
      </c>
    </row>
    <row r="45" spans="1:48" x14ac:dyDescent="0.2">
      <c r="A45" s="2"/>
    </row>
    <row r="46" spans="1:48" x14ac:dyDescent="0.2">
      <c r="A46" t="s">
        <v>190</v>
      </c>
      <c r="J46" s="1">
        <v>6454</v>
      </c>
      <c r="K46" s="1">
        <v>10172</v>
      </c>
      <c r="L46" s="1">
        <v>11778</v>
      </c>
      <c r="M46">
        <f t="shared" ref="M46:M52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2" si="27">AF46-P46-O46-N46</f>
        <v>8963</v>
      </c>
      <c r="R46" s="1">
        <v>11816</v>
      </c>
      <c r="S46">
        <f>S47+S48</f>
        <v>9310</v>
      </c>
      <c r="T46" s="9">
        <f>P46*1.5</f>
        <v>15052.5</v>
      </c>
      <c r="U46" s="9">
        <f t="shared" ref="U46:W46" si="28">Q46*1.5</f>
        <v>13444.5</v>
      </c>
      <c r="V46" s="9">
        <f t="shared" si="28"/>
        <v>17724</v>
      </c>
      <c r="W46" s="9">
        <f t="shared" si="28"/>
        <v>13965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49623</v>
      </c>
      <c r="AH46" s="9">
        <f>SUM(V46:Y46)</f>
        <v>67310.25</v>
      </c>
      <c r="AI46" s="9">
        <f>AH46*0.95</f>
        <v>63944.737499999996</v>
      </c>
      <c r="AJ46" s="9">
        <f t="shared" ref="AJ46:AO46" si="29">AI46*0.95</f>
        <v>60747.500624999993</v>
      </c>
      <c r="AK46" s="9">
        <f t="shared" si="29"/>
        <v>57710.125593749988</v>
      </c>
      <c r="AL46" s="9">
        <f t="shared" si="29"/>
        <v>54824.619314062489</v>
      </c>
      <c r="AM46" s="9">
        <f t="shared" si="29"/>
        <v>52083.38834835936</v>
      </c>
      <c r="AN46" s="9">
        <f t="shared" si="29"/>
        <v>49479.218930941388</v>
      </c>
      <c r="AO46" s="9">
        <f t="shared" si="29"/>
        <v>47005.257984394317</v>
      </c>
      <c r="AP46" s="9">
        <f>AO46</f>
        <v>47005.257984394317</v>
      </c>
      <c r="AQ46" s="9">
        <f t="shared" ref="AQ46:AV46" si="30">AP46</f>
        <v>47005.257984394317</v>
      </c>
      <c r="AR46" s="9">
        <f t="shared" si="30"/>
        <v>47005.257984394317</v>
      </c>
      <c r="AS46" s="9">
        <f t="shared" si="30"/>
        <v>47005.257984394317</v>
      </c>
      <c r="AT46" s="9">
        <f t="shared" si="30"/>
        <v>47005.257984394317</v>
      </c>
      <c r="AU46" s="9">
        <f t="shared" si="30"/>
        <v>47005.257984394317</v>
      </c>
      <c r="AV46" s="9">
        <f t="shared" si="30"/>
        <v>47005.257984394317</v>
      </c>
    </row>
    <row r="47" spans="1:48" x14ac:dyDescent="0.2">
      <c r="A47" s="2" t="s">
        <v>47</v>
      </c>
      <c r="J47" s="1"/>
      <c r="K47" s="1"/>
      <c r="L47" s="1"/>
      <c r="N47" s="1"/>
      <c r="O47" s="1"/>
      <c r="P47" s="1"/>
      <c r="R47" s="1"/>
      <c r="S47" s="1">
        <v>3509</v>
      </c>
      <c r="T47" s="9"/>
      <c r="U47" s="9"/>
      <c r="V47" s="9"/>
      <c r="W47" s="9"/>
      <c r="X47" s="9"/>
      <c r="Y47" s="9"/>
      <c r="Z47" s="1"/>
      <c r="AC47" s="1"/>
      <c r="AD47" s="1"/>
      <c r="AE47" s="1"/>
      <c r="AF47" s="1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 spans="1:48" x14ac:dyDescent="0.2">
      <c r="A48" s="2" t="s">
        <v>42</v>
      </c>
      <c r="J48" s="1"/>
      <c r="K48" s="1"/>
      <c r="L48" s="1"/>
      <c r="N48" s="1"/>
      <c r="O48" s="1"/>
      <c r="P48" s="1"/>
      <c r="R48" s="1"/>
      <c r="S48" s="1">
        <v>5801</v>
      </c>
      <c r="T48" s="9"/>
      <c r="U48" s="9"/>
      <c r="V48" s="9"/>
      <c r="W48" s="9"/>
      <c r="X48" s="9"/>
      <c r="Y48" s="9"/>
      <c r="Z48" s="1"/>
      <c r="AC48" s="1"/>
      <c r="AD48" s="1"/>
      <c r="AE48" s="1"/>
      <c r="AF48" s="1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x14ac:dyDescent="0.2">
      <c r="A49" t="s">
        <v>5</v>
      </c>
      <c r="J49" s="1">
        <v>5820</v>
      </c>
      <c r="K49" s="1">
        <v>2316</v>
      </c>
      <c r="L49" s="1">
        <v>3172</v>
      </c>
      <c r="M49">
        <f t="shared" si="26"/>
        <v>602</v>
      </c>
      <c r="N49" s="1">
        <v>231</v>
      </c>
      <c r="O49" s="1">
        <v>136</v>
      </c>
      <c r="P49" s="1">
        <v>236</v>
      </c>
      <c r="Q49">
        <f t="shared" si="27"/>
        <v>354</v>
      </c>
      <c r="R49" s="1">
        <v>1271</v>
      </c>
      <c r="S49" s="1"/>
      <c r="T49">
        <f>P49*1.5</f>
        <v>354</v>
      </c>
      <c r="U49">
        <f t="shared" ref="U49:Y49" si="31">Q49*1.5</f>
        <v>531</v>
      </c>
      <c r="V49" s="9">
        <f t="shared" si="31"/>
        <v>1906.5</v>
      </c>
      <c r="W49">
        <f t="shared" si="31"/>
        <v>0</v>
      </c>
      <c r="X49">
        <f t="shared" si="31"/>
        <v>531</v>
      </c>
      <c r="Y49" s="9">
        <f t="shared" si="31"/>
        <v>796.5</v>
      </c>
      <c r="Z49" s="1"/>
      <c r="AC49" s="1">
        <v>9069</v>
      </c>
      <c r="AD49" s="1">
        <v>24424</v>
      </c>
      <c r="AE49" s="1">
        <v>11910</v>
      </c>
      <c r="AF49" s="1">
        <v>957</v>
      </c>
      <c r="AG49" s="9">
        <f t="shared" ref="AG49:AG52" si="32">SUM(R49:U49)</f>
        <v>2156</v>
      </c>
      <c r="AH49" s="9">
        <f t="shared" ref="AH49:AH52" si="33">SUM(V49:Y49)</f>
        <v>3234</v>
      </c>
      <c r="AI49" s="9">
        <f t="shared" ref="AI49:AU52" si="34">AH49*1.03</f>
        <v>3331.02</v>
      </c>
      <c r="AJ49" s="9">
        <f t="shared" si="34"/>
        <v>3430.9506000000001</v>
      </c>
      <c r="AK49" s="9">
        <f t="shared" si="34"/>
        <v>3533.8791180000003</v>
      </c>
      <c r="AL49" s="9">
        <f t="shared" si="34"/>
        <v>3639.8954915400004</v>
      </c>
      <c r="AM49" s="9">
        <f t="shared" si="34"/>
        <v>3749.0923562862004</v>
      </c>
      <c r="AN49" s="9">
        <f t="shared" si="34"/>
        <v>3861.5651269747864</v>
      </c>
      <c r="AO49" s="9">
        <f t="shared" si="34"/>
        <v>3977.41208078403</v>
      </c>
      <c r="AP49" s="9">
        <f t="shared" si="34"/>
        <v>4096.7344432075506</v>
      </c>
      <c r="AQ49" s="9">
        <f t="shared" si="34"/>
        <v>4219.636476503777</v>
      </c>
      <c r="AR49" s="9">
        <f t="shared" si="34"/>
        <v>4346.2255707988907</v>
      </c>
      <c r="AS49" s="9">
        <f t="shared" si="34"/>
        <v>4476.6123379228575</v>
      </c>
      <c r="AT49" s="9">
        <f t="shared" si="34"/>
        <v>4610.9107080605436</v>
      </c>
      <c r="AU49" s="9">
        <f t="shared" si="34"/>
        <v>4749.2380293023598</v>
      </c>
      <c r="AV49" s="9">
        <f t="shared" ref="AV49" si="35">AU49*1.03</f>
        <v>4891.7151701814309</v>
      </c>
    </row>
    <row r="50" spans="1:48" x14ac:dyDescent="0.2">
      <c r="A50" t="s">
        <v>7</v>
      </c>
      <c r="J50" s="1">
        <v>1092</v>
      </c>
      <c r="K50" s="1">
        <v>1270</v>
      </c>
      <c r="L50" s="1">
        <v>1368</v>
      </c>
      <c r="M50">
        <f t="shared" si="26"/>
        <v>1799</v>
      </c>
      <c r="N50" s="1">
        <v>1937</v>
      </c>
      <c r="O50" s="1">
        <v>1578</v>
      </c>
      <c r="P50" s="1">
        <v>1416</v>
      </c>
      <c r="Q50">
        <f t="shared" si="27"/>
        <v>1717</v>
      </c>
      <c r="R50" s="1">
        <v>1700</v>
      </c>
      <c r="S50" s="1">
        <v>1408</v>
      </c>
      <c r="T50" s="9">
        <f>P50*1.05</f>
        <v>1486.8</v>
      </c>
      <c r="U50" s="9">
        <f t="shared" ref="U50" si="36">Q50*1.05</f>
        <v>1802.8500000000001</v>
      </c>
      <c r="V50" s="9">
        <f t="shared" ref="V50" si="37">R50*1.05</f>
        <v>1785</v>
      </c>
      <c r="W50" s="9">
        <f t="shared" ref="W50" si="38">S50*1.05</f>
        <v>1478.4</v>
      </c>
      <c r="X50" s="9">
        <f t="shared" ref="X50" si="39">T50*1.05</f>
        <v>1561.14</v>
      </c>
      <c r="Y50" s="9">
        <f t="shared" ref="Y50" si="40">U50*1.05</f>
        <v>1892.9925000000003</v>
      </c>
      <c r="Z50" s="1"/>
      <c r="AC50" s="1">
        <v>2728</v>
      </c>
      <c r="AD50" s="1">
        <v>3351</v>
      </c>
      <c r="AE50" s="1">
        <v>5529</v>
      </c>
      <c r="AF50" s="1">
        <v>6648</v>
      </c>
      <c r="AG50" s="9">
        <f t="shared" si="32"/>
        <v>6397.6500000000005</v>
      </c>
      <c r="AH50" s="9">
        <f t="shared" si="33"/>
        <v>6717.5325000000003</v>
      </c>
      <c r="AI50" s="9">
        <f t="shared" si="34"/>
        <v>6919.0584750000007</v>
      </c>
      <c r="AJ50" s="9">
        <f t="shared" si="34"/>
        <v>7126.6302292500013</v>
      </c>
      <c r="AK50" s="9">
        <f t="shared" si="34"/>
        <v>7340.4291361275018</v>
      </c>
      <c r="AL50" s="9">
        <f t="shared" si="34"/>
        <v>7560.642010211327</v>
      </c>
      <c r="AM50" s="9">
        <f t="shared" si="34"/>
        <v>7787.4612705176669</v>
      </c>
      <c r="AN50" s="9">
        <f t="shared" si="34"/>
        <v>8021.0851086331968</v>
      </c>
      <c r="AO50" s="9">
        <f t="shared" si="34"/>
        <v>8261.7176618921931</v>
      </c>
      <c r="AP50" s="9">
        <f t="shared" si="34"/>
        <v>8509.5691917489585</v>
      </c>
      <c r="AQ50" s="9">
        <f t="shared" si="34"/>
        <v>8764.8562675014273</v>
      </c>
      <c r="AR50" s="9">
        <f t="shared" si="34"/>
        <v>9027.8019555264709</v>
      </c>
      <c r="AS50" s="9">
        <f t="shared" si="34"/>
        <v>9298.6360141922651</v>
      </c>
      <c r="AT50" s="9">
        <f t="shared" si="34"/>
        <v>9577.5950946180328</v>
      </c>
      <c r="AU50" s="9">
        <f t="shared" si="34"/>
        <v>9864.9229474565745</v>
      </c>
      <c r="AV50" s="9">
        <f t="shared" ref="AV50" si="41">AU50*1.03</f>
        <v>10160.870635880272</v>
      </c>
    </row>
    <row r="51" spans="1:48" x14ac:dyDescent="0.2">
      <c r="A51" t="s">
        <v>8</v>
      </c>
      <c r="J51" s="1">
        <v>799</v>
      </c>
      <c r="K51" s="1">
        <v>533</v>
      </c>
      <c r="L51" s="1">
        <v>642</v>
      </c>
      <c r="M51">
        <f t="shared" si="26"/>
        <v>785</v>
      </c>
      <c r="N51" s="1">
        <v>856</v>
      </c>
      <c r="O51" s="1">
        <v>788</v>
      </c>
      <c r="P51" s="1">
        <v>1178</v>
      </c>
      <c r="Q51">
        <f t="shared" si="27"/>
        <v>797</v>
      </c>
      <c r="R51" s="1">
        <v>862</v>
      </c>
      <c r="S51" s="1">
        <v>752</v>
      </c>
      <c r="T51" s="9">
        <f t="shared" ref="T51" si="42">P51*1.05</f>
        <v>1236.9000000000001</v>
      </c>
      <c r="U51" s="9">
        <f t="shared" ref="U51:U52" si="43">Q51*1.05</f>
        <v>836.85</v>
      </c>
      <c r="V51" s="9">
        <f t="shared" ref="V51:V52" si="44">R51*1.05</f>
        <v>905.1</v>
      </c>
      <c r="W51" s="9">
        <f t="shared" ref="W51:W52" si="45">S51*1.05</f>
        <v>789.6</v>
      </c>
      <c r="X51" s="9">
        <f t="shared" ref="X51:X52" si="46">T51*1.05</f>
        <v>1298.7450000000001</v>
      </c>
      <c r="Y51" s="9">
        <f t="shared" ref="Y51:Y52" si="47">U51*1.05</f>
        <v>878.69250000000011</v>
      </c>
      <c r="Z51" s="1"/>
      <c r="AC51" s="1">
        <v>2762</v>
      </c>
      <c r="AD51" s="1">
        <v>2580</v>
      </c>
      <c r="AE51" s="1">
        <v>2759</v>
      </c>
      <c r="AF51" s="1">
        <v>3619</v>
      </c>
      <c r="AG51" s="9">
        <f t="shared" si="32"/>
        <v>3687.75</v>
      </c>
      <c r="AH51" s="9">
        <f t="shared" si="33"/>
        <v>3872.1375000000003</v>
      </c>
      <c r="AI51" s="9">
        <f t="shared" si="34"/>
        <v>3988.3016250000005</v>
      </c>
      <c r="AJ51" s="9">
        <f t="shared" si="34"/>
        <v>4107.9506737500005</v>
      </c>
      <c r="AK51" s="9">
        <f t="shared" si="34"/>
        <v>4231.1891939625002</v>
      </c>
      <c r="AL51" s="9">
        <f t="shared" si="34"/>
        <v>4358.1248697813753</v>
      </c>
      <c r="AM51" s="9">
        <f t="shared" si="34"/>
        <v>4488.8686158748169</v>
      </c>
      <c r="AN51" s="9">
        <f t="shared" si="34"/>
        <v>4623.5346743510618</v>
      </c>
      <c r="AO51" s="9">
        <f t="shared" si="34"/>
        <v>4762.2407145815941</v>
      </c>
      <c r="AP51" s="9">
        <f t="shared" si="34"/>
        <v>4905.1079360190424</v>
      </c>
      <c r="AQ51" s="9">
        <f t="shared" si="34"/>
        <v>5052.2611740996135</v>
      </c>
      <c r="AR51" s="9">
        <f t="shared" si="34"/>
        <v>5203.8290093226024</v>
      </c>
      <c r="AS51" s="9">
        <f t="shared" si="34"/>
        <v>5359.9438796022805</v>
      </c>
      <c r="AT51" s="9">
        <f t="shared" si="34"/>
        <v>5520.7421959903495</v>
      </c>
      <c r="AU51" s="9">
        <f t="shared" si="34"/>
        <v>5686.36446187006</v>
      </c>
      <c r="AV51" s="9">
        <f t="shared" ref="AV51" si="48">AU51*1.03</f>
        <v>5856.9553957261624</v>
      </c>
    </row>
    <row r="52" spans="1:48" x14ac:dyDescent="0.2">
      <c r="A52" t="s">
        <v>9</v>
      </c>
      <c r="J52" s="1">
        <v>283</v>
      </c>
      <c r="K52" s="1">
        <v>511</v>
      </c>
      <c r="L52" s="1">
        <v>637</v>
      </c>
      <c r="M52">
        <f t="shared" si="26"/>
        <v>618</v>
      </c>
      <c r="N52" s="1">
        <v>478</v>
      </c>
      <c r="O52" s="1">
        <v>492</v>
      </c>
      <c r="P52" s="1">
        <v>251</v>
      </c>
      <c r="Q52">
        <f t="shared" si="27"/>
        <v>261</v>
      </c>
      <c r="R52" s="1">
        <v>286</v>
      </c>
      <c r="S52" s="1">
        <v>413</v>
      </c>
      <c r="T52" s="9">
        <f>P52*1.05</f>
        <v>263.55</v>
      </c>
      <c r="U52" s="9">
        <f t="shared" si="43"/>
        <v>274.05</v>
      </c>
      <c r="V52" s="9">
        <f t="shared" si="44"/>
        <v>300.3</v>
      </c>
      <c r="W52" s="9">
        <f t="shared" si="45"/>
        <v>433.65000000000003</v>
      </c>
      <c r="X52" s="9">
        <f t="shared" si="46"/>
        <v>276.72750000000002</v>
      </c>
      <c r="Y52" s="9">
        <f t="shared" si="47"/>
        <v>287.7525</v>
      </c>
      <c r="Z52" s="1"/>
      <c r="AC52" s="1">
        <v>355</v>
      </c>
      <c r="AD52" s="1">
        <v>2697</v>
      </c>
      <c r="AE52" s="1">
        <v>2049</v>
      </c>
      <c r="AF52" s="1">
        <v>1482</v>
      </c>
      <c r="AG52" s="9">
        <f t="shared" si="32"/>
        <v>1236.5999999999999</v>
      </c>
      <c r="AH52" s="9">
        <f t="shared" si="33"/>
        <v>1298.43</v>
      </c>
      <c r="AI52" s="9">
        <f t="shared" si="34"/>
        <v>1337.3829000000001</v>
      </c>
      <c r="AJ52" s="9">
        <f t="shared" si="34"/>
        <v>1377.5043870000002</v>
      </c>
      <c r="AK52" s="9">
        <f t="shared" si="34"/>
        <v>1418.8295186100002</v>
      </c>
      <c r="AL52" s="9">
        <f t="shared" si="34"/>
        <v>1461.3944041683003</v>
      </c>
      <c r="AM52" s="9">
        <f t="shared" si="34"/>
        <v>1505.2362362933493</v>
      </c>
      <c r="AN52" s="9">
        <f t="shared" si="34"/>
        <v>1550.3933233821499</v>
      </c>
      <c r="AO52" s="9">
        <f t="shared" si="34"/>
        <v>1596.9051230836144</v>
      </c>
      <c r="AP52" s="9">
        <f t="shared" si="34"/>
        <v>1644.8122767761229</v>
      </c>
      <c r="AQ52" s="9">
        <f t="shared" si="34"/>
        <v>1694.1566450794066</v>
      </c>
      <c r="AR52" s="9">
        <f t="shared" si="34"/>
        <v>1744.9813444317888</v>
      </c>
      <c r="AS52" s="9">
        <f t="shared" si="34"/>
        <v>1797.3307847647425</v>
      </c>
      <c r="AT52" s="9">
        <f t="shared" si="34"/>
        <v>1851.2507083076848</v>
      </c>
      <c r="AU52" s="9">
        <f t="shared" si="34"/>
        <v>1906.7882295569154</v>
      </c>
      <c r="AV52" s="9">
        <f t="shared" ref="AV52" si="49">AU52*1.03</f>
        <v>1963.9918764436229</v>
      </c>
    </row>
    <row r="53" spans="1:48" s="2" customFormat="1" x14ac:dyDescent="0.2">
      <c r="A53" s="2" t="s">
        <v>0</v>
      </c>
      <c r="J53" s="2">
        <f t="shared" ref="J53:O53" si="50">J52+J51+J50+J49+J46</f>
        <v>14448</v>
      </c>
      <c r="K53" s="2">
        <f t="shared" si="50"/>
        <v>14802</v>
      </c>
      <c r="L53" s="2">
        <f t="shared" si="50"/>
        <v>17597</v>
      </c>
      <c r="M53" s="2">
        <f t="shared" si="50"/>
        <v>15723</v>
      </c>
      <c r="N53" s="2">
        <f t="shared" si="50"/>
        <v>15030</v>
      </c>
      <c r="O53" s="2">
        <f t="shared" si="50"/>
        <v>15396</v>
      </c>
      <c r="P53" s="2">
        <f t="shared" ref="P53:R53" si="51">P52+P51+P50+P49+P46</f>
        <v>13116</v>
      </c>
      <c r="Q53" s="2">
        <f t="shared" si="51"/>
        <v>12092</v>
      </c>
      <c r="R53" s="2">
        <f t="shared" si="51"/>
        <v>15935</v>
      </c>
      <c r="S53" s="2">
        <f>S52+S51+S50+S47+S48</f>
        <v>11883</v>
      </c>
      <c r="T53" s="24">
        <f t="shared" ref="T53" si="52">T52+T51+T50+T49+T46</f>
        <v>18393.75</v>
      </c>
      <c r="U53" s="24">
        <f t="shared" ref="U53" si="53">U52+U51+U50+U49+U46</f>
        <v>16889.25</v>
      </c>
      <c r="V53" s="24">
        <f t="shared" ref="V53" si="54">V52+V51+V50+V49+V46</f>
        <v>22620.9</v>
      </c>
      <c r="W53" s="24">
        <f t="shared" ref="W53" si="55">W52+W51+W50+W49+W46</f>
        <v>16666.650000000001</v>
      </c>
      <c r="X53" s="24">
        <f t="shared" ref="X53" si="56">X52+X51+X50+X49+X46</f>
        <v>22483.237499999999</v>
      </c>
      <c r="Y53" s="24">
        <f t="shared" ref="Y53" si="57">Y52+Y51+Y50+Y49+Y46</f>
        <v>20661.5625</v>
      </c>
      <c r="AC53" s="2">
        <f>AC52+AC51+AC50+AC49+AC46</f>
        <v>32350</v>
      </c>
      <c r="AD53" s="2">
        <f t="shared" ref="AD53:AF53" si="58">AD52+AD51+AD50+AD49+AD46</f>
        <v>61788</v>
      </c>
      <c r="AE53" s="2">
        <f t="shared" si="58"/>
        <v>62570</v>
      </c>
      <c r="AF53" s="2">
        <f t="shared" si="58"/>
        <v>55634</v>
      </c>
      <c r="AG53" s="2">
        <f t="shared" ref="AG53" si="59">AG52+AG51+AG50+AG49+AG46</f>
        <v>63101</v>
      </c>
      <c r="AH53" s="24">
        <f t="shared" ref="AH53" si="60">AH52+AH51+AH50+AH49+AH46</f>
        <v>82432.350000000006</v>
      </c>
      <c r="AI53" s="24">
        <f t="shared" ref="AI53" si="61">AI52+AI51+AI50+AI49+AI46</f>
        <v>79520.500499999995</v>
      </c>
      <c r="AJ53" s="24">
        <f t="shared" ref="AJ53" si="62">AJ52+AJ51+AJ50+AJ49+AJ46</f>
        <v>76790.536515</v>
      </c>
      <c r="AK53" s="24">
        <f t="shared" ref="AK53" si="63">AK52+AK51+AK50+AK49+AK46</f>
        <v>74234.452560449994</v>
      </c>
      <c r="AL53" s="24">
        <f t="shared" ref="AL53" si="64">AL52+AL51+AL50+AL49+AL46</f>
        <v>71844.676089763496</v>
      </c>
      <c r="AM53" s="24">
        <f t="shared" ref="AM53" si="65">AM52+AM51+AM50+AM49+AM46</f>
        <v>69614.046827331389</v>
      </c>
      <c r="AN53" s="24">
        <f t="shared" ref="AN53" si="66">AN52+AN51+AN50+AN49+AN46</f>
        <v>67535.797164282587</v>
      </c>
      <c r="AO53" s="24">
        <f t="shared" ref="AO53" si="67">AO52+AO51+AO50+AO49+AO46</f>
        <v>65603.533564735757</v>
      </c>
      <c r="AP53" s="24">
        <f t="shared" ref="AP53" si="68">AP52+AP51+AP50+AP49+AP46</f>
        <v>66161.48183214599</v>
      </c>
      <c r="AQ53" s="24">
        <f t="shared" ref="AQ53" si="69">AQ52+AQ51+AQ50+AQ49+AQ46</f>
        <v>66736.168547578534</v>
      </c>
      <c r="AR53" s="24">
        <f t="shared" ref="AR53" si="70">AR52+AR51+AR50+AR49+AR46</f>
        <v>67328.095864474075</v>
      </c>
      <c r="AS53" s="24">
        <f t="shared" ref="AS53" si="71">AS52+AS51+AS50+AS49+AS46</f>
        <v>67937.781000876465</v>
      </c>
      <c r="AT53" s="24">
        <f t="shared" ref="AT53" si="72">AT52+AT51+AT50+AT49+AT46</f>
        <v>68565.756691370931</v>
      </c>
      <c r="AU53" s="24">
        <f t="shared" ref="AU53" si="73">AU52+AU51+AU50+AU49+AU46</f>
        <v>69212.571652580227</v>
      </c>
      <c r="AV53" s="24">
        <f t="shared" ref="AV53" si="74">AV52+AV51+AV50+AV49+AV46</f>
        <v>69878.791062625794</v>
      </c>
    </row>
    <row r="55" spans="1:48" x14ac:dyDescent="0.2">
      <c r="A55" t="s">
        <v>12</v>
      </c>
      <c r="J55" s="1">
        <v>1771</v>
      </c>
      <c r="K55" s="1">
        <v>1826</v>
      </c>
      <c r="L55" s="1">
        <v>1511</v>
      </c>
      <c r="M55">
        <f t="shared" ref="M55:M60" si="75">AE55-L55-K55-J55</f>
        <v>1232</v>
      </c>
      <c r="N55" s="1">
        <v>1619</v>
      </c>
      <c r="O55" s="1">
        <v>1359</v>
      </c>
      <c r="P55" s="1">
        <v>1341</v>
      </c>
      <c r="Q55">
        <f t="shared" ref="Q55:Q60" si="76">AF55-P55-O55-N55</f>
        <v>2535</v>
      </c>
      <c r="R55" s="1">
        <v>1487</v>
      </c>
      <c r="S55" s="1">
        <v>1605</v>
      </c>
      <c r="T55" s="9">
        <f>P55*1.05</f>
        <v>1408.05</v>
      </c>
      <c r="U55" s="9">
        <f t="shared" ref="U55:Y55" si="77">Q55*1.05</f>
        <v>2661.75</v>
      </c>
      <c r="V55" s="9">
        <f t="shared" si="77"/>
        <v>1561.3500000000001</v>
      </c>
      <c r="W55" s="9">
        <f t="shared" si="77"/>
        <v>1685.25</v>
      </c>
      <c r="X55" s="9">
        <f t="shared" si="77"/>
        <v>1478.4525000000001</v>
      </c>
      <c r="Y55" s="9">
        <f t="shared" si="77"/>
        <v>2794.8375000000001</v>
      </c>
      <c r="Z55" s="1"/>
      <c r="AC55" s="1">
        <v>4397</v>
      </c>
      <c r="AD55" s="1">
        <v>8451</v>
      </c>
      <c r="AE55" s="1">
        <v>6340</v>
      </c>
      <c r="AF55" s="1">
        <v>6854</v>
      </c>
      <c r="AG55" s="9">
        <f>SUM(R55:U55)</f>
        <v>7161.8</v>
      </c>
      <c r="AH55" s="9">
        <f>SUM(V55:Y55)</f>
        <v>7519.8900000000012</v>
      </c>
      <c r="AI55" s="9">
        <f>AH55*1.03</f>
        <v>7745.4867000000013</v>
      </c>
      <c r="AJ55" s="9">
        <f t="shared" ref="AJ55:AV55" si="78">AI55*1.03</f>
        <v>7977.8513010000015</v>
      </c>
      <c r="AK55" s="9">
        <f t="shared" si="78"/>
        <v>8217.1868400300009</v>
      </c>
      <c r="AL55" s="9">
        <f t="shared" si="78"/>
        <v>8463.7024452309015</v>
      </c>
      <c r="AM55" s="9">
        <f t="shared" si="78"/>
        <v>8717.6135185878284</v>
      </c>
      <c r="AN55" s="9">
        <f t="shared" si="78"/>
        <v>8979.1419241454641</v>
      </c>
      <c r="AO55" s="9">
        <f t="shared" si="78"/>
        <v>9248.5161818698289</v>
      </c>
      <c r="AP55" s="9">
        <f t="shared" si="78"/>
        <v>9525.9716673259245</v>
      </c>
      <c r="AQ55" s="9">
        <f t="shared" si="78"/>
        <v>9811.7508173457027</v>
      </c>
      <c r="AR55" s="9">
        <f t="shared" si="78"/>
        <v>10106.103341866074</v>
      </c>
      <c r="AS55" s="9">
        <f t="shared" si="78"/>
        <v>10409.286442122057</v>
      </c>
      <c r="AT55" s="9">
        <f t="shared" si="78"/>
        <v>10721.565035385718</v>
      </c>
      <c r="AU55" s="9">
        <f t="shared" si="78"/>
        <v>11043.21198644729</v>
      </c>
      <c r="AV55" s="9">
        <f t="shared" si="78"/>
        <v>11374.50834604071</v>
      </c>
    </row>
    <row r="56" spans="1:48" x14ac:dyDescent="0.2">
      <c r="A56" t="s">
        <v>13</v>
      </c>
      <c r="J56" s="1">
        <v>1932</v>
      </c>
      <c r="K56" s="1">
        <v>2695</v>
      </c>
      <c r="L56" s="1">
        <v>3111</v>
      </c>
      <c r="M56">
        <f t="shared" si="75"/>
        <v>3603</v>
      </c>
      <c r="N56" s="1">
        <v>1288</v>
      </c>
      <c r="O56" s="1">
        <v>241</v>
      </c>
      <c r="P56" s="1">
        <v>315</v>
      </c>
      <c r="Q56">
        <f t="shared" si="76"/>
        <v>349</v>
      </c>
      <c r="R56" s="1">
        <v>143</v>
      </c>
      <c r="S56" s="1">
        <v>228</v>
      </c>
      <c r="T56">
        <f>P56*2</f>
        <v>630</v>
      </c>
      <c r="U56">
        <f>Q56*2</f>
        <v>698</v>
      </c>
      <c r="V56">
        <f t="shared" ref="V56:Y56" si="79">R56*2</f>
        <v>286</v>
      </c>
      <c r="W56">
        <f t="shared" si="79"/>
        <v>456</v>
      </c>
      <c r="X56">
        <f t="shared" si="79"/>
        <v>1260</v>
      </c>
      <c r="Y56">
        <f t="shared" si="79"/>
        <v>1396</v>
      </c>
      <c r="Z56" s="1"/>
      <c r="AC56" s="1"/>
      <c r="AD56" s="1">
        <v>5746</v>
      </c>
      <c r="AE56" s="1">
        <v>11341</v>
      </c>
      <c r="AF56" s="1">
        <v>2193</v>
      </c>
      <c r="AG56" s="9">
        <f t="shared" ref="AG56:AG60" si="80">SUM(R56:U56)</f>
        <v>1699</v>
      </c>
      <c r="AH56" s="9">
        <f t="shared" ref="AH56:AH60" si="81">SUM(V56:Y56)</f>
        <v>3398</v>
      </c>
      <c r="AI56" s="9">
        <f t="shared" ref="AI56:AV56" si="82">AH56*1.03</f>
        <v>3499.94</v>
      </c>
      <c r="AJ56" s="9">
        <f t="shared" si="82"/>
        <v>3604.9382000000001</v>
      </c>
      <c r="AK56" s="9">
        <f t="shared" si="82"/>
        <v>3713.086346</v>
      </c>
      <c r="AL56" s="9">
        <f t="shared" si="82"/>
        <v>3824.4789363800001</v>
      </c>
      <c r="AM56" s="9">
        <f t="shared" si="82"/>
        <v>3939.2133044714001</v>
      </c>
      <c r="AN56" s="9">
        <f t="shared" si="82"/>
        <v>4057.3897036055423</v>
      </c>
      <c r="AO56" s="9">
        <f t="shared" si="82"/>
        <v>4179.1113947137083</v>
      </c>
      <c r="AP56" s="9">
        <f t="shared" si="82"/>
        <v>4304.4847365551195</v>
      </c>
      <c r="AQ56" s="9">
        <f t="shared" si="82"/>
        <v>4433.6192786517731</v>
      </c>
      <c r="AR56" s="9">
        <f t="shared" si="82"/>
        <v>4566.6278570113263</v>
      </c>
      <c r="AS56" s="9">
        <f t="shared" si="82"/>
        <v>4703.6266927216666</v>
      </c>
      <c r="AT56" s="9">
        <f t="shared" si="82"/>
        <v>4844.7354935033163</v>
      </c>
      <c r="AU56" s="9">
        <f t="shared" si="82"/>
        <v>4990.077558308416</v>
      </c>
      <c r="AV56" s="9">
        <f t="shared" si="82"/>
        <v>5139.7798850576683</v>
      </c>
    </row>
    <row r="57" spans="1:48" x14ac:dyDescent="0.2">
      <c r="A57" t="s">
        <v>7</v>
      </c>
      <c r="J57" s="1">
        <v>1544</v>
      </c>
      <c r="K57" s="1">
        <v>1725</v>
      </c>
      <c r="L57" s="1">
        <v>1653</v>
      </c>
      <c r="M57">
        <f t="shared" si="75"/>
        <v>1695</v>
      </c>
      <c r="N57" s="1">
        <v>1768</v>
      </c>
      <c r="O57" s="1">
        <v>1294</v>
      </c>
      <c r="P57" s="1">
        <v>1157</v>
      </c>
      <c r="Q57">
        <f t="shared" si="76"/>
        <v>1318</v>
      </c>
      <c r="R57" s="1">
        <v>1227</v>
      </c>
      <c r="S57" s="1">
        <v>889</v>
      </c>
      <c r="T57" s="9">
        <f>P57*1.05</f>
        <v>1214.8500000000001</v>
      </c>
      <c r="U57" s="9">
        <f t="shared" ref="U57:Y60" si="83">Q57*1.05</f>
        <v>1383.9</v>
      </c>
      <c r="V57" s="9">
        <f t="shared" si="83"/>
        <v>1288.3500000000001</v>
      </c>
      <c r="W57" s="9">
        <f t="shared" si="83"/>
        <v>933.45</v>
      </c>
      <c r="X57" s="9">
        <f t="shared" si="83"/>
        <v>1275.5925000000002</v>
      </c>
      <c r="Y57" s="9">
        <f t="shared" si="83"/>
        <v>1453.0950000000003</v>
      </c>
      <c r="Z57" s="1"/>
      <c r="AC57" s="1">
        <v>1462</v>
      </c>
      <c r="AD57" s="1">
        <v>5651</v>
      </c>
      <c r="AE57" s="1">
        <v>6617</v>
      </c>
      <c r="AF57" s="1">
        <v>5537</v>
      </c>
      <c r="AG57" s="9">
        <f t="shared" si="80"/>
        <v>4714.75</v>
      </c>
      <c r="AH57" s="9">
        <f t="shared" si="81"/>
        <v>4950.4875000000011</v>
      </c>
      <c r="AI57" s="9">
        <f t="shared" ref="AI57:AV57" si="84">AH57*1.03</f>
        <v>5099.0021250000009</v>
      </c>
      <c r="AJ57" s="9">
        <f t="shared" si="84"/>
        <v>5251.9721887500009</v>
      </c>
      <c r="AK57" s="9">
        <f t="shared" si="84"/>
        <v>5409.5313544125011</v>
      </c>
      <c r="AL57" s="9">
        <f t="shared" si="84"/>
        <v>5571.8172950448761</v>
      </c>
      <c r="AM57" s="9">
        <f t="shared" si="84"/>
        <v>5738.9718138962226</v>
      </c>
      <c r="AN57" s="9">
        <f t="shared" si="84"/>
        <v>5911.1409683131096</v>
      </c>
      <c r="AO57" s="9">
        <f t="shared" si="84"/>
        <v>6088.4751973625034</v>
      </c>
      <c r="AP57" s="9">
        <f t="shared" si="84"/>
        <v>6271.129453283379</v>
      </c>
      <c r="AQ57" s="9">
        <f t="shared" si="84"/>
        <v>6459.2633368818806</v>
      </c>
      <c r="AR57" s="9">
        <f t="shared" si="84"/>
        <v>6653.041236988337</v>
      </c>
      <c r="AS57" s="9">
        <f t="shared" si="84"/>
        <v>6852.6324740979871</v>
      </c>
      <c r="AT57" s="9">
        <f t="shared" si="84"/>
        <v>7058.211448320927</v>
      </c>
      <c r="AU57" s="9">
        <f t="shared" si="84"/>
        <v>7269.9577917705546</v>
      </c>
      <c r="AV57" s="9">
        <f t="shared" si="84"/>
        <v>7488.0565255236716</v>
      </c>
    </row>
    <row r="58" spans="1:48" x14ac:dyDescent="0.2">
      <c r="A58" t="s">
        <v>8</v>
      </c>
      <c r="J58" s="1">
        <v>2182</v>
      </c>
      <c r="K58" s="1">
        <v>2169</v>
      </c>
      <c r="L58" s="1">
        <v>2003</v>
      </c>
      <c r="M58">
        <f t="shared" si="75"/>
        <v>2064</v>
      </c>
      <c r="N58" s="1">
        <v>1221</v>
      </c>
      <c r="O58" s="1">
        <v>1443</v>
      </c>
      <c r="P58" s="1">
        <v>1678</v>
      </c>
      <c r="Q58">
        <f t="shared" si="76"/>
        <v>1201</v>
      </c>
      <c r="R58" s="1">
        <v>1192</v>
      </c>
      <c r="S58" s="1">
        <v>1091</v>
      </c>
      <c r="T58" s="9">
        <f t="shared" ref="T58:T60" si="85">P58*1.05</f>
        <v>1761.9</v>
      </c>
      <c r="U58" s="9">
        <f t="shared" si="83"/>
        <v>1261.05</v>
      </c>
      <c r="V58" s="9">
        <f t="shared" si="83"/>
        <v>1251.6000000000001</v>
      </c>
      <c r="W58" s="9">
        <f t="shared" si="83"/>
        <v>1145.55</v>
      </c>
      <c r="X58" s="9">
        <f t="shared" si="83"/>
        <v>1849.9950000000001</v>
      </c>
      <c r="Y58" s="9">
        <f t="shared" si="83"/>
        <v>1324.1025</v>
      </c>
      <c r="Z58" s="1"/>
      <c r="AC58" s="1">
        <v>3409</v>
      </c>
      <c r="AD58" s="1">
        <v>5446</v>
      </c>
      <c r="AE58" s="1">
        <v>8418</v>
      </c>
      <c r="AF58" s="1">
        <v>5543</v>
      </c>
      <c r="AG58" s="9">
        <f t="shared" si="80"/>
        <v>5305.95</v>
      </c>
      <c r="AH58" s="9">
        <f t="shared" si="81"/>
        <v>5571.2475000000004</v>
      </c>
      <c r="AI58" s="9">
        <f t="shared" ref="AI58:AV58" si="86">AH58*1.03</f>
        <v>5738.3849250000003</v>
      </c>
      <c r="AJ58" s="9">
        <f t="shared" si="86"/>
        <v>5910.53647275</v>
      </c>
      <c r="AK58" s="9">
        <f t="shared" si="86"/>
        <v>6087.8525669324999</v>
      </c>
      <c r="AL58" s="9">
        <f t="shared" si="86"/>
        <v>6270.4881439404753</v>
      </c>
      <c r="AM58" s="9">
        <f t="shared" si="86"/>
        <v>6458.6027882586895</v>
      </c>
      <c r="AN58" s="9">
        <f t="shared" si="86"/>
        <v>6652.3608719064505</v>
      </c>
      <c r="AO58" s="9">
        <f t="shared" si="86"/>
        <v>6851.931698063644</v>
      </c>
      <c r="AP58" s="9">
        <f t="shared" si="86"/>
        <v>7057.4896490055535</v>
      </c>
      <c r="AQ58" s="9">
        <f t="shared" si="86"/>
        <v>7269.2143384757201</v>
      </c>
      <c r="AR58" s="9">
        <f t="shared" si="86"/>
        <v>7487.2907686299923</v>
      </c>
      <c r="AS58" s="9">
        <f t="shared" si="86"/>
        <v>7711.9094916888926</v>
      </c>
      <c r="AT58" s="9">
        <f t="shared" si="86"/>
        <v>7943.2667764395592</v>
      </c>
      <c r="AU58" s="9">
        <f t="shared" si="86"/>
        <v>8181.5647797327465</v>
      </c>
      <c r="AV58" s="9">
        <f t="shared" si="86"/>
        <v>8427.0117231247295</v>
      </c>
    </row>
    <row r="59" spans="1:48" x14ac:dyDescent="0.2">
      <c r="A59" t="s">
        <v>14</v>
      </c>
      <c r="J59" s="1">
        <v>1010</v>
      </c>
      <c r="K59" s="1">
        <v>1084</v>
      </c>
      <c r="L59" s="1">
        <v>1152</v>
      </c>
      <c r="M59">
        <f t="shared" si="75"/>
        <v>1153</v>
      </c>
      <c r="N59" s="1">
        <v>1125</v>
      </c>
      <c r="O59" s="1">
        <v>945</v>
      </c>
      <c r="P59" s="1">
        <v>810</v>
      </c>
      <c r="Q59">
        <f t="shared" si="76"/>
        <v>802</v>
      </c>
      <c r="R59" s="1">
        <v>798</v>
      </c>
      <c r="S59" s="1">
        <v>607</v>
      </c>
      <c r="T59" s="9">
        <f t="shared" si="85"/>
        <v>850.5</v>
      </c>
      <c r="U59" s="9">
        <f t="shared" si="83"/>
        <v>842.1</v>
      </c>
      <c r="V59" s="9">
        <f t="shared" si="83"/>
        <v>837.90000000000009</v>
      </c>
      <c r="W59" s="9">
        <f t="shared" si="83"/>
        <v>637.35</v>
      </c>
      <c r="X59" s="9">
        <f t="shared" si="83"/>
        <v>893.02500000000009</v>
      </c>
      <c r="Y59" s="9">
        <f t="shared" si="83"/>
        <v>884.20500000000004</v>
      </c>
      <c r="Z59" s="1"/>
      <c r="AC59" s="1">
        <v>1993</v>
      </c>
      <c r="AD59" s="1">
        <v>3764</v>
      </c>
      <c r="AE59" s="1">
        <v>4399</v>
      </c>
      <c r="AF59" s="1">
        <v>3682</v>
      </c>
      <c r="AG59" s="9">
        <f t="shared" si="80"/>
        <v>3097.6</v>
      </c>
      <c r="AH59" s="9">
        <f t="shared" si="81"/>
        <v>3252.48</v>
      </c>
      <c r="AI59" s="9">
        <f t="shared" ref="AI59:AV59" si="87">AH59*1.03</f>
        <v>3350.0544</v>
      </c>
      <c r="AJ59" s="9">
        <f t="shared" si="87"/>
        <v>3450.556032</v>
      </c>
      <c r="AK59" s="9">
        <f t="shared" si="87"/>
        <v>3554.07271296</v>
      </c>
      <c r="AL59" s="9">
        <f t="shared" si="87"/>
        <v>3660.6948943488001</v>
      </c>
      <c r="AM59" s="9">
        <f t="shared" si="87"/>
        <v>3770.5157411792643</v>
      </c>
      <c r="AN59" s="9">
        <f t="shared" si="87"/>
        <v>3883.6312134146424</v>
      </c>
      <c r="AO59" s="9">
        <f t="shared" si="87"/>
        <v>4000.1401498170817</v>
      </c>
      <c r="AP59" s="9">
        <f t="shared" si="87"/>
        <v>4120.1443543115938</v>
      </c>
      <c r="AQ59" s="9">
        <f t="shared" si="87"/>
        <v>4243.7486849409415</v>
      </c>
      <c r="AR59" s="9">
        <f t="shared" si="87"/>
        <v>4371.0611454891696</v>
      </c>
      <c r="AS59" s="9">
        <f t="shared" si="87"/>
        <v>4502.1929798538449</v>
      </c>
      <c r="AT59" s="9">
        <f t="shared" si="87"/>
        <v>4637.2587692494608</v>
      </c>
      <c r="AU59" s="9">
        <f t="shared" si="87"/>
        <v>4776.3765323269445</v>
      </c>
      <c r="AV59" s="9">
        <f t="shared" si="87"/>
        <v>4919.6678282967532</v>
      </c>
    </row>
    <row r="60" spans="1:48" x14ac:dyDescent="0.2">
      <c r="A60" t="s">
        <v>15</v>
      </c>
      <c r="J60" s="1">
        <v>1312</v>
      </c>
      <c r="K60" s="1">
        <v>1574</v>
      </c>
      <c r="L60" s="1">
        <v>1403</v>
      </c>
      <c r="M60">
        <f t="shared" si="75"/>
        <v>1644</v>
      </c>
      <c r="N60" s="1">
        <v>1050</v>
      </c>
      <c r="O60" s="1">
        <v>843</v>
      </c>
      <c r="P60" s="1">
        <v>939</v>
      </c>
      <c r="Q60">
        <f t="shared" si="76"/>
        <v>675</v>
      </c>
      <c r="R60" s="1">
        <v>736</v>
      </c>
      <c r="S60" s="1">
        <v>873</v>
      </c>
      <c r="T60" s="9">
        <f t="shared" si="85"/>
        <v>985.95</v>
      </c>
      <c r="U60" s="9">
        <f t="shared" si="83"/>
        <v>708.75</v>
      </c>
      <c r="V60" s="9">
        <f t="shared" si="83"/>
        <v>772.80000000000007</v>
      </c>
      <c r="W60" s="9">
        <f t="shared" si="83"/>
        <v>916.65000000000009</v>
      </c>
      <c r="X60" s="9">
        <f t="shared" si="83"/>
        <v>1035.2475000000002</v>
      </c>
      <c r="Y60" s="9">
        <f t="shared" si="83"/>
        <v>744.1875</v>
      </c>
      <c r="Z60" s="1"/>
      <c r="AC60" s="1">
        <v>1971</v>
      </c>
      <c r="AD60" s="1">
        <v>3620</v>
      </c>
      <c r="AE60" s="1">
        <v>5933</v>
      </c>
      <c r="AF60" s="1">
        <v>3507</v>
      </c>
      <c r="AG60" s="9">
        <f t="shared" si="80"/>
        <v>3303.7</v>
      </c>
      <c r="AH60" s="9">
        <f t="shared" si="81"/>
        <v>3468.8850000000002</v>
      </c>
      <c r="AI60" s="9">
        <f t="shared" ref="AI60:AV60" si="88">AH60*1.03</f>
        <v>3572.9515500000002</v>
      </c>
      <c r="AJ60" s="9">
        <f t="shared" si="88"/>
        <v>3680.1400965000003</v>
      </c>
      <c r="AK60" s="9">
        <f t="shared" si="88"/>
        <v>3790.5442993950005</v>
      </c>
      <c r="AL60" s="9">
        <f t="shared" si="88"/>
        <v>3904.2606283768505</v>
      </c>
      <c r="AM60" s="9">
        <f t="shared" si="88"/>
        <v>4021.3884472281561</v>
      </c>
      <c r="AN60" s="9">
        <f t="shared" si="88"/>
        <v>4142.0301006450009</v>
      </c>
      <c r="AO60" s="9">
        <f t="shared" si="88"/>
        <v>4266.2910036643507</v>
      </c>
      <c r="AP60" s="9">
        <f t="shared" si="88"/>
        <v>4394.2797337742813</v>
      </c>
      <c r="AQ60" s="9">
        <f t="shared" si="88"/>
        <v>4526.1081257875103</v>
      </c>
      <c r="AR60" s="9">
        <f t="shared" si="88"/>
        <v>4661.8913695611354</v>
      </c>
      <c r="AS60" s="9">
        <f t="shared" si="88"/>
        <v>4801.74811064797</v>
      </c>
      <c r="AT60" s="9">
        <f t="shared" si="88"/>
        <v>4945.8005539674095</v>
      </c>
      <c r="AU60" s="9">
        <f t="shared" si="88"/>
        <v>5094.1745705864323</v>
      </c>
      <c r="AV60" s="9">
        <f t="shared" si="88"/>
        <v>5246.9998077040254</v>
      </c>
    </row>
    <row r="61" spans="1:48" s="2" customFormat="1" x14ac:dyDescent="0.2">
      <c r="A61" s="2" t="s">
        <v>1</v>
      </c>
      <c r="J61" s="2">
        <f t="shared" ref="J61:Y61" si="89">J60+J59+J58+J57+J56+J55</f>
        <v>9751</v>
      </c>
      <c r="K61" s="2">
        <f t="shared" si="89"/>
        <v>11073</v>
      </c>
      <c r="L61" s="2">
        <f t="shared" si="89"/>
        <v>10833</v>
      </c>
      <c r="M61" s="2">
        <f t="shared" si="89"/>
        <v>11391</v>
      </c>
      <c r="N61" s="2">
        <f t="shared" si="89"/>
        <v>8071</v>
      </c>
      <c r="O61" s="2">
        <f t="shared" si="89"/>
        <v>6125</v>
      </c>
      <c r="P61" s="2">
        <f t="shared" si="89"/>
        <v>6240</v>
      </c>
      <c r="Q61" s="2">
        <f t="shared" si="89"/>
        <v>6880</v>
      </c>
      <c r="R61" s="2">
        <f t="shared" si="89"/>
        <v>5583</v>
      </c>
      <c r="S61" s="24">
        <f t="shared" si="89"/>
        <v>5293</v>
      </c>
      <c r="T61" s="24">
        <f t="shared" si="89"/>
        <v>6851.2500000000009</v>
      </c>
      <c r="U61" s="24">
        <f t="shared" si="89"/>
        <v>7555.5499999999993</v>
      </c>
      <c r="V61" s="24">
        <f t="shared" si="89"/>
        <v>5998.0000000000009</v>
      </c>
      <c r="W61" s="24">
        <f t="shared" si="89"/>
        <v>5774.25</v>
      </c>
      <c r="X61" s="24">
        <f t="shared" si="89"/>
        <v>7792.3125000000009</v>
      </c>
      <c r="Y61" s="24">
        <f t="shared" si="89"/>
        <v>8596.4274999999998</v>
      </c>
      <c r="AC61" s="2">
        <f t="shared" ref="AC61:AV61" si="90">AC60+AC59+AC58+AC57+AC56+AC55</f>
        <v>13232</v>
      </c>
      <c r="AD61" s="2">
        <f t="shared" si="90"/>
        <v>32678</v>
      </c>
      <c r="AE61" s="2">
        <f t="shared" si="90"/>
        <v>43048</v>
      </c>
      <c r="AF61" s="2">
        <f t="shared" si="90"/>
        <v>27316</v>
      </c>
      <c r="AG61" s="24">
        <f t="shared" si="90"/>
        <v>25282.799999999999</v>
      </c>
      <c r="AH61" s="24">
        <f t="shared" si="90"/>
        <v>28160.989999999998</v>
      </c>
      <c r="AI61" s="24">
        <f t="shared" si="90"/>
        <v>29005.819700000004</v>
      </c>
      <c r="AJ61" s="24">
        <f t="shared" si="90"/>
        <v>29875.994291000003</v>
      </c>
      <c r="AK61" s="24">
        <f t="shared" si="90"/>
        <v>30772.274119730002</v>
      </c>
      <c r="AL61" s="24">
        <f t="shared" si="90"/>
        <v>31695.442343321905</v>
      </c>
      <c r="AM61" s="24">
        <f t="shared" si="90"/>
        <v>32646.30561362156</v>
      </c>
      <c r="AN61" s="24">
        <f t="shared" si="90"/>
        <v>33625.694782030208</v>
      </c>
      <c r="AO61" s="24">
        <f t="shared" si="90"/>
        <v>34634.465625491117</v>
      </c>
      <c r="AP61" s="24">
        <f t="shared" si="90"/>
        <v>35673.499594255853</v>
      </c>
      <c r="AQ61" s="24">
        <f t="shared" si="90"/>
        <v>36743.704582083526</v>
      </c>
      <c r="AR61" s="24">
        <f t="shared" si="90"/>
        <v>37846.015719546034</v>
      </c>
      <c r="AS61" s="24">
        <f t="shared" si="90"/>
        <v>38981.396191132422</v>
      </c>
      <c r="AT61" s="24">
        <f t="shared" si="90"/>
        <v>40150.838076866392</v>
      </c>
      <c r="AU61" s="24">
        <f t="shared" si="90"/>
        <v>41355.363219172388</v>
      </c>
      <c r="AV61" s="24">
        <f t="shared" si="90"/>
        <v>42596.024115747561</v>
      </c>
    </row>
    <row r="63" spans="1:48" s="2" customFormat="1" x14ac:dyDescent="0.2">
      <c r="A63" s="2" t="s">
        <v>38</v>
      </c>
      <c r="J63" s="2">
        <f t="shared" ref="J63:Y63" si="91">J53+J61</f>
        <v>24199</v>
      </c>
      <c r="K63" s="2">
        <f t="shared" si="91"/>
        <v>25875</v>
      </c>
      <c r="L63" s="2">
        <f t="shared" si="91"/>
        <v>28430</v>
      </c>
      <c r="M63" s="2">
        <f t="shared" si="91"/>
        <v>27114</v>
      </c>
      <c r="N63" s="2">
        <f t="shared" si="91"/>
        <v>23101</v>
      </c>
      <c r="O63" s="2">
        <f t="shared" si="91"/>
        <v>21521</v>
      </c>
      <c r="P63" s="2">
        <f t="shared" si="91"/>
        <v>19356</v>
      </c>
      <c r="Q63" s="2">
        <f t="shared" si="91"/>
        <v>18972</v>
      </c>
      <c r="R63" s="2">
        <f t="shared" si="91"/>
        <v>21518</v>
      </c>
      <c r="S63" s="2">
        <f t="shared" si="91"/>
        <v>17176</v>
      </c>
      <c r="T63" s="24">
        <f t="shared" si="91"/>
        <v>25245</v>
      </c>
      <c r="U63" s="24">
        <f t="shared" si="91"/>
        <v>24444.799999999999</v>
      </c>
      <c r="V63" s="24">
        <f t="shared" si="91"/>
        <v>28618.9</v>
      </c>
      <c r="W63" s="24">
        <f t="shared" si="91"/>
        <v>22440.9</v>
      </c>
      <c r="X63" s="24">
        <f t="shared" si="91"/>
        <v>30275.55</v>
      </c>
      <c r="Y63" s="24">
        <f t="shared" si="91"/>
        <v>29257.989999999998</v>
      </c>
      <c r="AC63" s="2">
        <f>AC53+AC61</f>
        <v>45582</v>
      </c>
      <c r="AD63" s="2">
        <f>AD53+AD61</f>
        <v>94466</v>
      </c>
      <c r="AE63" s="2">
        <f>AE53+AE61</f>
        <v>105618</v>
      </c>
      <c r="AF63" s="2">
        <f>AF53+AF61</f>
        <v>82950</v>
      </c>
      <c r="AG63" s="24">
        <f>AG53+AG61</f>
        <v>88383.8</v>
      </c>
      <c r="AH63" s="24">
        <f>AG63*1.03</f>
        <v>91035.313999999998</v>
      </c>
      <c r="AI63" s="24">
        <f t="shared" ref="AI63:AU63" si="92">AH63*1.03</f>
        <v>93766.373420000004</v>
      </c>
      <c r="AJ63" s="24">
        <f t="shared" si="92"/>
        <v>96579.364622600013</v>
      </c>
      <c r="AK63" s="24">
        <f t="shared" si="92"/>
        <v>99476.745561278018</v>
      </c>
      <c r="AL63" s="24">
        <f t="shared" si="92"/>
        <v>102461.04792811636</v>
      </c>
      <c r="AM63" s="24">
        <f t="shared" si="92"/>
        <v>105534.87936595985</v>
      </c>
      <c r="AN63" s="24">
        <f t="shared" si="92"/>
        <v>108700.92574693865</v>
      </c>
      <c r="AO63" s="24">
        <f t="shared" si="92"/>
        <v>111961.95351934682</v>
      </c>
      <c r="AP63" s="24">
        <f t="shared" si="92"/>
        <v>115320.81212492722</v>
      </c>
      <c r="AQ63" s="24">
        <f t="shared" si="92"/>
        <v>118780.43648867504</v>
      </c>
      <c r="AR63" s="24">
        <f t="shared" si="92"/>
        <v>122343.84958333529</v>
      </c>
      <c r="AS63" s="24">
        <f t="shared" si="92"/>
        <v>126014.16507083536</v>
      </c>
      <c r="AT63" s="24">
        <f t="shared" si="92"/>
        <v>129794.59002296042</v>
      </c>
      <c r="AU63" s="24">
        <f t="shared" si="92"/>
        <v>133688.42772364922</v>
      </c>
      <c r="AV63" s="24">
        <f>AU63*0.8</f>
        <v>106950.74217891938</v>
      </c>
    </row>
    <row r="64" spans="1:48" s="2" customFormat="1" x14ac:dyDescent="0.2"/>
    <row r="65" spans="1:48" x14ac:dyDescent="0.2">
      <c r="A65" s="2" t="s">
        <v>40</v>
      </c>
      <c r="J65">
        <f t="shared" ref="J65:S65" si="93">J42-J63</f>
        <v>-24199</v>
      </c>
      <c r="K65">
        <f t="shared" si="93"/>
        <v>-25875</v>
      </c>
      <c r="L65">
        <f t="shared" si="93"/>
        <v>-28430</v>
      </c>
      <c r="M65">
        <f t="shared" si="93"/>
        <v>-27114</v>
      </c>
      <c r="N65">
        <f t="shared" si="93"/>
        <v>-23101</v>
      </c>
      <c r="O65">
        <f t="shared" si="93"/>
        <v>-21521</v>
      </c>
      <c r="P65">
        <f t="shared" si="93"/>
        <v>-19356</v>
      </c>
      <c r="Q65">
        <f t="shared" si="93"/>
        <v>-18972</v>
      </c>
      <c r="R65">
        <f t="shared" si="93"/>
        <v>-10858</v>
      </c>
      <c r="S65">
        <f t="shared" si="93"/>
        <v>-17176</v>
      </c>
      <c r="T65">
        <f t="shared" ref="T65:Y65" si="94">T42-T63</f>
        <v>-25245</v>
      </c>
      <c r="U65" s="9">
        <f t="shared" si="94"/>
        <v>-24080.3</v>
      </c>
      <c r="V65" s="9">
        <f t="shared" si="94"/>
        <v>-27525.4</v>
      </c>
      <c r="W65" s="9">
        <f t="shared" si="94"/>
        <v>-20618.400000000001</v>
      </c>
      <c r="X65" s="9">
        <f t="shared" si="94"/>
        <v>-27724.05</v>
      </c>
      <c r="Y65">
        <f t="shared" si="94"/>
        <v>-26341.989999999998</v>
      </c>
      <c r="AC65">
        <f t="shared" ref="AC65:AV65" si="95">AC42-AC63</f>
        <v>-45582</v>
      </c>
      <c r="AD65">
        <f t="shared" si="95"/>
        <v>-94466</v>
      </c>
      <c r="AE65">
        <f t="shared" si="95"/>
        <v>-105618</v>
      </c>
      <c r="AF65">
        <f t="shared" si="95"/>
        <v>-82950</v>
      </c>
      <c r="AG65" s="9">
        <f t="shared" si="95"/>
        <v>-77359.3</v>
      </c>
      <c r="AH65" s="9">
        <f t="shared" si="95"/>
        <v>-82651.813999999998</v>
      </c>
      <c r="AI65" s="9">
        <f t="shared" si="95"/>
        <v>-75745.493419999999</v>
      </c>
      <c r="AJ65" s="9">
        <f t="shared" si="95"/>
        <v>-68737.105022600008</v>
      </c>
      <c r="AK65" s="9">
        <f t="shared" si="95"/>
        <v>-6835.3505012779933</v>
      </c>
      <c r="AL65" s="9">
        <f t="shared" si="95"/>
        <v>55560.388995883652</v>
      </c>
      <c r="AM65" s="9">
        <f t="shared" si="95"/>
        <v>121706.02467832615</v>
      </c>
      <c r="AN65" s="9">
        <f t="shared" si="95"/>
        <v>147494.93499632363</v>
      </c>
      <c r="AO65" s="9">
        <f t="shared" si="95"/>
        <v>151919.78304621333</v>
      </c>
      <c r="AP65" s="9">
        <f t="shared" si="95"/>
        <v>126834.95663312949</v>
      </c>
      <c r="AQ65" s="9">
        <f t="shared" si="95"/>
        <v>103961.82741810023</v>
      </c>
      <c r="AR65" s="9">
        <f t="shared" si="95"/>
        <v>83070.322118022348</v>
      </c>
      <c r="AS65" s="9">
        <f t="shared" si="95"/>
        <v>63953.107671204256</v>
      </c>
      <c r="AT65" s="9">
        <f t="shared" si="95"/>
        <v>46423.309202017466</v>
      </c>
      <c r="AU65" s="9">
        <f t="shared" si="95"/>
        <v>30312.455948687362</v>
      </c>
      <c r="AV65" s="9">
        <f t="shared" si="95"/>
        <v>24163.412538748205</v>
      </c>
    </row>
    <row r="67" spans="1:48" x14ac:dyDescent="0.2">
      <c r="A67" t="s">
        <v>2</v>
      </c>
      <c r="J67" s="1">
        <v>76</v>
      </c>
      <c r="K67" s="1">
        <v>169</v>
      </c>
      <c r="L67" s="1">
        <v>76</v>
      </c>
      <c r="M67">
        <f t="shared" ref="M67:M69" si="96">AE67-L67-K67-J67</f>
        <v>234</v>
      </c>
      <c r="N67" s="1">
        <v>76</v>
      </c>
      <c r="O67" s="1">
        <v>111</v>
      </c>
      <c r="P67" s="1">
        <v>227</v>
      </c>
      <c r="Q67">
        <f t="shared" ref="Q67:Q69" si="97">AF67-P67-O67-N67</f>
        <v>271</v>
      </c>
      <c r="R67" s="1">
        <v>221</v>
      </c>
      <c r="S67" s="1">
        <v>408</v>
      </c>
      <c r="U67" s="1"/>
      <c r="V67" s="1"/>
      <c r="W67" s="1"/>
      <c r="X67" s="1"/>
      <c r="Y67" s="1"/>
      <c r="Z67" s="1"/>
      <c r="AC67" s="1">
        <v>93</v>
      </c>
      <c r="AD67" s="1">
        <v>559</v>
      </c>
      <c r="AE67" s="1">
        <v>555</v>
      </c>
      <c r="AF67" s="1">
        <v>685</v>
      </c>
      <c r="AG67" s="9">
        <f t="shared" ref="AG67" si="98">SUM(R67:U67)</f>
        <v>629</v>
      </c>
      <c r="AH67" s="9">
        <f t="shared" ref="AH67" si="99">SUM(V67:Y67)</f>
        <v>0</v>
      </c>
    </row>
    <row r="68" spans="1:48" x14ac:dyDescent="0.2">
      <c r="A68" t="s">
        <v>11</v>
      </c>
      <c r="O68" s="1">
        <v>-4357</v>
      </c>
      <c r="P68" s="1">
        <v>36</v>
      </c>
      <c r="Q68">
        <f t="shared" si="97"/>
        <v>4255</v>
      </c>
      <c r="R68" s="1">
        <v>469</v>
      </c>
      <c r="S68" s="1">
        <v>-12804</v>
      </c>
      <c r="U68" s="1"/>
      <c r="V68" s="1"/>
      <c r="W68" s="1"/>
      <c r="X68" s="1"/>
      <c r="Y68" s="1"/>
      <c r="Z68" s="1"/>
      <c r="AF68" s="1">
        <v>-66</v>
      </c>
      <c r="AG68" s="9">
        <f t="shared" ref="AG68:AG69" si="100">SUM(R68:U68)</f>
        <v>-12335</v>
      </c>
      <c r="AH68" s="9">
        <f t="shared" ref="AH68:AH69" si="101">SUM(V68:Y68)</f>
        <v>0</v>
      </c>
    </row>
    <row r="69" spans="1:48" x14ac:dyDescent="0.2">
      <c r="A69" t="s">
        <v>3</v>
      </c>
      <c r="J69" s="1">
        <v>-56</v>
      </c>
      <c r="K69" s="1">
        <v>-122</v>
      </c>
      <c r="L69" s="1">
        <v>-64</v>
      </c>
      <c r="M69">
        <f t="shared" si="96"/>
        <v>-279</v>
      </c>
      <c r="N69" s="1">
        <v>-96</v>
      </c>
      <c r="O69" s="1">
        <v>-90</v>
      </c>
      <c r="P69" s="1">
        <v>-8</v>
      </c>
      <c r="Q69">
        <f t="shared" si="97"/>
        <v>17</v>
      </c>
      <c r="R69" s="1">
        <v>31</v>
      </c>
      <c r="S69" s="1">
        <v>-5</v>
      </c>
      <c r="U69" s="1"/>
      <c r="V69" s="1"/>
      <c r="W69" s="1"/>
      <c r="X69" s="1"/>
      <c r="Y69" s="1"/>
      <c r="Z69" s="1"/>
      <c r="AC69" s="1">
        <v>-24</v>
      </c>
      <c r="AD69" s="1">
        <v>-54</v>
      </c>
      <c r="AE69" s="1">
        <v>-521</v>
      </c>
      <c r="AF69" s="1">
        <v>-177</v>
      </c>
      <c r="AG69" s="9">
        <f t="shared" si="100"/>
        <v>26</v>
      </c>
      <c r="AH69" s="9">
        <f t="shared" si="101"/>
        <v>0</v>
      </c>
    </row>
    <row r="70" spans="1:48" s="2" customFormat="1" x14ac:dyDescent="0.2">
      <c r="A70" s="2" t="s">
        <v>4</v>
      </c>
      <c r="J70" s="2">
        <f>J67+J68+J69</f>
        <v>20</v>
      </c>
      <c r="K70" s="2">
        <f t="shared" ref="K70:Y70" si="102">K67+K68+K69</f>
        <v>47</v>
      </c>
      <c r="L70" s="2">
        <f t="shared" si="102"/>
        <v>12</v>
      </c>
      <c r="M70" s="2">
        <f t="shared" si="102"/>
        <v>-45</v>
      </c>
      <c r="N70" s="2">
        <f t="shared" si="102"/>
        <v>-20</v>
      </c>
      <c r="O70" s="2">
        <f t="shared" si="102"/>
        <v>-4336</v>
      </c>
      <c r="P70" s="2">
        <f t="shared" si="102"/>
        <v>255</v>
      </c>
      <c r="Q70" s="2">
        <f t="shared" si="102"/>
        <v>4543</v>
      </c>
      <c r="R70" s="2">
        <f t="shared" si="102"/>
        <v>721</v>
      </c>
      <c r="S70" s="2">
        <f t="shared" si="102"/>
        <v>-12401</v>
      </c>
      <c r="T70" s="2">
        <f t="shared" si="102"/>
        <v>0</v>
      </c>
      <c r="U70" s="2">
        <f t="shared" si="102"/>
        <v>0</v>
      </c>
      <c r="V70" s="2">
        <f t="shared" si="102"/>
        <v>0</v>
      </c>
      <c r="W70" s="2">
        <f t="shared" si="102"/>
        <v>0</v>
      </c>
      <c r="X70" s="2">
        <f t="shared" si="102"/>
        <v>0</v>
      </c>
      <c r="Y70" s="2">
        <f t="shared" si="102"/>
        <v>0</v>
      </c>
      <c r="AC70" s="2">
        <f>AC69+AC68+AC67</f>
        <v>69</v>
      </c>
      <c r="AD70" s="2">
        <f t="shared" ref="AD70:AH70" si="103">AD69+AD68+AD67</f>
        <v>505</v>
      </c>
      <c r="AE70" s="2">
        <f t="shared" si="103"/>
        <v>34</v>
      </c>
      <c r="AF70" s="2">
        <f t="shared" si="103"/>
        <v>442</v>
      </c>
      <c r="AG70" s="2">
        <f t="shared" si="103"/>
        <v>-11680</v>
      </c>
      <c r="AH70" s="2">
        <f t="shared" si="103"/>
        <v>0</v>
      </c>
      <c r="AI70" s="2">
        <f>AI69+AI68+AI67</f>
        <v>0</v>
      </c>
      <c r="AJ70" s="2">
        <f t="shared" ref="AJ70" si="104">AJ69+AJ68+AJ67</f>
        <v>0</v>
      </c>
      <c r="AK70" s="2">
        <f t="shared" ref="AK70" si="105">AK69+AK68+AK67</f>
        <v>0</v>
      </c>
      <c r="AL70" s="2">
        <f t="shared" ref="AL70" si="106">AL69+AL68+AL67</f>
        <v>0</v>
      </c>
      <c r="AM70" s="2">
        <f t="shared" ref="AM70" si="107">AM69+AM68+AM67</f>
        <v>0</v>
      </c>
      <c r="AN70" s="2">
        <f t="shared" ref="AN70" si="108">AN69+AN68+AN67</f>
        <v>0</v>
      </c>
      <c r="AO70" s="2">
        <f t="shared" ref="AO70" si="109">AO69+AO68+AO67</f>
        <v>0</v>
      </c>
      <c r="AP70" s="2">
        <f t="shared" ref="AP70" si="110">AP69+AP68+AP67</f>
        <v>0</v>
      </c>
      <c r="AQ70" s="2">
        <f t="shared" ref="AQ70" si="111">AQ69+AQ68+AQ67</f>
        <v>0</v>
      </c>
      <c r="AR70" s="2">
        <f t="shared" ref="AR70" si="112">AR69+AR68+AR67</f>
        <v>0</v>
      </c>
      <c r="AS70" s="2">
        <f t="shared" ref="AS70" si="113">AS69+AS68+AS67</f>
        <v>0</v>
      </c>
      <c r="AT70" s="2">
        <f t="shared" ref="AT70" si="114">AT69+AT68+AT67</f>
        <v>0</v>
      </c>
      <c r="AU70" s="2">
        <f t="shared" ref="AU70" si="115">AU69+AU68+AU67</f>
        <v>0</v>
      </c>
      <c r="AV70" s="2">
        <f t="shared" ref="AV70" si="116">AV69+AV68+AV67</f>
        <v>0</v>
      </c>
    </row>
    <row r="72" spans="1:48" x14ac:dyDescent="0.2">
      <c r="A72" s="2" t="s">
        <v>37</v>
      </c>
      <c r="J72">
        <f>J65+J70</f>
        <v>-24179</v>
      </c>
      <c r="K72">
        <f t="shared" ref="K72:Y72" si="117">K65+K70</f>
        <v>-25828</v>
      </c>
      <c r="L72">
        <f t="shared" si="117"/>
        <v>-28418</v>
      </c>
      <c r="M72">
        <f t="shared" si="117"/>
        <v>-27159</v>
      </c>
      <c r="N72">
        <f t="shared" si="117"/>
        <v>-23121</v>
      </c>
      <c r="O72">
        <f t="shared" si="117"/>
        <v>-25857</v>
      </c>
      <c r="P72">
        <f t="shared" si="117"/>
        <v>-19101</v>
      </c>
      <c r="Q72">
        <f t="shared" si="117"/>
        <v>-14429</v>
      </c>
      <c r="R72">
        <f t="shared" si="117"/>
        <v>-10137</v>
      </c>
      <c r="S72">
        <f t="shared" si="117"/>
        <v>-29577</v>
      </c>
      <c r="T72">
        <f t="shared" si="117"/>
        <v>-25245</v>
      </c>
      <c r="U72">
        <f t="shared" si="117"/>
        <v>-24080.3</v>
      </c>
      <c r="V72">
        <f t="shared" si="117"/>
        <v>-27525.4</v>
      </c>
      <c r="W72">
        <f t="shared" si="117"/>
        <v>-20618.400000000001</v>
      </c>
      <c r="X72">
        <f t="shared" si="117"/>
        <v>-27724.05</v>
      </c>
      <c r="Y72">
        <f t="shared" si="117"/>
        <v>-26341.989999999998</v>
      </c>
      <c r="AC72">
        <f t="shared" ref="AC72:AV72" si="118">AC65+AC70</f>
        <v>-45513</v>
      </c>
      <c r="AD72">
        <f t="shared" si="118"/>
        <v>-93961</v>
      </c>
      <c r="AE72">
        <f t="shared" si="118"/>
        <v>-105584</v>
      </c>
      <c r="AF72">
        <f t="shared" si="118"/>
        <v>-82508</v>
      </c>
      <c r="AG72" s="9">
        <f t="shared" si="118"/>
        <v>-89039.3</v>
      </c>
      <c r="AH72" s="9">
        <f t="shared" si="118"/>
        <v>-82651.813999999998</v>
      </c>
      <c r="AI72" s="9">
        <f t="shared" si="118"/>
        <v>-75745.493419999999</v>
      </c>
      <c r="AJ72" s="9">
        <f t="shared" si="118"/>
        <v>-68737.105022600008</v>
      </c>
      <c r="AK72" s="9">
        <f t="shared" si="118"/>
        <v>-6835.3505012779933</v>
      </c>
      <c r="AL72" s="9">
        <f t="shared" si="118"/>
        <v>55560.388995883652</v>
      </c>
      <c r="AM72" s="9">
        <f t="shared" si="118"/>
        <v>121706.02467832615</v>
      </c>
      <c r="AN72" s="9">
        <f t="shared" si="118"/>
        <v>147494.93499632363</v>
      </c>
      <c r="AO72" s="9">
        <f t="shared" si="118"/>
        <v>151919.78304621333</v>
      </c>
      <c r="AP72" s="9">
        <f t="shared" si="118"/>
        <v>126834.95663312949</v>
      </c>
      <c r="AQ72" s="9">
        <f t="shared" si="118"/>
        <v>103961.82741810023</v>
      </c>
      <c r="AR72" s="9">
        <f t="shared" si="118"/>
        <v>83070.322118022348</v>
      </c>
      <c r="AS72" s="9">
        <f t="shared" si="118"/>
        <v>63953.107671204256</v>
      </c>
      <c r="AT72" s="9">
        <f t="shared" si="118"/>
        <v>46423.309202017466</v>
      </c>
      <c r="AU72" s="9">
        <f t="shared" si="118"/>
        <v>30312.455948687362</v>
      </c>
      <c r="AV72" s="9">
        <f t="shared" si="118"/>
        <v>24163.412538748205</v>
      </c>
    </row>
    <row r="73" spans="1:48" x14ac:dyDescent="0.2">
      <c r="A73" s="2"/>
    </row>
    <row r="74" spans="1:48" x14ac:dyDescent="0.2">
      <c r="A74" t="s">
        <v>41</v>
      </c>
    </row>
    <row r="75" spans="1:48" x14ac:dyDescent="0.2">
      <c r="A75" t="s">
        <v>5</v>
      </c>
    </row>
    <row r="76" spans="1:48" x14ac:dyDescent="0.2">
      <c r="A76" t="s">
        <v>36</v>
      </c>
      <c r="J76" s="1">
        <v>-24179</v>
      </c>
      <c r="K76" s="1">
        <v>-25828</v>
      </c>
      <c r="L76" s="1">
        <v>-28418</v>
      </c>
      <c r="M76">
        <f t="shared" ref="M76" si="119">AE76-L76-K76-J76</f>
        <v>-27159</v>
      </c>
      <c r="N76" s="1">
        <v>-23121</v>
      </c>
      <c r="O76" s="1">
        <v>-25857</v>
      </c>
      <c r="P76" s="1">
        <v>-19101</v>
      </c>
      <c r="Q76">
        <f t="shared" ref="Q76" si="120">AF76-P76-O76-N76</f>
        <v>-14429</v>
      </c>
      <c r="R76" s="1">
        <v>-10137</v>
      </c>
      <c r="S76" s="1">
        <v>-29577</v>
      </c>
      <c r="U76" s="1"/>
      <c r="V76" s="1"/>
      <c r="W76" s="1"/>
      <c r="X76" s="1"/>
      <c r="Y76" s="1"/>
      <c r="Z76" s="1"/>
      <c r="AC76">
        <v>-45513</v>
      </c>
      <c r="AD76">
        <v>-93961</v>
      </c>
      <c r="AE76">
        <v>-105584</v>
      </c>
      <c r="AF76">
        <v>-82508</v>
      </c>
      <c r="AH76" s="8"/>
    </row>
    <row r="77" spans="1:48" s="2" customFormat="1" x14ac:dyDescent="0.2">
      <c r="A77" s="2" t="s">
        <v>6</v>
      </c>
      <c r="J77" s="2">
        <f>J72-J74</f>
        <v>-24179</v>
      </c>
      <c r="K77" s="2">
        <f t="shared" ref="K77:Y77" si="121">K72-K74</f>
        <v>-25828</v>
      </c>
      <c r="L77" s="2">
        <f t="shared" si="121"/>
        <v>-28418</v>
      </c>
      <c r="M77" s="2">
        <f t="shared" si="121"/>
        <v>-27159</v>
      </c>
      <c r="N77" s="2">
        <f t="shared" si="121"/>
        <v>-23121</v>
      </c>
      <c r="O77" s="2">
        <f t="shared" si="121"/>
        <v>-25857</v>
      </c>
      <c r="P77" s="2">
        <f t="shared" si="121"/>
        <v>-19101</v>
      </c>
      <c r="Q77" s="2">
        <f t="shared" si="121"/>
        <v>-14429</v>
      </c>
      <c r="R77" s="2">
        <f t="shared" si="121"/>
        <v>-10137</v>
      </c>
      <c r="S77" s="2">
        <f t="shared" si="121"/>
        <v>-29577</v>
      </c>
      <c r="T77" s="24">
        <f t="shared" si="121"/>
        <v>-25245</v>
      </c>
      <c r="U77" s="24">
        <f t="shared" si="121"/>
        <v>-24080.3</v>
      </c>
      <c r="V77" s="24">
        <f t="shared" si="121"/>
        <v>-27525.4</v>
      </c>
      <c r="W77" s="24">
        <f t="shared" si="121"/>
        <v>-20618.400000000001</v>
      </c>
      <c r="X77" s="24">
        <f t="shared" si="121"/>
        <v>-27724.05</v>
      </c>
      <c r="Y77" s="24">
        <f t="shared" si="121"/>
        <v>-26341.989999999998</v>
      </c>
      <c r="AC77" s="2">
        <f t="shared" ref="AC77:AV77" si="122">AC72-AC74</f>
        <v>-45513</v>
      </c>
      <c r="AD77" s="2">
        <f t="shared" si="122"/>
        <v>-93961</v>
      </c>
      <c r="AE77" s="2">
        <f t="shared" si="122"/>
        <v>-105584</v>
      </c>
      <c r="AF77" s="2">
        <f t="shared" si="122"/>
        <v>-82508</v>
      </c>
      <c r="AG77" s="24">
        <f t="shared" si="122"/>
        <v>-89039.3</v>
      </c>
      <c r="AH77" s="24">
        <f t="shared" si="122"/>
        <v>-82651.813999999998</v>
      </c>
      <c r="AI77" s="24">
        <f t="shared" si="122"/>
        <v>-75745.493419999999</v>
      </c>
      <c r="AJ77" s="24">
        <f t="shared" si="122"/>
        <v>-68737.105022600008</v>
      </c>
      <c r="AK77" s="24">
        <f t="shared" si="122"/>
        <v>-6835.3505012779933</v>
      </c>
      <c r="AL77" s="24">
        <f t="shared" si="122"/>
        <v>55560.388995883652</v>
      </c>
      <c r="AM77" s="24">
        <f t="shared" si="122"/>
        <v>121706.02467832615</v>
      </c>
      <c r="AN77" s="24">
        <f t="shared" si="122"/>
        <v>147494.93499632363</v>
      </c>
      <c r="AO77" s="24">
        <f t="shared" si="122"/>
        <v>151919.78304621333</v>
      </c>
      <c r="AP77" s="24">
        <f t="shared" si="122"/>
        <v>126834.95663312949</v>
      </c>
      <c r="AQ77" s="24">
        <f t="shared" si="122"/>
        <v>103961.82741810023</v>
      </c>
      <c r="AR77" s="24">
        <f t="shared" si="122"/>
        <v>83070.322118022348</v>
      </c>
      <c r="AS77" s="24">
        <f t="shared" si="122"/>
        <v>63953.107671204256</v>
      </c>
      <c r="AT77" s="24">
        <f t="shared" si="122"/>
        <v>46423.309202017466</v>
      </c>
      <c r="AU77" s="24">
        <f t="shared" si="122"/>
        <v>30312.455948687362</v>
      </c>
      <c r="AV77" s="24">
        <f t="shared" si="122"/>
        <v>24163.412538748205</v>
      </c>
    </row>
    <row r="78" spans="1:48" x14ac:dyDescent="0.2">
      <c r="A78" t="s">
        <v>10</v>
      </c>
      <c r="J78" t="b">
        <f>J77=J76</f>
        <v>1</v>
      </c>
      <c r="K78" t="b">
        <f t="shared" ref="K78:S78" si="123">K77=K76</f>
        <v>1</v>
      </c>
      <c r="L78" t="b">
        <f t="shared" si="123"/>
        <v>1</v>
      </c>
      <c r="M78" t="b">
        <f t="shared" si="123"/>
        <v>1</v>
      </c>
      <c r="N78" t="b">
        <f t="shared" si="123"/>
        <v>1</v>
      </c>
      <c r="O78" t="b">
        <f t="shared" si="123"/>
        <v>1</v>
      </c>
      <c r="P78" t="b">
        <f t="shared" si="123"/>
        <v>1</v>
      </c>
      <c r="Q78" t="b">
        <f t="shared" si="123"/>
        <v>1</v>
      </c>
      <c r="R78" t="b">
        <f t="shared" si="123"/>
        <v>1</v>
      </c>
      <c r="S78" t="b">
        <f t="shared" si="123"/>
        <v>1</v>
      </c>
      <c r="U78" s="1"/>
      <c r="V78" s="1"/>
      <c r="W78" s="1"/>
      <c r="X78" s="1"/>
      <c r="Y78" s="1"/>
      <c r="Z78" s="1"/>
      <c r="AC78" t="b">
        <f t="shared" ref="AC78" si="124">AC77=AC76</f>
        <v>1</v>
      </c>
      <c r="AD78" t="b">
        <f t="shared" ref="AD78" si="125">AD77=AD76</f>
        <v>1</v>
      </c>
      <c r="AE78" t="b">
        <f t="shared" ref="AE78" si="126">AE77=AE76</f>
        <v>1</v>
      </c>
      <c r="AF78" t="b">
        <f t="shared" ref="AF78" si="127">AF77=AF76</f>
        <v>1</v>
      </c>
    </row>
    <row r="79" spans="1:48" x14ac:dyDescent="0.2"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  <c r="Z79" s="1"/>
      <c r="AC79" s="1"/>
      <c r="AD79" s="1"/>
      <c r="AE79" s="1"/>
      <c r="AF79" s="1"/>
    </row>
    <row r="80" spans="1:48" x14ac:dyDescent="0.2">
      <c r="A80" t="s">
        <v>169</v>
      </c>
      <c r="J80" s="1">
        <v>24135735</v>
      </c>
      <c r="K80" s="1">
        <v>26082525</v>
      </c>
      <c r="L80" s="1">
        <v>26177079</v>
      </c>
      <c r="M80" s="1">
        <f>AE80*4-L80-K80-J80</f>
        <v>-76395236.607275993</v>
      </c>
      <c r="N80" s="1">
        <v>26215514</v>
      </c>
      <c r="O80" s="1">
        <v>26901069</v>
      </c>
      <c r="P80" s="1">
        <v>48000183</v>
      </c>
      <c r="Q80" s="1">
        <f>AF80*4-P80-O80-N80</f>
        <v>-101116614.698276</v>
      </c>
      <c r="R80" s="1">
        <v>56357983</v>
      </c>
      <c r="S80" s="1">
        <v>79041695</v>
      </c>
      <c r="U80" s="1"/>
      <c r="V80" s="1"/>
      <c r="W80" s="1"/>
      <c r="X80" s="1"/>
      <c r="Y80" s="1"/>
      <c r="Z80" s="1"/>
      <c r="AE80" s="25">
        <v>25.598181</v>
      </c>
      <c r="AF80" s="25">
        <v>37.825431000000002</v>
      </c>
    </row>
    <row r="83" spans="1:19" x14ac:dyDescent="0.2">
      <c r="A83" t="s">
        <v>52</v>
      </c>
    </row>
    <row r="84" spans="1:19" x14ac:dyDescent="0.2">
      <c r="A84" t="s">
        <v>53</v>
      </c>
    </row>
    <row r="89" spans="1:19" s="6" customFormat="1" x14ac:dyDescent="0.2">
      <c r="A89" s="6" t="s">
        <v>119</v>
      </c>
    </row>
    <row r="91" spans="1:19" x14ac:dyDescent="0.2">
      <c r="A91" t="s">
        <v>120</v>
      </c>
      <c r="Q91">
        <v>16657</v>
      </c>
      <c r="S91">
        <v>35616</v>
      </c>
    </row>
    <row r="92" spans="1:19" x14ac:dyDescent="0.2">
      <c r="A92" t="s">
        <v>121</v>
      </c>
      <c r="Q92">
        <v>13923</v>
      </c>
    </row>
    <row r="93" spans="1:19" x14ac:dyDescent="0.2">
      <c r="A93" t="s">
        <v>122</v>
      </c>
      <c r="Q93">
        <v>6728</v>
      </c>
      <c r="S93">
        <v>7205</v>
      </c>
    </row>
    <row r="94" spans="1:19" s="2" customFormat="1" x14ac:dyDescent="0.2">
      <c r="A94" s="2" t="s">
        <v>131</v>
      </c>
      <c r="Q94" s="2">
        <f>Q93+Q91+Q92</f>
        <v>37308</v>
      </c>
      <c r="S94" s="2">
        <f>S93+S91+S92</f>
        <v>42821</v>
      </c>
    </row>
    <row r="96" spans="1:19" x14ac:dyDescent="0.2">
      <c r="A96" t="s">
        <v>132</v>
      </c>
      <c r="Q96">
        <v>857</v>
      </c>
      <c r="S96">
        <v>628</v>
      </c>
    </row>
    <row r="97" spans="1:19" x14ac:dyDescent="0.2">
      <c r="A97" t="s">
        <v>133</v>
      </c>
      <c r="Q97">
        <v>198</v>
      </c>
      <c r="S97">
        <v>197</v>
      </c>
    </row>
    <row r="98" spans="1:19" x14ac:dyDescent="0.2">
      <c r="A98" t="s">
        <v>150</v>
      </c>
      <c r="Q98">
        <f>Q97+Q96</f>
        <v>1055</v>
      </c>
      <c r="S98">
        <f>S97+S96</f>
        <v>825</v>
      </c>
    </row>
    <row r="99" spans="1:19" s="2" customFormat="1" x14ac:dyDescent="0.2">
      <c r="A99" s="2" t="s">
        <v>134</v>
      </c>
      <c r="Q99" s="2">
        <f>Q97+Q96+Q94</f>
        <v>38363</v>
      </c>
      <c r="S99" s="2">
        <f>S97+S96+S94</f>
        <v>43646</v>
      </c>
    </row>
    <row r="101" spans="1:19" x14ac:dyDescent="0.2">
      <c r="A101" t="s">
        <v>135</v>
      </c>
      <c r="Q101">
        <v>477</v>
      </c>
      <c r="S101">
        <v>486</v>
      </c>
    </row>
    <row r="102" spans="1:19" x14ac:dyDescent="0.2">
      <c r="A102" t="s">
        <v>136</v>
      </c>
      <c r="Q102">
        <v>4534</v>
      </c>
      <c r="S102">
        <v>4687</v>
      </c>
    </row>
    <row r="103" spans="1:19" x14ac:dyDescent="0.2">
      <c r="A103" t="s">
        <v>137</v>
      </c>
      <c r="Q103">
        <v>14756</v>
      </c>
      <c r="S103">
        <v>16023</v>
      </c>
    </row>
    <row r="104" spans="1:19" x14ac:dyDescent="0.2">
      <c r="A104" t="s">
        <v>138</v>
      </c>
      <c r="Q104">
        <v>13657</v>
      </c>
      <c r="S104">
        <v>25992</v>
      </c>
    </row>
    <row r="105" spans="1:19" s="2" customFormat="1" x14ac:dyDescent="0.2">
      <c r="A105" s="2" t="s">
        <v>139</v>
      </c>
      <c r="Q105" s="2">
        <f>Q101+Q102+Q103+Q104</f>
        <v>33424</v>
      </c>
      <c r="S105" s="2">
        <f>S101+S102+S103+S104</f>
        <v>47188</v>
      </c>
    </row>
    <row r="107" spans="1:19" x14ac:dyDescent="0.2">
      <c r="A107" t="s">
        <v>140</v>
      </c>
      <c r="Q107">
        <v>414</v>
      </c>
      <c r="S107">
        <v>170</v>
      </c>
    </row>
    <row r="108" spans="1:19" x14ac:dyDescent="0.2">
      <c r="A108" t="s">
        <v>141</v>
      </c>
      <c r="Q108">
        <v>464</v>
      </c>
      <c r="S108">
        <v>622</v>
      </c>
    </row>
    <row r="109" spans="1:19" x14ac:dyDescent="0.2">
      <c r="A109" t="s">
        <v>142</v>
      </c>
      <c r="Q109">
        <f>Q108+Q107</f>
        <v>878</v>
      </c>
      <c r="S109">
        <f>S108+S107</f>
        <v>792</v>
      </c>
    </row>
    <row r="110" spans="1:19" s="2" customFormat="1" x14ac:dyDescent="0.2">
      <c r="A110" s="2" t="s">
        <v>143</v>
      </c>
      <c r="Q110" s="2">
        <f>Q109+Q105</f>
        <v>34302</v>
      </c>
      <c r="S110" s="2">
        <f>S109+S105</f>
        <v>47980</v>
      </c>
    </row>
    <row r="112" spans="1:19" x14ac:dyDescent="0.2">
      <c r="A112" t="s">
        <v>145</v>
      </c>
      <c r="Q112">
        <v>5</v>
      </c>
      <c r="S112">
        <v>6</v>
      </c>
    </row>
    <row r="113" spans="1:19" x14ac:dyDescent="0.2">
      <c r="A113" t="s">
        <v>144</v>
      </c>
    </row>
    <row r="114" spans="1:19" x14ac:dyDescent="0.2">
      <c r="A114" t="s">
        <v>151</v>
      </c>
      <c r="Q114">
        <v>352828</v>
      </c>
      <c r="S114">
        <v>384197</v>
      </c>
    </row>
    <row r="115" spans="1:19" x14ac:dyDescent="0.2">
      <c r="A115" t="s">
        <v>146</v>
      </c>
      <c r="Q115">
        <v>51</v>
      </c>
    </row>
    <row r="116" spans="1:19" x14ac:dyDescent="0.2">
      <c r="A116" t="s">
        <v>147</v>
      </c>
      <c r="Q116">
        <v>-348823</v>
      </c>
      <c r="S116">
        <v>-388537</v>
      </c>
    </row>
    <row r="117" spans="1:19" s="2" customFormat="1" x14ac:dyDescent="0.2">
      <c r="A117" s="2" t="s">
        <v>148</v>
      </c>
      <c r="Q117" s="2">
        <f>Q116+Q115+Q114+Q113+Q112</f>
        <v>4061</v>
      </c>
      <c r="S117" s="2">
        <f>S116+S115+S114+S113+S112</f>
        <v>-4334</v>
      </c>
    </row>
    <row r="119" spans="1:19" s="2" customFormat="1" x14ac:dyDescent="0.2">
      <c r="A119" s="2" t="s">
        <v>149</v>
      </c>
      <c r="Q119" s="2">
        <f>Q117+Q110</f>
        <v>38363</v>
      </c>
      <c r="S119" s="2">
        <f>S117+S110</f>
        <v>43646</v>
      </c>
    </row>
    <row r="120" spans="1:19" x14ac:dyDescent="0.2">
      <c r="A120" t="s">
        <v>10</v>
      </c>
      <c r="Q120" t="b">
        <f>Q119=Q99</f>
        <v>1</v>
      </c>
      <c r="S120" t="b">
        <f>S119=S99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C30" sqref="C30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55</v>
      </c>
      <c r="G10" s="16" t="s">
        <v>73</v>
      </c>
      <c r="H10" s="16" t="s">
        <v>114</v>
      </c>
      <c r="I10" s="16" t="s">
        <v>115</v>
      </c>
      <c r="J10" s="16" t="s">
        <v>116</v>
      </c>
      <c r="K10" s="16" t="s">
        <v>58</v>
      </c>
      <c r="L10" s="16" t="s">
        <v>59</v>
      </c>
      <c r="M10" s="16" t="s">
        <v>60</v>
      </c>
      <c r="N10" s="16" t="s">
        <v>61</v>
      </c>
      <c r="O10" s="16" t="s">
        <v>103</v>
      </c>
      <c r="P10" s="16" t="s">
        <v>104</v>
      </c>
      <c r="Q10" s="16" t="s">
        <v>105</v>
      </c>
      <c r="R10" s="16" t="s">
        <v>106</v>
      </c>
      <c r="S10" s="16" t="s">
        <v>107</v>
      </c>
      <c r="T10" s="16" t="s">
        <v>108</v>
      </c>
      <c r="U10" s="16" t="s">
        <v>109</v>
      </c>
      <c r="V10" s="16" t="s">
        <v>110</v>
      </c>
      <c r="W10" s="16" t="s">
        <v>111</v>
      </c>
      <c r="X10" s="16" t="s">
        <v>112</v>
      </c>
    </row>
    <row r="11" spans="2:24" x14ac:dyDescent="0.2">
      <c r="B11" s="33" t="s">
        <v>154</v>
      </c>
      <c r="C11" s="33"/>
      <c r="E11" s="47" t="s">
        <v>183</v>
      </c>
      <c r="F11" s="35">
        <f>VLOOKUP($E11,Model!$A$1:$BR$159,MATCH(Valuation!F$10,Model!$A$3:$BR$3,0),FALSE)</f>
        <v>405</v>
      </c>
      <c r="G11" s="35">
        <f>VLOOKUP($E11,Model!$A$1:$BR$159,MATCH(Valuation!G$10,Model!$A$3:$BR$3,0),FALSE)</f>
        <v>1215</v>
      </c>
      <c r="H11" s="35">
        <f>VLOOKUP($E11,Model!$A$1:$BR$159,MATCH(Valuation!H$10,Model!$A$3:$BR$3,0),FALSE)</f>
        <v>2025</v>
      </c>
      <c r="I11" s="35">
        <f>VLOOKUP($E11,Model!$A$1:$BR$159,MATCH(Valuation!I$10,Model!$A$3:$BR$3,0),FALSE)</f>
        <v>2835</v>
      </c>
      <c r="J11" s="35">
        <f>VLOOKUP($E11,Model!$A$1:$BR$159,MATCH(Valuation!J$10,Model!$A$3:$BR$3,0),FALSE)</f>
        <v>3240</v>
      </c>
      <c r="K11" s="35">
        <f>VLOOKUP($E11,Model!$A$1:$BR$159,MATCH(Valuation!K$10,Model!$A$3:$BR$3,0),FALSE)</f>
        <v>20023.2</v>
      </c>
      <c r="L11" s="35">
        <f>VLOOKUP($E11,Model!$A$1:$BR$159,MATCH(Valuation!L$10,Model!$A$3:$BR$3,0),FALSE)</f>
        <v>30935.844000000005</v>
      </c>
      <c r="M11" s="35">
        <f>VLOOKUP($E11,Model!$A$1:$BR$159,MATCH(Valuation!M$10,Model!$A$3:$BR$3,0),FALSE)</f>
        <v>102934.88340000002</v>
      </c>
      <c r="N11" s="35">
        <f>VLOOKUP($E11,Model!$A$1:$BR$159,MATCH(Valuation!N$10,Model!$A$3:$BR$3,0),FALSE)</f>
        <v>175579.37436000002</v>
      </c>
      <c r="O11" s="35">
        <f>VLOOKUP($E11,Model!$A$1:$BR$159,MATCH(Valuation!O$10,Model!$A$3:$BR$3,0),FALSE)</f>
        <v>252489.89338254</v>
      </c>
      <c r="P11" s="35">
        <f>VLOOKUP($E11,Model!$A$1:$BR$159,MATCH(Valuation!P$10,Model!$A$3:$BR$3,0),FALSE)</f>
        <v>284662.06749251363</v>
      </c>
      <c r="Q11" s="35">
        <f>VLOOKUP($E11,Model!$A$1:$BR$159,MATCH(Valuation!Q$10,Model!$A$3:$BR$3,0),FALSE)</f>
        <v>293201.92951728904</v>
      </c>
      <c r="R11" s="35">
        <f>VLOOKUP($E11,Model!$A$1:$BR$159,MATCH(Valuation!R$10,Model!$A$3:$BR$3,0),FALSE)</f>
        <v>269061.96528672968</v>
      </c>
      <c r="S11" s="35">
        <f>VLOOKUP($E11,Model!$A$1:$BR$159,MATCH(Valuation!S$10,Model!$A$3:$BR$3,0),FALSE)</f>
        <v>247491.40434086142</v>
      </c>
      <c r="T11" s="35">
        <f>VLOOKUP($E11,Model!$A$1:$BR$159,MATCH(Valuation!T$10,Model!$A$3:$BR$3,0),FALSE)</f>
        <v>228237.96855706404</v>
      </c>
      <c r="U11" s="35">
        <f>VLOOKUP($E11,Model!$A$1:$BR$159,MATCH(Valuation!U$10,Model!$A$3:$BR$3,0),FALSE)</f>
        <v>211074.74749115511</v>
      </c>
      <c r="V11" s="35">
        <f>VLOOKUP($E11,Model!$A$1:$BR$159,MATCH(Valuation!V$10,Model!$A$3:$BR$3,0),FALSE)</f>
        <v>195797.66580553097</v>
      </c>
      <c r="W11" s="35">
        <f>VLOOKUP($E11,Model!$A$1:$BR$159,MATCH(Valuation!W$10,Model!$A$3:$BR$3,0),FALSE)</f>
        <v>182223.20408037398</v>
      </c>
      <c r="X11" s="36">
        <f>VLOOKUP($E11,Model!$A$1:$BR$159,MATCH(Valuation!X$10,Model!$A$3:$BR$3,0),FALSE)</f>
        <v>145682.39413074174</v>
      </c>
    </row>
    <row r="12" spans="2:24" x14ac:dyDescent="0.2">
      <c r="B12" s="27" t="s">
        <v>155</v>
      </c>
      <c r="C12" s="28">
        <v>2.8</v>
      </c>
      <c r="E12" s="27" t="s">
        <v>153</v>
      </c>
      <c r="F12" s="37">
        <f>VLOOKUP($E12,Model!$A$1:$BR$159,MATCH(Valuation!F$10,Model!$A$3:$BR$3,0),FALSE)</f>
        <v>364.5</v>
      </c>
      <c r="G12" s="37">
        <f>VLOOKUP($E12,Model!$A$1:$BR$159,MATCH(Valuation!G$10,Model!$A$3:$BR$3,0),FALSE)</f>
        <v>1093.5</v>
      </c>
      <c r="H12" s="37">
        <f>VLOOKUP($E12,Model!$A$1:$BR$159,MATCH(Valuation!H$10,Model!$A$3:$BR$3,0),FALSE)</f>
        <v>1822.5</v>
      </c>
      <c r="I12" s="37">
        <f>VLOOKUP($E12,Model!$A$1:$BR$159,MATCH(Valuation!I$10,Model!$A$3:$BR$3,0),FALSE)</f>
        <v>2551.5</v>
      </c>
      <c r="J12" s="37">
        <f>VLOOKUP($E12,Model!$A$1:$BR$159,MATCH(Valuation!J$10,Model!$A$3:$BR$3,0),FALSE)</f>
        <v>2916</v>
      </c>
      <c r="K12" s="37">
        <f>VLOOKUP($E12,Model!$A$1:$BR$159,MATCH(Valuation!K$10,Model!$A$3:$BR$3,0),FALSE)</f>
        <v>18020.88</v>
      </c>
      <c r="L12" s="37">
        <f>VLOOKUP($E12,Model!$A$1:$BR$159,MATCH(Valuation!L$10,Model!$A$3:$BR$3,0),FALSE)</f>
        <v>27842.259600000005</v>
      </c>
      <c r="M12" s="37">
        <f>VLOOKUP($E12,Model!$A$1:$BR$159,MATCH(Valuation!M$10,Model!$A$3:$BR$3,0),FALSE)</f>
        <v>92641.395060000024</v>
      </c>
      <c r="N12" s="37">
        <f>VLOOKUP($E12,Model!$A$1:$BR$159,MATCH(Valuation!N$10,Model!$A$3:$BR$3,0),FALSE)</f>
        <v>158021.43692400001</v>
      </c>
      <c r="O12" s="37">
        <f>VLOOKUP($E12,Model!$A$1:$BR$159,MATCH(Valuation!O$10,Model!$A$3:$BR$3,0),FALSE)</f>
        <v>227240.904044286</v>
      </c>
      <c r="P12" s="37">
        <f>VLOOKUP($E12,Model!$A$1:$BR$159,MATCH(Valuation!P$10,Model!$A$3:$BR$3,0),FALSE)</f>
        <v>256195.86074326228</v>
      </c>
      <c r="Q12" s="37">
        <f>VLOOKUP($E12,Model!$A$1:$BR$159,MATCH(Valuation!Q$10,Model!$A$3:$BR$3,0),FALSE)</f>
        <v>263881.73656556016</v>
      </c>
      <c r="R12" s="37">
        <f>VLOOKUP($E12,Model!$A$1:$BR$159,MATCH(Valuation!R$10,Model!$A$3:$BR$3,0),FALSE)</f>
        <v>242155.76875805671</v>
      </c>
      <c r="S12" s="37">
        <f>VLOOKUP($E12,Model!$A$1:$BR$159,MATCH(Valuation!S$10,Model!$A$3:$BR$3,0),FALSE)</f>
        <v>222742.26390677528</v>
      </c>
      <c r="T12" s="37">
        <f>VLOOKUP($E12,Model!$A$1:$BR$159,MATCH(Valuation!T$10,Model!$A$3:$BR$3,0),FALSE)</f>
        <v>205414.17170135764</v>
      </c>
      <c r="U12" s="37">
        <f>VLOOKUP($E12,Model!$A$1:$BR$159,MATCH(Valuation!U$10,Model!$A$3:$BR$3,0),FALSE)</f>
        <v>189967.27274203961</v>
      </c>
      <c r="V12" s="37">
        <f>VLOOKUP($E12,Model!$A$1:$BR$159,MATCH(Valuation!V$10,Model!$A$3:$BR$3,0),FALSE)</f>
        <v>176217.89922497788</v>
      </c>
      <c r="W12" s="37">
        <f>VLOOKUP($E12,Model!$A$1:$BR$159,MATCH(Valuation!W$10,Model!$A$3:$BR$3,0),FALSE)</f>
        <v>164000.88367233658</v>
      </c>
      <c r="X12" s="37">
        <f>VLOOKUP($E12,Model!$A$1:$BR$159,MATCH(Valuation!X$10,Model!$A$3:$BR$3,0),FALSE)</f>
        <v>131114.15471766758</v>
      </c>
    </row>
    <row r="13" spans="2:24" x14ac:dyDescent="0.2">
      <c r="B13" s="27" t="s">
        <v>156</v>
      </c>
      <c r="C13" s="30">
        <v>63.12</v>
      </c>
      <c r="E13" s="27" t="s">
        <v>0</v>
      </c>
      <c r="F13" s="37">
        <f>VLOOKUP($E13,Model!$A$1:$BR$159,MATCH(Valuation!F$10,Model!$A$3:$BR$3,0),FALSE)</f>
        <v>16889.25</v>
      </c>
      <c r="G13" s="37">
        <f>VLOOKUP($E13,Model!$A$1:$BR$159,MATCH(Valuation!G$10,Model!$A$3:$BR$3,0),FALSE)</f>
        <v>22620.9</v>
      </c>
      <c r="H13" s="37">
        <f>VLOOKUP($E13,Model!$A$1:$BR$159,MATCH(Valuation!H$10,Model!$A$3:$BR$3,0),FALSE)</f>
        <v>16666.650000000001</v>
      </c>
      <c r="I13" s="37">
        <f>VLOOKUP($E13,Model!$A$1:$BR$159,MATCH(Valuation!I$10,Model!$A$3:$BR$3,0),FALSE)</f>
        <v>22483.237499999999</v>
      </c>
      <c r="J13" s="37">
        <f>VLOOKUP($E13,Model!$A$1:$BR$159,MATCH(Valuation!J$10,Model!$A$3:$BR$3,0),FALSE)</f>
        <v>20661.5625</v>
      </c>
      <c r="K13" s="37">
        <f>VLOOKUP($E13,Model!$A$1:$BR$159,MATCH(Valuation!K$10,Model!$A$3:$BR$3,0),FALSE)</f>
        <v>79520.500499999995</v>
      </c>
      <c r="L13" s="37">
        <f>VLOOKUP($E13,Model!$A$1:$BR$159,MATCH(Valuation!L$10,Model!$A$3:$BR$3,0),FALSE)</f>
        <v>76790.536515</v>
      </c>
      <c r="M13" s="37">
        <f>VLOOKUP($E13,Model!$A$1:$BR$159,MATCH(Valuation!M$10,Model!$A$3:$BR$3,0),FALSE)</f>
        <v>74234.452560449994</v>
      </c>
      <c r="N13" s="37">
        <f>VLOOKUP($E13,Model!$A$1:$BR$159,MATCH(Valuation!N$10,Model!$A$3:$BR$3,0),FALSE)</f>
        <v>71844.676089763496</v>
      </c>
      <c r="O13" s="37">
        <f>VLOOKUP($E13,Model!$A$1:$BR$159,MATCH(Valuation!O$10,Model!$A$3:$BR$3,0),FALSE)</f>
        <v>69614.046827331389</v>
      </c>
      <c r="P13" s="37">
        <f>VLOOKUP($E13,Model!$A$1:$BR$159,MATCH(Valuation!P$10,Model!$A$3:$BR$3,0),FALSE)</f>
        <v>67535.797164282587</v>
      </c>
      <c r="Q13" s="37">
        <f>VLOOKUP($E13,Model!$A$1:$BR$159,MATCH(Valuation!Q$10,Model!$A$3:$BR$3,0),FALSE)</f>
        <v>65603.533564735757</v>
      </c>
      <c r="R13" s="37">
        <f>VLOOKUP($E13,Model!$A$1:$BR$159,MATCH(Valuation!R$10,Model!$A$3:$BR$3,0),FALSE)</f>
        <v>66161.48183214599</v>
      </c>
      <c r="S13" s="37">
        <f>VLOOKUP($E13,Model!$A$1:$BR$159,MATCH(Valuation!S$10,Model!$A$3:$BR$3,0),FALSE)</f>
        <v>66736.168547578534</v>
      </c>
      <c r="T13" s="37">
        <f>VLOOKUP($E13,Model!$A$1:$BR$159,MATCH(Valuation!T$10,Model!$A$3:$BR$3,0),FALSE)</f>
        <v>67328.095864474075</v>
      </c>
      <c r="U13" s="37">
        <f>VLOOKUP($E13,Model!$A$1:$BR$159,MATCH(Valuation!U$10,Model!$A$3:$BR$3,0),FALSE)</f>
        <v>67937.781000876465</v>
      </c>
      <c r="V13" s="37">
        <f>VLOOKUP($E13,Model!$A$1:$BR$159,MATCH(Valuation!V$10,Model!$A$3:$BR$3,0),FALSE)</f>
        <v>68565.756691370931</v>
      </c>
      <c r="W13" s="37">
        <f>VLOOKUP($E13,Model!$A$1:$BR$159,MATCH(Valuation!W$10,Model!$A$3:$BR$3,0),FALSE)</f>
        <v>69212.571652580227</v>
      </c>
      <c r="X13" s="37">
        <f>VLOOKUP($E13,Model!$A$1:$BR$159,MATCH(Valuation!X$10,Model!$A$3:$BR$3,0),FALSE)</f>
        <v>69878.791062625794</v>
      </c>
    </row>
    <row r="14" spans="2:24" x14ac:dyDescent="0.2">
      <c r="B14" s="27" t="s">
        <v>157</v>
      </c>
      <c r="C14" s="30">
        <f>C12*C13</f>
        <v>176.73599999999999</v>
      </c>
      <c r="E14" s="11" t="s">
        <v>1</v>
      </c>
      <c r="F14" s="37">
        <f>VLOOKUP($E14,Model!$A$1:$BR$159,MATCH(Valuation!F$10,Model!$A$3:$BR$3,0),FALSE)</f>
        <v>7555.5499999999993</v>
      </c>
      <c r="G14" s="37">
        <f>VLOOKUP($E14,Model!$A$1:$BR$159,MATCH(Valuation!G$10,Model!$A$3:$BR$3,0),FALSE)</f>
        <v>5998.0000000000009</v>
      </c>
      <c r="H14" s="37">
        <f>VLOOKUP($E14,Model!$A$1:$BR$159,MATCH(Valuation!H$10,Model!$A$3:$BR$3,0),FALSE)</f>
        <v>5774.25</v>
      </c>
      <c r="I14" s="37">
        <f>VLOOKUP($E14,Model!$A$1:$BR$159,MATCH(Valuation!I$10,Model!$A$3:$BR$3,0),FALSE)</f>
        <v>7792.3125000000009</v>
      </c>
      <c r="J14" s="37">
        <f>VLOOKUP($E14,Model!$A$1:$BR$159,MATCH(Valuation!J$10,Model!$A$3:$BR$3,0),FALSE)</f>
        <v>8596.4274999999998</v>
      </c>
      <c r="K14" s="37">
        <f>VLOOKUP($E14,Model!$A$1:$BR$159,MATCH(Valuation!K$10,Model!$A$3:$BR$3,0),FALSE)</f>
        <v>29005.819700000004</v>
      </c>
      <c r="L14" s="37">
        <f>VLOOKUP($E14,Model!$A$1:$BR$159,MATCH(Valuation!L$10,Model!$A$3:$BR$3,0),FALSE)</f>
        <v>29875.994291000003</v>
      </c>
      <c r="M14" s="37">
        <f>VLOOKUP($E14,Model!$A$1:$BR$159,MATCH(Valuation!M$10,Model!$A$3:$BR$3,0),FALSE)</f>
        <v>30772.274119730002</v>
      </c>
      <c r="N14" s="37">
        <f>VLOOKUP($E14,Model!$A$1:$BR$159,MATCH(Valuation!N$10,Model!$A$3:$BR$3,0),FALSE)</f>
        <v>31695.442343321905</v>
      </c>
      <c r="O14" s="37">
        <f>VLOOKUP($E14,Model!$A$1:$BR$159,MATCH(Valuation!O$10,Model!$A$3:$BR$3,0),FALSE)</f>
        <v>32646.30561362156</v>
      </c>
      <c r="P14" s="37">
        <f>VLOOKUP($E14,Model!$A$1:$BR$159,MATCH(Valuation!P$10,Model!$A$3:$BR$3,0),FALSE)</f>
        <v>33625.694782030208</v>
      </c>
      <c r="Q14" s="37">
        <f>VLOOKUP($E14,Model!$A$1:$BR$159,MATCH(Valuation!Q$10,Model!$A$3:$BR$3,0),FALSE)</f>
        <v>34634.465625491117</v>
      </c>
      <c r="R14" s="37">
        <f>VLOOKUP($E14,Model!$A$1:$BR$159,MATCH(Valuation!R$10,Model!$A$3:$BR$3,0),FALSE)</f>
        <v>35673.499594255853</v>
      </c>
      <c r="S14" s="37">
        <f>VLOOKUP($E14,Model!$A$1:$BR$159,MATCH(Valuation!S$10,Model!$A$3:$BR$3,0),FALSE)</f>
        <v>36743.704582083526</v>
      </c>
      <c r="T14" s="37">
        <f>VLOOKUP($E14,Model!$A$1:$BR$159,MATCH(Valuation!T$10,Model!$A$3:$BR$3,0),FALSE)</f>
        <v>37846.015719546034</v>
      </c>
      <c r="U14" s="37">
        <f>VLOOKUP($E14,Model!$A$1:$BR$159,MATCH(Valuation!U$10,Model!$A$3:$BR$3,0),FALSE)</f>
        <v>38981.396191132422</v>
      </c>
      <c r="V14" s="37">
        <f>VLOOKUP($E14,Model!$A$1:$BR$159,MATCH(Valuation!V$10,Model!$A$3:$BR$3,0),FALSE)</f>
        <v>40150.838076866392</v>
      </c>
      <c r="W14" s="37">
        <f>VLOOKUP($E14,Model!$A$1:$BR$159,MATCH(Valuation!W$10,Model!$A$3:$BR$3,0),FALSE)</f>
        <v>41355.363219172388</v>
      </c>
      <c r="X14" s="37">
        <f>VLOOKUP($E14,Model!$A$1:$BR$159,MATCH(Valuation!X$10,Model!$A$3:$BR$3,0),FALSE)</f>
        <v>42596.024115747561</v>
      </c>
    </row>
    <row r="15" spans="2:24" x14ac:dyDescent="0.2">
      <c r="B15" s="27" t="s">
        <v>158</v>
      </c>
      <c r="C15" s="29"/>
      <c r="E15" s="60" t="s">
        <v>40</v>
      </c>
      <c r="F15" s="35">
        <f>VLOOKUP($E15,Model!$A$1:$BR$159,MATCH(Valuation!F$10,Model!$A$3:$BR$3,0),FALSE)</f>
        <v>-24080.3</v>
      </c>
      <c r="G15" s="35">
        <f>VLOOKUP($E15,Model!$A$1:$BR$159,MATCH(Valuation!G$10,Model!$A$3:$BR$3,0),FALSE)</f>
        <v>-27525.4</v>
      </c>
      <c r="H15" s="35">
        <f>VLOOKUP($E15,Model!$A$1:$BR$159,MATCH(Valuation!H$10,Model!$A$3:$BR$3,0),FALSE)</f>
        <v>-20618.400000000001</v>
      </c>
      <c r="I15" s="35">
        <f>VLOOKUP($E15,Model!$A$1:$BR$159,MATCH(Valuation!I$10,Model!$A$3:$BR$3,0),FALSE)</f>
        <v>-27724.05</v>
      </c>
      <c r="J15" s="35">
        <f>VLOOKUP($E15,Model!$A$1:$BR$159,MATCH(Valuation!J$10,Model!$A$3:$BR$3,0),FALSE)</f>
        <v>-26341.989999999998</v>
      </c>
      <c r="K15" s="35">
        <f>VLOOKUP($E15,Model!$A$1:$BR$159,MATCH(Valuation!K$10,Model!$A$3:$BR$3,0),FALSE)</f>
        <v>-75745.493419999999</v>
      </c>
      <c r="L15" s="35">
        <f>VLOOKUP($E15,Model!$A$1:$BR$159,MATCH(Valuation!L$10,Model!$A$3:$BR$3,0),FALSE)</f>
        <v>-68737.105022600008</v>
      </c>
      <c r="M15" s="35">
        <f>VLOOKUP($E15,Model!$A$1:$BR$159,MATCH(Valuation!M$10,Model!$A$3:$BR$3,0),FALSE)</f>
        <v>-6835.3505012779933</v>
      </c>
      <c r="N15" s="35">
        <f>VLOOKUP($E15,Model!$A$1:$BR$159,MATCH(Valuation!N$10,Model!$A$3:$BR$3,0),FALSE)</f>
        <v>55560.388995883652</v>
      </c>
      <c r="O15" s="35">
        <f>VLOOKUP($E15,Model!$A$1:$BR$159,MATCH(Valuation!O$10,Model!$A$3:$BR$3,0),FALSE)</f>
        <v>121706.02467832615</v>
      </c>
      <c r="P15" s="35">
        <f>VLOOKUP($E15,Model!$A$1:$BR$159,MATCH(Valuation!P$10,Model!$A$3:$BR$3,0),FALSE)</f>
        <v>147494.93499632363</v>
      </c>
      <c r="Q15" s="35">
        <f>VLOOKUP($E15,Model!$A$1:$BR$159,MATCH(Valuation!Q$10,Model!$A$3:$BR$3,0),FALSE)</f>
        <v>151919.78304621333</v>
      </c>
      <c r="R15" s="35">
        <f>VLOOKUP($E15,Model!$A$1:$BR$159,MATCH(Valuation!R$10,Model!$A$3:$BR$3,0),FALSE)</f>
        <v>126834.95663312949</v>
      </c>
      <c r="S15" s="35">
        <f>VLOOKUP($E15,Model!$A$1:$BR$159,MATCH(Valuation!S$10,Model!$A$3:$BR$3,0),FALSE)</f>
        <v>103961.82741810023</v>
      </c>
      <c r="T15" s="35">
        <f>VLOOKUP($E15,Model!$A$1:$BR$159,MATCH(Valuation!T$10,Model!$A$3:$BR$3,0),FALSE)</f>
        <v>83070.322118022348</v>
      </c>
      <c r="U15" s="35">
        <f>VLOOKUP($E15,Model!$A$1:$BR$159,MATCH(Valuation!U$10,Model!$A$3:$BR$3,0),FALSE)</f>
        <v>63953.107671204256</v>
      </c>
      <c r="V15" s="35">
        <f>VLOOKUP($E15,Model!$A$1:$BR$159,MATCH(Valuation!V$10,Model!$A$3:$BR$3,0),FALSE)</f>
        <v>46423.309202017466</v>
      </c>
      <c r="W15" s="35">
        <f>VLOOKUP($E15,Model!$A$1:$BR$159,MATCH(Valuation!W$10,Model!$A$3:$BR$3,0),FALSE)</f>
        <v>30312.455948687362</v>
      </c>
      <c r="X15" s="36">
        <f>VLOOKUP($E15,Model!$A$1:$BR$159,MATCH(Valuation!X$10,Model!$A$3:$BR$3,0),FALSE)</f>
        <v>24163.412538748205</v>
      </c>
    </row>
    <row r="16" spans="2:24" x14ac:dyDescent="0.2">
      <c r="B16" s="27" t="s">
        <v>159</v>
      </c>
      <c r="C16" s="30">
        <f>Model!S104/1000</f>
        <v>25.992000000000001</v>
      </c>
      <c r="E16" s="11" t="s">
        <v>4</v>
      </c>
      <c r="F16" s="37">
        <f>VLOOKUP($E16,Model!$A$1:$BR$159,MATCH(Valuation!F$10,Model!$A$3:$BR$3,0),FALSE)</f>
        <v>0</v>
      </c>
      <c r="G16" s="37">
        <f>VLOOKUP($E16,Model!$A$1:$BR$159,MATCH(Valuation!G$10,Model!$A$3:$BR$3,0),FALSE)</f>
        <v>0</v>
      </c>
      <c r="H16" s="37">
        <f>VLOOKUP($E16,Model!$A$1:$BR$159,MATCH(Valuation!H$10,Model!$A$3:$BR$3,0),FALSE)</f>
        <v>0</v>
      </c>
      <c r="I16" s="37">
        <f>VLOOKUP($E16,Model!$A$1:$BR$159,MATCH(Valuation!I$10,Model!$A$3:$BR$3,0),FALSE)</f>
        <v>0</v>
      </c>
      <c r="J16" s="37">
        <f>VLOOKUP($E16,Model!$A$1:$BR$159,MATCH(Valuation!J$10,Model!$A$3:$BR$3,0),FALSE)</f>
        <v>0</v>
      </c>
      <c r="K16" s="37">
        <f>VLOOKUP($E16,Model!$A$1:$BR$159,MATCH(Valuation!K$10,Model!$A$3:$BR$3,0),FALSE)</f>
        <v>0</v>
      </c>
      <c r="L16" s="37">
        <f>VLOOKUP($E16,Model!$A$1:$BR$159,MATCH(Valuation!L$10,Model!$A$3:$BR$3,0),FALSE)</f>
        <v>0</v>
      </c>
      <c r="M16" s="37">
        <f>VLOOKUP($E16,Model!$A$1:$BR$159,MATCH(Valuation!M$10,Model!$A$3:$BR$3,0),FALSE)</f>
        <v>0</v>
      </c>
      <c r="N16" s="37">
        <f>VLOOKUP($E16,Model!$A$1:$BR$159,MATCH(Valuation!N$10,Model!$A$3:$BR$3,0),FALSE)</f>
        <v>0</v>
      </c>
      <c r="O16" s="37">
        <f>VLOOKUP($E16,Model!$A$1:$BR$159,MATCH(Valuation!O$10,Model!$A$3:$BR$3,0),FALSE)</f>
        <v>0</v>
      </c>
      <c r="P16" s="37">
        <f>VLOOKUP($E16,Model!$A$1:$BR$159,MATCH(Valuation!P$10,Model!$A$3:$BR$3,0),FALSE)</f>
        <v>0</v>
      </c>
      <c r="Q16" s="37">
        <f>VLOOKUP($E16,Model!$A$1:$BR$159,MATCH(Valuation!Q$10,Model!$A$3:$BR$3,0),FALSE)</f>
        <v>0</v>
      </c>
      <c r="R16" s="37">
        <f>VLOOKUP($E16,Model!$A$1:$BR$159,MATCH(Valuation!R$10,Model!$A$3:$BR$3,0),FALSE)</f>
        <v>0</v>
      </c>
      <c r="S16" s="37">
        <f>VLOOKUP($E16,Model!$A$1:$BR$159,MATCH(Valuation!S$10,Model!$A$3:$BR$3,0),FALSE)</f>
        <v>0</v>
      </c>
      <c r="T16" s="37">
        <f>VLOOKUP($E16,Model!$A$1:$BR$159,MATCH(Valuation!T$10,Model!$A$3:$BR$3,0),FALSE)</f>
        <v>0</v>
      </c>
      <c r="U16" s="37">
        <f>VLOOKUP($E16,Model!$A$1:$BR$159,MATCH(Valuation!U$10,Model!$A$3:$BR$3,0),FALSE)</f>
        <v>0</v>
      </c>
      <c r="V16" s="37">
        <f>VLOOKUP($E16,Model!$A$1:$BR$159,MATCH(Valuation!V$10,Model!$A$3:$BR$3,0),FALSE)</f>
        <v>0</v>
      </c>
      <c r="W16" s="37">
        <f>VLOOKUP($E16,Model!$A$1:$BR$159,MATCH(Valuation!W$10,Model!$A$3:$BR$3,0),FALSE)</f>
        <v>0</v>
      </c>
      <c r="X16" s="37">
        <f>VLOOKUP($E16,Model!$A$1:$BR$159,MATCH(Valuation!X$10,Model!$A$3:$BR$3,0),FALSE)</f>
        <v>0</v>
      </c>
    </row>
    <row r="17" spans="2:24" x14ac:dyDescent="0.2">
      <c r="B17" s="27" t="s">
        <v>160</v>
      </c>
      <c r="C17" s="30">
        <f>Model!S91/1000</f>
        <v>35.616</v>
      </c>
      <c r="E17" s="60" t="s">
        <v>37</v>
      </c>
      <c r="F17" s="35">
        <f>VLOOKUP($E17,Model!$A$1:$BR$159,MATCH(Valuation!F$10,Model!$A$3:$BR$3,0),FALSE)</f>
        <v>-24080.3</v>
      </c>
      <c r="G17" s="35">
        <f>VLOOKUP($E17,Model!$A$1:$BR$159,MATCH(Valuation!G$10,Model!$A$3:$BR$3,0),FALSE)</f>
        <v>-27525.4</v>
      </c>
      <c r="H17" s="35">
        <f>VLOOKUP($E17,Model!$A$1:$BR$159,MATCH(Valuation!H$10,Model!$A$3:$BR$3,0),FALSE)</f>
        <v>-20618.400000000001</v>
      </c>
      <c r="I17" s="35">
        <f>VLOOKUP($E17,Model!$A$1:$BR$159,MATCH(Valuation!I$10,Model!$A$3:$BR$3,0),FALSE)</f>
        <v>-27724.05</v>
      </c>
      <c r="J17" s="35">
        <f>VLOOKUP($E17,Model!$A$1:$BR$159,MATCH(Valuation!J$10,Model!$A$3:$BR$3,0),FALSE)</f>
        <v>-26341.989999999998</v>
      </c>
      <c r="K17" s="35">
        <f>VLOOKUP($E17,Model!$A$1:$BR$159,MATCH(Valuation!K$10,Model!$A$3:$BR$3,0),FALSE)</f>
        <v>-75745.493419999999</v>
      </c>
      <c r="L17" s="35">
        <f>VLOOKUP($E17,Model!$A$1:$BR$159,MATCH(Valuation!L$10,Model!$A$3:$BR$3,0),FALSE)</f>
        <v>-68737.105022600008</v>
      </c>
      <c r="M17" s="35">
        <f>VLOOKUP($E17,Model!$A$1:$BR$159,MATCH(Valuation!M$10,Model!$A$3:$BR$3,0),FALSE)</f>
        <v>-6835.3505012779933</v>
      </c>
      <c r="N17" s="35">
        <f>VLOOKUP($E17,Model!$A$1:$BR$159,MATCH(Valuation!N$10,Model!$A$3:$BR$3,0),FALSE)</f>
        <v>55560.388995883652</v>
      </c>
      <c r="O17" s="35">
        <f>VLOOKUP($E17,Model!$A$1:$BR$159,MATCH(Valuation!O$10,Model!$A$3:$BR$3,0),FALSE)</f>
        <v>121706.02467832615</v>
      </c>
      <c r="P17" s="35">
        <f>VLOOKUP($E17,Model!$A$1:$BR$159,MATCH(Valuation!P$10,Model!$A$3:$BR$3,0),FALSE)</f>
        <v>147494.93499632363</v>
      </c>
      <c r="Q17" s="35">
        <f>VLOOKUP($E17,Model!$A$1:$BR$159,MATCH(Valuation!Q$10,Model!$A$3:$BR$3,0),FALSE)</f>
        <v>151919.78304621333</v>
      </c>
      <c r="R17" s="35">
        <f>VLOOKUP($E17,Model!$A$1:$BR$159,MATCH(Valuation!R$10,Model!$A$3:$BR$3,0),FALSE)</f>
        <v>126834.95663312949</v>
      </c>
      <c r="S17" s="35">
        <f>VLOOKUP($E17,Model!$A$1:$BR$159,MATCH(Valuation!S$10,Model!$A$3:$BR$3,0),FALSE)</f>
        <v>103961.82741810023</v>
      </c>
      <c r="T17" s="35">
        <f>VLOOKUP($E17,Model!$A$1:$BR$159,MATCH(Valuation!T$10,Model!$A$3:$BR$3,0),FALSE)</f>
        <v>83070.322118022348</v>
      </c>
      <c r="U17" s="35">
        <f>VLOOKUP($E17,Model!$A$1:$BR$159,MATCH(Valuation!U$10,Model!$A$3:$BR$3,0),FALSE)</f>
        <v>63953.107671204256</v>
      </c>
      <c r="V17" s="35">
        <f>VLOOKUP($E17,Model!$A$1:$BR$159,MATCH(Valuation!V$10,Model!$A$3:$BR$3,0),FALSE)</f>
        <v>46423.309202017466</v>
      </c>
      <c r="W17" s="35">
        <f>VLOOKUP($E17,Model!$A$1:$BR$159,MATCH(Valuation!W$10,Model!$A$3:$BR$3,0),FALSE)</f>
        <v>30312.455948687362</v>
      </c>
      <c r="X17" s="36">
        <f>VLOOKUP($E17,Model!$A$1:$BR$159,MATCH(Valuation!X$10,Model!$A$3:$BR$3,0),FALSE)</f>
        <v>24163.412538748205</v>
      </c>
    </row>
    <row r="18" spans="2:24" x14ac:dyDescent="0.2">
      <c r="B18" s="27" t="s">
        <v>161</v>
      </c>
      <c r="C18" s="30">
        <f>C14-C17+C16</f>
        <v>167.11199999999999</v>
      </c>
      <c r="E18" s="27" t="s">
        <v>6</v>
      </c>
      <c r="F18" s="37">
        <f>VLOOKUP($E18,Model!$A$1:$BR$159,MATCH(Valuation!F$10,Model!$A$3:$BR$3,0),FALSE)</f>
        <v>-24080.3</v>
      </c>
      <c r="G18" s="37">
        <f>VLOOKUP($E18,Model!$A$1:$BR$159,MATCH(Valuation!G$10,Model!$A$3:$BR$3,0),FALSE)</f>
        <v>-27525.4</v>
      </c>
      <c r="H18" s="37">
        <f>VLOOKUP($E18,Model!$A$1:$BR$159,MATCH(Valuation!H$10,Model!$A$3:$BR$3,0),FALSE)</f>
        <v>-20618.400000000001</v>
      </c>
      <c r="I18" s="37">
        <f>VLOOKUP($E18,Model!$A$1:$BR$159,MATCH(Valuation!I$10,Model!$A$3:$BR$3,0),FALSE)</f>
        <v>-27724.05</v>
      </c>
      <c r="J18" s="37">
        <f>VLOOKUP($E18,Model!$A$1:$BR$159,MATCH(Valuation!J$10,Model!$A$3:$BR$3,0),FALSE)</f>
        <v>-26341.989999999998</v>
      </c>
      <c r="K18" s="37">
        <f>VLOOKUP($E18,Model!$A$1:$BR$159,MATCH(Valuation!K$10,Model!$A$3:$BR$3,0),FALSE)</f>
        <v>-75745.493419999999</v>
      </c>
      <c r="L18" s="37">
        <f>VLOOKUP($E18,Model!$A$1:$BR$159,MATCH(Valuation!L$10,Model!$A$3:$BR$3,0),FALSE)</f>
        <v>-68737.105022600008</v>
      </c>
      <c r="M18" s="37">
        <f>VLOOKUP($E18,Model!$A$1:$BR$159,MATCH(Valuation!M$10,Model!$A$3:$BR$3,0),FALSE)</f>
        <v>-6835.3505012779933</v>
      </c>
      <c r="N18" s="37">
        <f>VLOOKUP($E18,Model!$A$1:$BR$159,MATCH(Valuation!N$10,Model!$A$3:$BR$3,0),FALSE)</f>
        <v>55560.388995883652</v>
      </c>
      <c r="O18" s="37">
        <f>VLOOKUP($E18,Model!$A$1:$BR$159,MATCH(Valuation!O$10,Model!$A$3:$BR$3,0),FALSE)</f>
        <v>121706.02467832615</v>
      </c>
      <c r="P18" s="37">
        <f>VLOOKUP($E18,Model!$A$1:$BR$159,MATCH(Valuation!P$10,Model!$A$3:$BR$3,0),FALSE)</f>
        <v>147494.93499632363</v>
      </c>
      <c r="Q18" s="37">
        <f>VLOOKUP($E18,Model!$A$1:$BR$159,MATCH(Valuation!Q$10,Model!$A$3:$BR$3,0),FALSE)</f>
        <v>151919.78304621333</v>
      </c>
      <c r="R18" s="37">
        <f>VLOOKUP($E18,Model!$A$1:$BR$159,MATCH(Valuation!R$10,Model!$A$3:$BR$3,0),FALSE)</f>
        <v>126834.95663312949</v>
      </c>
      <c r="S18" s="37">
        <f>VLOOKUP($E18,Model!$A$1:$BR$159,MATCH(Valuation!S$10,Model!$A$3:$BR$3,0),FALSE)</f>
        <v>103961.82741810023</v>
      </c>
      <c r="T18" s="37">
        <f>VLOOKUP($E18,Model!$A$1:$BR$159,MATCH(Valuation!T$10,Model!$A$3:$BR$3,0),FALSE)</f>
        <v>83070.322118022348</v>
      </c>
      <c r="U18" s="37">
        <f>VLOOKUP($E18,Model!$A$1:$BR$159,MATCH(Valuation!U$10,Model!$A$3:$BR$3,0),FALSE)</f>
        <v>63953.107671204256</v>
      </c>
      <c r="V18" s="37">
        <f>VLOOKUP($E18,Model!$A$1:$BR$159,MATCH(Valuation!V$10,Model!$A$3:$BR$3,0),FALSE)</f>
        <v>46423.309202017466</v>
      </c>
      <c r="W18" s="37">
        <f>VLOOKUP($E18,Model!$A$1:$BR$159,MATCH(Valuation!W$10,Model!$A$3:$BR$3,0),FALSE)</f>
        <v>30312.455948687362</v>
      </c>
      <c r="X18" s="37">
        <f>VLOOKUP($E18,Model!$A$1:$BR$159,MATCH(Valuation!X$10,Model!$A$3:$BR$3,0),FALSE)</f>
        <v>24163.412538748205</v>
      </c>
    </row>
    <row r="19" spans="2:24" x14ac:dyDescent="0.2">
      <c r="B19" s="27"/>
      <c r="C19" s="27"/>
    </row>
    <row r="20" spans="2:24" x14ac:dyDescent="0.2">
      <c r="B20" s="27" t="s">
        <v>162</v>
      </c>
      <c r="C20" s="31">
        <f>C21+C22</f>
        <v>0.1</v>
      </c>
    </row>
    <row r="21" spans="2:24" x14ac:dyDescent="0.2">
      <c r="B21" s="32" t="s">
        <v>163</v>
      </c>
      <c r="C21" s="31">
        <v>0.04</v>
      </c>
    </row>
    <row r="22" spans="2:24" x14ac:dyDescent="0.2">
      <c r="B22" s="27" t="s">
        <v>164</v>
      </c>
      <c r="C22" s="31">
        <v>0.06</v>
      </c>
    </row>
    <row r="23" spans="2:24" x14ac:dyDescent="0.2">
      <c r="B23" s="27" t="s">
        <v>165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166</v>
      </c>
      <c r="C26" s="30">
        <f>NPV(C20,F18:X18,X18/0.1)/1000</f>
        <v>146.3729618835045</v>
      </c>
      <c r="J26" s="14"/>
    </row>
    <row r="27" spans="2:24" x14ac:dyDescent="0.2">
      <c r="B27" s="27" t="s">
        <v>167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168</v>
      </c>
      <c r="C28" s="30">
        <f>C26+C27-C16</f>
        <v>155.9969618835045</v>
      </c>
      <c r="F28" s="13"/>
      <c r="G28" s="13"/>
    </row>
    <row r="29" spans="2:24" x14ac:dyDescent="0.2">
      <c r="B29" s="26" t="s">
        <v>171</v>
      </c>
      <c r="C29" s="34">
        <f>C28/C13</f>
        <v>2.4714347573432272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</cp:lastModifiedBy>
  <dcterms:created xsi:type="dcterms:W3CDTF">2023-08-04T02:50:06Z</dcterms:created>
  <dcterms:modified xsi:type="dcterms:W3CDTF">2024-01-11T00:17:49Z</dcterms:modified>
</cp:coreProperties>
</file>